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VO Amsterdam Zuid\Aanbesteding 2024\Correspondentie\3e NvI\"/>
    </mc:Choice>
  </mc:AlternateContent>
  <xr:revisionPtr revIDLastSave="0" documentId="13_ncr:1_{05449C5F-C112-470E-B77F-E624BD7EA26C}" xr6:coauthVersionLast="47" xr6:coauthVersionMax="47" xr10:uidLastSave="{00000000-0000-0000-0000-000000000000}"/>
  <bookViews>
    <workbookView xWindow="3480" yWindow="3180" windowWidth="22110" windowHeight="12330" firstSheet="6" activeTab="6" xr2:uid="{0830BD36-BB57-43C1-B7BF-384396AC83DA}"/>
  </bookViews>
  <sheets>
    <sheet name="Omreken" sheetId="1" r:id="rId1"/>
    <sheet name="Categorienormen" sheetId="2" r:id="rId2"/>
    <sheet name="Regulier werk" sheetId="3" r:id="rId3"/>
    <sheet name="Ruimten werkdag" sheetId="4" r:id="rId4"/>
    <sheet name="Objectinformatie" sheetId="5" r:id="rId5"/>
    <sheet name="Objecten" sheetId="6" r:id="rId6"/>
    <sheet name="Niet-meewerkende objectleiding" sheetId="7" r:id="rId7"/>
    <sheet name="Totaalblad Objecten" sheetId="8" r:id="rId8"/>
    <sheet name="Additioneel werk" sheetId="9" r:id="rId9"/>
    <sheet name="Afroep incidenteel" sheetId="12" r:id="rId10"/>
    <sheet name="Additioneel werk per locatie" sheetId="10" r:id="rId11"/>
    <sheet name="Afroep" sheetId="11" r:id="rId12"/>
    <sheet name="Glas" sheetId="13" r:id="rId13"/>
    <sheet name="Glas werkdag" sheetId="14" r:id="rId14"/>
    <sheet name="Totaal" sheetId="15" r:id="rId15"/>
  </sheets>
  <definedNames>
    <definedName name="_xlnm._FilterDatabase" localSheetId="13" hidden="1">'Glas werkdag'!$A$3:$R$42</definedName>
    <definedName name="_xlnm._FilterDatabase" localSheetId="3" hidden="1">'Ruimten werkdag'!$A$3:$R$572</definedName>
    <definedName name="_xlnm.Print_Titles" localSheetId="8">'Additioneel werk'!$1:$3</definedName>
    <definedName name="_xlnm.Print_Titles" localSheetId="10">'Additioneel werk per locatie'!$1:$3</definedName>
    <definedName name="_xlnm.Print_Titles" localSheetId="11">Afroep!$1:$3</definedName>
    <definedName name="_xlnm.Print_Titles" localSheetId="9">'Afroep incidenteel'!$1:$3</definedName>
    <definedName name="_xlnm.Print_Titles" localSheetId="1">Categorienormen!$1:$3</definedName>
    <definedName name="_xlnm.Print_Titles" localSheetId="12">Glas!$1:$3</definedName>
    <definedName name="_xlnm.Print_Titles" localSheetId="13">'Glas werkdag'!$1:$3</definedName>
    <definedName name="_xlnm.Print_Titles" localSheetId="6">'Niet-meewerkende objectleiding'!$1:$3</definedName>
    <definedName name="_xlnm.Print_Titles" localSheetId="5">Objecten!$1:$3</definedName>
    <definedName name="_xlnm.Print_Titles" localSheetId="4">Objectinformatie!$A:$D,Objectinformatie!$1:$4</definedName>
    <definedName name="_xlnm.Print_Titles" localSheetId="2">'Regulier werk'!$1:$3</definedName>
    <definedName name="_xlnm.Print_Titles" localSheetId="3">'Ruimten werkdag'!$1:$3</definedName>
    <definedName name="_xlnm.Print_Titles" localSheetId="14">Totaal!$1:$3</definedName>
    <definedName name="_xlnm.Print_Titles" localSheetId="7">'Totaalblad Objecten'!$1:$3</definedName>
    <definedName name="catdw_1_AHB_1">Categorienormen!$F$30</definedName>
    <definedName name="catdw_1_AHV_40">Categorienormen!$F$31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CHB_1">Categorienormen!$F$10</definedName>
    <definedName name="catdw_1_CHV_40">Categorienormen!$F$11</definedName>
    <definedName name="catdw_1_DHB_1">Categorienormen!$F$24</definedName>
    <definedName name="catdw_1_DHV_40">Categorienormen!$F$25</definedName>
    <definedName name="catdw_1_EHB_1">Categorienormen!$F$32</definedName>
    <definedName name="catdw_1_EHV_40">Categorienormen!$F$33</definedName>
    <definedName name="catdw_1_EZB_1">Categorienormen!$F$34</definedName>
    <definedName name="catdw_1_EZV_40">Categorienormen!$F$35</definedName>
    <definedName name="catdw_1_GHB_1">Categorienormen!$F$36</definedName>
    <definedName name="catdw_1_GHV_10">Categorienormen!$F$37</definedName>
    <definedName name="catdw_1_GHV_40">Categorienormen!$F$38</definedName>
    <definedName name="catdw_1_IHB_1">Categorienormen!$F$39</definedName>
    <definedName name="catdw_1_IHV_40">Categorienormen!$F$40</definedName>
    <definedName name="catdw_1_KHB_1">Categorienormen!$F$26</definedName>
    <definedName name="catdw_1_KHV_40">Categorienormen!$F$27</definedName>
    <definedName name="catdw_1_LHB_1">Categorienormen!$F$12</definedName>
    <definedName name="catdw_1_LHV_40">Categorienormen!$F$13</definedName>
    <definedName name="catdw_1_MZB_1">Categorienormen!$F$14</definedName>
    <definedName name="catdw_1_MZV_40">Categorienormen!$F$15</definedName>
    <definedName name="catdw_1_OLHB_1">Categorienormen!$F$16</definedName>
    <definedName name="catdw_1_OLHV_40">Categorienormen!$F$17</definedName>
    <definedName name="catdw_1_PHB_1">Categorienormen!$F$41</definedName>
    <definedName name="catdw_1_PHV_40">Categorienormen!$F$42</definedName>
    <definedName name="catdw_1_PMHB_1">Categorienormen!$F$18</definedName>
    <definedName name="catdw_1_PMHV_40">Categorienormen!$F$19</definedName>
    <definedName name="catdw_1_PMZB_1">Categorienormen!$F$20</definedName>
    <definedName name="catdw_1_PMZV_40">Categorienormen!$F$21</definedName>
    <definedName name="catdw_1_PUHB_1">Categorienormen!$F$22</definedName>
    <definedName name="catdw_1_PUHV_40">Categorienormen!$F$23</definedName>
    <definedName name="catdw_1_SHB_1">Categorienormen!$F$28</definedName>
    <definedName name="catdw_1_SHV_40">Categorienormen!$F$29</definedName>
    <definedName name="catdw_1_THB_1">Categorienormen!$F$43</definedName>
    <definedName name="catdw_1_THV_40">Categorienormen!$F$44</definedName>
    <definedName name="catdw_1_VHB_1">Categorienormen!$F$45</definedName>
    <definedName name="catdw_1_VHV_40">Categorienormen!$F$46</definedName>
    <definedName name="catfd_1_AHB_1">Categorienormen!$C$30</definedName>
    <definedName name="catfd_1_AHV_40">Categorienormen!$C$31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CHB_1">Categorienormen!$C$10</definedName>
    <definedName name="catfd_1_CHV_40">Categorienormen!$C$11</definedName>
    <definedName name="catfd_1_DHB_1">Categorienormen!$C$24</definedName>
    <definedName name="catfd_1_DHV_40">Categorienormen!$C$25</definedName>
    <definedName name="catfd_1_EHB_1">Categorienormen!$C$32</definedName>
    <definedName name="catfd_1_EHV_40">Categorienormen!$C$33</definedName>
    <definedName name="catfd_1_EZB_1">Categorienormen!$C$34</definedName>
    <definedName name="catfd_1_EZV_40">Categorienormen!$C$35</definedName>
    <definedName name="catfd_1_GHB_1">Categorienormen!$C$36</definedName>
    <definedName name="catfd_1_GHV_10">Categorienormen!$C$37</definedName>
    <definedName name="catfd_1_GHV_40">Categorienormen!$C$38</definedName>
    <definedName name="catfd_1_IHB_1">Categorienormen!$C$39</definedName>
    <definedName name="catfd_1_IHV_40">Categorienormen!$C$40</definedName>
    <definedName name="catfd_1_KHB_1">Categorienormen!$C$26</definedName>
    <definedName name="catfd_1_KHV_40">Categorienormen!$C$27</definedName>
    <definedName name="catfd_1_LHB_1">Categorienormen!$C$12</definedName>
    <definedName name="catfd_1_LHV_40">Categorienormen!$C$13</definedName>
    <definedName name="catfd_1_MZB_1">Categorienormen!$C$14</definedName>
    <definedName name="catfd_1_MZV_40">Categorienormen!$C$15</definedName>
    <definedName name="catfd_1_OLHB_1">Categorienormen!$C$16</definedName>
    <definedName name="catfd_1_OLHV_40">Categorienormen!$C$17</definedName>
    <definedName name="catfd_1_PHB_1">Categorienormen!$C$41</definedName>
    <definedName name="catfd_1_PHV_40">Categorienormen!$C$42</definedName>
    <definedName name="catfd_1_PMHB_1">Categorienormen!$C$18</definedName>
    <definedName name="catfd_1_PMHV_40">Categorienormen!$C$19</definedName>
    <definedName name="catfd_1_PMZB_1">Categorienormen!$C$20</definedName>
    <definedName name="catfd_1_PMZV_40">Categorienormen!$C$21</definedName>
    <definedName name="catfd_1_PUHB_1">Categorienormen!$C$22</definedName>
    <definedName name="catfd_1_PUHV_40">Categorienormen!$C$23</definedName>
    <definedName name="catfd_1_SHB_1">Categorienormen!$C$28</definedName>
    <definedName name="catfd_1_SHV_40">Categorienormen!$C$29</definedName>
    <definedName name="catfd_1_THB_1">Categorienormen!$C$43</definedName>
    <definedName name="catfd_1_THV_40">Categorienormen!$C$44</definedName>
    <definedName name="catfd_1_VHB_1">Categorienormen!$C$45</definedName>
    <definedName name="catfd_1_VHV_40">Categorienormen!$C$46</definedName>
    <definedName name="catpn_1_AHB_1">Categorienormen!$E$30</definedName>
    <definedName name="catpn_1_AHV_40">Categorienormen!$E$31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CHB_1">Categorienormen!$E$10</definedName>
    <definedName name="catpn_1_CHV_40">Categorienormen!$E$11</definedName>
    <definedName name="catpn_1_DHB_1">Categorienormen!$E$24</definedName>
    <definedName name="catpn_1_DHV_40">Categorienormen!$E$25</definedName>
    <definedName name="catpn_1_EHB_1">Categorienormen!$E$32</definedName>
    <definedName name="catpn_1_EHV_40">Categorienormen!$E$33</definedName>
    <definedName name="catpn_1_EZB_1">Categorienormen!$E$34</definedName>
    <definedName name="catpn_1_EZV_40">Categorienormen!$E$35</definedName>
    <definedName name="catpn_1_GHB_1">Categorienormen!$E$36</definedName>
    <definedName name="catpn_1_GHV_10">Categorienormen!$E$37</definedName>
    <definedName name="catpn_1_GHV_40">Categorienormen!$E$38</definedName>
    <definedName name="catpn_1_IHB_1">Categorienormen!$E$39</definedName>
    <definedName name="catpn_1_IHV_40">Categorienormen!$E$40</definedName>
    <definedName name="catpn_1_KHB_1">Categorienormen!$E$26</definedName>
    <definedName name="catpn_1_KHV_40">Categorienormen!$E$27</definedName>
    <definedName name="catpn_1_LHB_1">Categorienormen!$E$12</definedName>
    <definedName name="catpn_1_LHV_40">Categorienormen!$E$13</definedName>
    <definedName name="catpn_1_MZB_1">Categorienormen!$E$14</definedName>
    <definedName name="catpn_1_MZV_40">Categorienormen!$E$15</definedName>
    <definedName name="catpn_1_OLHB_1">Categorienormen!$E$16</definedName>
    <definedName name="catpn_1_OLHV_40">Categorienormen!$E$17</definedName>
    <definedName name="catpn_1_PHB_1">Categorienormen!$E$41</definedName>
    <definedName name="catpn_1_PHV_40">Categorienormen!$E$42</definedName>
    <definedName name="catpn_1_PMHB_1">Categorienormen!$E$18</definedName>
    <definedName name="catpn_1_PMHV_40">Categorienormen!$E$19</definedName>
    <definedName name="catpn_1_PMZB_1">Categorienormen!$E$20</definedName>
    <definedName name="catpn_1_PMZV_40">Categorienormen!$E$21</definedName>
    <definedName name="catpn_1_PUHB_1">Categorienormen!$E$22</definedName>
    <definedName name="catpn_1_PUHV_40">Categorienormen!$E$23</definedName>
    <definedName name="catpn_1_SHB_1">Categorienormen!$E$28</definedName>
    <definedName name="catpn_1_SHV_40">Categorienormen!$E$29</definedName>
    <definedName name="catpn_1_THB_1">Categorienormen!$E$43</definedName>
    <definedName name="catpn_1_THV_40">Categorienormen!$E$44</definedName>
    <definedName name="catpn_1_VHB_1">Categorienormen!$E$45</definedName>
    <definedName name="catpn_1_VHV_40">Categorienormen!$E$46</definedName>
    <definedName name="cattf_1_AHB_1">Categorienormen!$H$30</definedName>
    <definedName name="cattf_1_AHV_40">Categorienormen!$H$31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CHB_1">Categorienormen!$H$10</definedName>
    <definedName name="cattf_1_CHV_40">Categorienormen!$H$11</definedName>
    <definedName name="cattf_1_DHB_1">Categorienormen!$H$24</definedName>
    <definedName name="cattf_1_DHV_40">Categorienormen!$H$25</definedName>
    <definedName name="cattf_1_EHB_1">Categorienormen!$H$32</definedName>
    <definedName name="cattf_1_EHV_40">Categorienormen!$H$33</definedName>
    <definedName name="cattf_1_EZB_1">Categorienormen!$H$34</definedName>
    <definedName name="cattf_1_EZV_40">Categorienormen!$H$35</definedName>
    <definedName name="cattf_1_GHB_1">Categorienormen!$H$36</definedName>
    <definedName name="cattf_1_GHV_10">Categorienormen!$H$37</definedName>
    <definedName name="cattf_1_GHV_40">Categorienormen!$H$38</definedName>
    <definedName name="cattf_1_IHB_1">Categorienormen!$H$39</definedName>
    <definedName name="cattf_1_IHV_40">Categorienormen!$H$40</definedName>
    <definedName name="cattf_1_KHB_1">Categorienormen!$H$26</definedName>
    <definedName name="cattf_1_KHV_40">Categorienormen!$H$27</definedName>
    <definedName name="cattf_1_LHB_1">Categorienormen!$H$12</definedName>
    <definedName name="cattf_1_LHV_40">Categorienormen!$H$13</definedName>
    <definedName name="cattf_1_MZB_1">Categorienormen!$H$14</definedName>
    <definedName name="cattf_1_MZV_40">Categorienormen!$H$15</definedName>
    <definedName name="cattf_1_OLHB_1">Categorienormen!$H$16</definedName>
    <definedName name="cattf_1_OLHV_40">Categorienormen!$H$17</definedName>
    <definedName name="cattf_1_PHB_1">Categorienormen!$H$41</definedName>
    <definedName name="cattf_1_PHV_40">Categorienormen!$H$42</definedName>
    <definedName name="cattf_1_PMHB_1">Categorienormen!$H$18</definedName>
    <definedName name="cattf_1_PMHV_40">Categorienormen!$H$19</definedName>
    <definedName name="cattf_1_PMZB_1">Categorienormen!$H$20</definedName>
    <definedName name="cattf_1_PMZV_40">Categorienormen!$H$21</definedName>
    <definedName name="cattf_1_PUHB_1">Categorienormen!$H$22</definedName>
    <definedName name="cattf_1_PUHV_40">Categorienormen!$H$23</definedName>
    <definedName name="cattf_1_SHB_1">Categorienormen!$H$28</definedName>
    <definedName name="cattf_1_SHV_40">Categorienormen!$H$29</definedName>
    <definedName name="cattf_1_THB_1">Categorienormen!$H$43</definedName>
    <definedName name="cattf_1_THV_40">Categorienormen!$H$44</definedName>
    <definedName name="cattf_1_VHB_1">Categorienormen!$H$45</definedName>
    <definedName name="cattf_1_VHV_40">Categorienormen!$H$46</definedName>
    <definedName name="dagenperjaar1">Omreken!$B$9</definedName>
    <definedName name="dagenperjaar2">Omreken!$E$9</definedName>
    <definedName name="dagenperjaar3">Omreken!$H$9</definedName>
    <definedName name="dagenperweek1">Omreken!$B$10</definedName>
    <definedName name="dagenperweek2">Omreken!$E$10</definedName>
    <definedName name="dagenperweek3">Omreken!$H$10</definedName>
    <definedName name="dagsoorttabel1">Omreken!$A$13:$B$30</definedName>
    <definedName name="dagsoorttabel2">Omreken!$D$13:$E$24</definedName>
    <definedName name="dagsoorttabel3">Omreken!$G$13:$H$15</definedName>
    <definedName name="gemuurtarief1">'Regulier werk'!$I$33</definedName>
    <definedName name="kengetaltabel1">Objectinformatie!$G$5:$G$29</definedName>
    <definedName name="object1_gemuurtarief1">'Glas werkdag'!$N$21</definedName>
    <definedName name="object1_opptabel1">Objectinformatie!$I$5:$I$29</definedName>
    <definedName name="object1_prijsdag1">'Glas werkdag'!$P$21</definedName>
    <definedName name="object1_prijsjaar1">'Glas werkdag'!$R$21</definedName>
    <definedName name="object1_urendag1">'Glas werkdag'!$O$21</definedName>
    <definedName name="object1_urenjaar1">'Glas werkdag'!$Q$21</definedName>
    <definedName name="object2_gemuurtarief1">'Glas werkdag'!$N$29</definedName>
    <definedName name="object2_opptabel1">Objectinformatie!$J$5:$J$29</definedName>
    <definedName name="object2_prijsdag1">'Glas werkdag'!$P$29</definedName>
    <definedName name="object2_prijsjaar1">'Glas werkdag'!$R$29</definedName>
    <definedName name="object2_urendag1">'Glas werkdag'!$O$29</definedName>
    <definedName name="object2_urenjaar1">'Glas werkdag'!$Q$29</definedName>
    <definedName name="object3_gemuurtarief1">'Glas werkdag'!$N$42</definedName>
    <definedName name="object3_opptabel1">Objectinformatie!$K$5:$K$29</definedName>
    <definedName name="object3_prijsdag1">'Glas werkdag'!$P$42</definedName>
    <definedName name="object3_prijsjaar1">'Glas werkdag'!$R$42</definedName>
    <definedName name="object3_urendag1">'Glas werkdag'!$O$42</definedName>
    <definedName name="object3_urenjaar1">'Glas werkdag'!$Q$42</definedName>
    <definedName name="objectprijs1_1">Objecten!$N$6</definedName>
    <definedName name="objectprijs2_1">Objecten!$N$7</definedName>
    <definedName name="objectprijs3_1">Objecten!$N$8</definedName>
    <definedName name="objecturen1_1">Objecten!$M$6</definedName>
    <definedName name="objecturen2_1">Objecten!$M$7</definedName>
    <definedName name="objecturen3_1">Objecten!$M$8</definedName>
    <definedName name="prijsdag1">'Regulier werk'!$K$31</definedName>
    <definedName name="prijsjaar">'Regulier werk'!$M$36</definedName>
    <definedName name="prijsjaar1">'Regulier werk'!$M$31</definedName>
    <definedName name="prijsjaaradditioneel">'Additioneel werk'!$K$9</definedName>
    <definedName name="prijsjaaradditioneel1">'Additioneel werk'!$K$7</definedName>
    <definedName name="prijsjaarafroep">Afroep!$K$15</definedName>
    <definedName name="prijsjaarafroep1">Afroep!$K$13</definedName>
    <definedName name="prijsjaarglas">Glas!$K$29</definedName>
    <definedName name="prijsjaarglas1">Glas!$K$27</definedName>
    <definedName name="prijsjaarnietmeewerkend">'Niet-meewerkende objectleiding'!$J$33</definedName>
    <definedName name="prijsjaartotaal">Objecten!$N$12</definedName>
    <definedName name="prijsjaartotaal1">Objecten!$N$9</definedName>
    <definedName name="prijsjaartotaaloverzicht">'Totaalblad Objecten'!$F$8</definedName>
    <definedName name="prijsmaandtotaal1">Objecten!$O$9</definedName>
    <definedName name="prodnorm0">Glas!$H$26</definedName>
    <definedName name="prodnorm1">Glas!$H$6</definedName>
    <definedName name="prodnorm10">Glas!$H$15</definedName>
    <definedName name="prodnorm11">Glas!$H$16</definedName>
    <definedName name="prodnorm12">Glas!$H$17</definedName>
    <definedName name="prodnorm13">Glas!$H$18</definedName>
    <definedName name="prodnorm14">Glas!$H$19</definedName>
    <definedName name="prodnorm15">Glas!$H$20</definedName>
    <definedName name="prodnorm16">Glas!$H$21</definedName>
    <definedName name="prodnorm17">Glas!$H$23</definedName>
    <definedName name="prodnorm18">Glas!$H$24</definedName>
    <definedName name="prodnorm19">Glas!$H$25</definedName>
    <definedName name="prodnorm2">Glas!$H$7</definedName>
    <definedName name="prodnorm20">'Additioneel werk per locatie'!$I$10</definedName>
    <definedName name="prodnorm21">'Regulier werk'!$G$30</definedName>
    <definedName name="prodnorm22">'Regulier werk'!$G$6</definedName>
    <definedName name="prodnorm23">'Regulier werk'!$G$7</definedName>
    <definedName name="prodnorm24">'Regulier werk'!$G$8</definedName>
    <definedName name="prodnorm25">'Regulier werk'!$G$9</definedName>
    <definedName name="prodnorm26">'Regulier werk'!$G$10</definedName>
    <definedName name="prodnorm27">'Regulier werk'!$G$11</definedName>
    <definedName name="prodnorm28">'Regulier werk'!$G$12</definedName>
    <definedName name="prodnorm29">'Regulier werk'!$G$13</definedName>
    <definedName name="prodnorm3">Glas!$H$8</definedName>
    <definedName name="prodnorm30">'Regulier werk'!$G$14</definedName>
    <definedName name="prodnorm31">'Regulier werk'!$G$15</definedName>
    <definedName name="prodnorm32">'Regulier werk'!$G$16</definedName>
    <definedName name="prodnorm33">'Regulier werk'!$G$17</definedName>
    <definedName name="prodnorm34">'Regulier werk'!$G$18</definedName>
    <definedName name="prodnorm35">'Regulier werk'!$G$19</definedName>
    <definedName name="prodnorm36">'Regulier werk'!$G$20</definedName>
    <definedName name="prodnorm37">'Regulier werk'!$G$21</definedName>
    <definedName name="prodnorm38">'Regulier werk'!$G$22</definedName>
    <definedName name="prodnorm39">'Regulier werk'!$G$23</definedName>
    <definedName name="prodnorm4">Glas!$H$9</definedName>
    <definedName name="prodnorm40">'Regulier werk'!$G$24</definedName>
    <definedName name="prodnorm41">'Regulier werk'!$G$25</definedName>
    <definedName name="prodnorm42">'Regulier werk'!$G$26</definedName>
    <definedName name="prodnorm43">'Regulier werk'!$G$27</definedName>
    <definedName name="prodnorm44">'Regulier werk'!$G$28</definedName>
    <definedName name="prodnorm45">'Regulier werk'!$G$29</definedName>
    <definedName name="prodnorm5">Glas!$H$10</definedName>
    <definedName name="prodnorm6">Glas!$H$11</definedName>
    <definedName name="prodnorm7">Glas!$H$12</definedName>
    <definedName name="prodnorm8">Glas!$H$13</definedName>
    <definedName name="prodnorm9">Glas!$H$14</definedName>
    <definedName name="taakfreqtabel1">Objectinformatie!$E$5:$E$29</definedName>
    <definedName name="tabeltype">Omreken!$B$5:$B$5</definedName>
    <definedName name="tarieftabel1">Objectinformatie!$H$5:$H$29</definedName>
    <definedName name="tzpjt1">'Niet-meewerkende objectleiding'!$J$30</definedName>
    <definedName name="tzpjt1_1">'Niet-meewerkende objectleiding'!$J$12</definedName>
    <definedName name="tzpjt2_1">'Niet-meewerkende objectleiding'!$J$20</definedName>
    <definedName name="tzpjt3_1">'Niet-meewerkende objectleiding'!$J$28</definedName>
    <definedName name="tzpmt1">'Niet-meewerkende objectleiding'!$K$30</definedName>
    <definedName name="tzpmt1_1">'Niet-meewerkende objectleiding'!$K$12</definedName>
    <definedName name="tzpmt2_1">'Niet-meewerkende objectleiding'!$K$20</definedName>
    <definedName name="tzpmt3_1">'Niet-meewerkende objectleiding'!$K$28</definedName>
    <definedName name="tzujt1">'Niet-meewerkende objectleiding'!$H$30</definedName>
    <definedName name="tzujt1_1">'Niet-meewerkende objectleiding'!$H$12</definedName>
    <definedName name="tzujt2_1">'Niet-meewerkende objectleiding'!$H$20</definedName>
    <definedName name="tzujt3_1">'Niet-meewerkende objectleiding'!$H$28</definedName>
    <definedName name="urendag1">'Regulier werk'!$J$31</definedName>
    <definedName name="urenjaar">'Regulier werk'!$L$36</definedName>
    <definedName name="urenjaar1">'Regulier werk'!$L$31</definedName>
    <definedName name="urenjaaradditioneel">'Additioneel werk'!$M$9</definedName>
    <definedName name="urenjaaradditioneel1">'Additioneel werk'!$M$7</definedName>
    <definedName name="urenjaarafroep">Afroep!$M$15</definedName>
    <definedName name="urenjaarafroep1">Afroep!$M$13</definedName>
    <definedName name="urenjaarglas">Glas!$M$29</definedName>
    <definedName name="urenjaarglas1">Glas!$M$27</definedName>
    <definedName name="urenjaarnietmeewerkend">'Niet-meewerkende objectleiding'!$H$33</definedName>
    <definedName name="urenjaartotaal">Objecten!$M$12</definedName>
    <definedName name="urenjaartotaal1">Objecten!$M$9</definedName>
    <definedName name="urenjaartotaaloverzicht">'Totaalblad Objecten'!$E$8</definedName>
    <definedName name="uurfactortabel1">Objectinformatie!$F$5:$F$29</definedName>
    <definedName name="uurtarief0">Glas!$I$26</definedName>
    <definedName name="uurtarief1">Glas!$I$6</definedName>
    <definedName name="uurtarief10">Glas!$I$15</definedName>
    <definedName name="uurtarief11">Glas!$I$16</definedName>
    <definedName name="uurtarief12">Glas!$I$17</definedName>
    <definedName name="uurtarief13">Glas!$I$18</definedName>
    <definedName name="uurtarief14">Glas!$I$19</definedName>
    <definedName name="uurtarief15">Glas!$I$20</definedName>
    <definedName name="uurtarief16">Glas!$I$21</definedName>
    <definedName name="uurtarief17">Glas!$I$23</definedName>
    <definedName name="uurtarief18">Glas!$I$24</definedName>
    <definedName name="uurtarief19">Glas!$I$25</definedName>
    <definedName name="uurtarief2">Glas!$I$7</definedName>
    <definedName name="uurtarief20">'Additioneel werk per locatie'!$H$10</definedName>
    <definedName name="uurtarief21">'Regulier werk'!$I$30</definedName>
    <definedName name="uurtarief22">'Regulier werk'!$I$6</definedName>
    <definedName name="uurtarief23">'Regulier werk'!$I$7</definedName>
    <definedName name="uurtarief24">'Regulier werk'!$I$8</definedName>
    <definedName name="uurtarief25">'Regulier werk'!$I$9</definedName>
    <definedName name="uurtarief26">'Regulier werk'!$I$10</definedName>
    <definedName name="uurtarief27">'Regulier werk'!$I$11</definedName>
    <definedName name="uurtarief28">'Regulier werk'!$I$12</definedName>
    <definedName name="uurtarief29">'Regulier werk'!$I$13</definedName>
    <definedName name="uurtarief3">Glas!$I$8</definedName>
    <definedName name="uurtarief30">'Regulier werk'!$I$14</definedName>
    <definedName name="uurtarief31">'Regulier werk'!$I$15</definedName>
    <definedName name="uurtarief32">'Regulier werk'!$I$16</definedName>
    <definedName name="uurtarief33">'Regulier werk'!$I$17</definedName>
    <definedName name="uurtarief34">'Regulier werk'!$I$18</definedName>
    <definedName name="uurtarief35">'Regulier werk'!$I$19</definedName>
    <definedName name="uurtarief36">'Regulier werk'!$I$20</definedName>
    <definedName name="uurtarief37">'Regulier werk'!$I$21</definedName>
    <definedName name="uurtarief38">'Regulier werk'!$I$22</definedName>
    <definedName name="uurtarief39">'Regulier werk'!$I$23</definedName>
    <definedName name="uurtarief4">Glas!$I$9</definedName>
    <definedName name="uurtarief40">'Regulier werk'!$I$24</definedName>
    <definedName name="uurtarief41">'Regulier werk'!$I$25</definedName>
    <definedName name="uurtarief42">'Regulier werk'!$I$26</definedName>
    <definedName name="uurtarief43">'Regulier werk'!$I$27</definedName>
    <definedName name="uurtarief44">'Regulier werk'!$I$28</definedName>
    <definedName name="uurtarief45">'Regulier werk'!$I$29</definedName>
    <definedName name="uurtarief5">Glas!$I$10</definedName>
    <definedName name="uurtarief6">Glas!$I$11</definedName>
    <definedName name="uurtarief7">Glas!$I$12</definedName>
    <definedName name="uurtarief8">Glas!$I$13</definedName>
    <definedName name="uurtarief9">Glas!$I$14</definedName>
    <definedName name="vu_variant">Totaal!$B$10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7" l="1"/>
  <c r="C8" i="7"/>
  <c r="E19" i="15"/>
  <c r="A1" i="15" l="1"/>
  <c r="Q42" i="14"/>
  <c r="O42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Q29" i="14"/>
  <c r="O29" i="14"/>
  <c r="N29" i="14"/>
  <c r="N28" i="14"/>
  <c r="N27" i="14"/>
  <c r="N26" i="14"/>
  <c r="N25" i="14"/>
  <c r="N24" i="14"/>
  <c r="N23" i="14"/>
  <c r="Q21" i="14"/>
  <c r="O21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5" i="14"/>
  <c r="A1" i="14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J7" i="13"/>
  <c r="J6" i="13"/>
  <c r="A1" i="13"/>
  <c r="A1" i="12"/>
  <c r="J12" i="11"/>
  <c r="J11" i="11"/>
  <c r="J10" i="11"/>
  <c r="J9" i="11"/>
  <c r="J8" i="11"/>
  <c r="J7" i="11"/>
  <c r="J6" i="11"/>
  <c r="A1" i="11"/>
  <c r="I10" i="10"/>
  <c r="H10" i="10"/>
  <c r="I6" i="10"/>
  <c r="H6" i="10"/>
  <c r="A1" i="10"/>
  <c r="J6" i="9"/>
  <c r="A1" i="9"/>
  <c r="A1" i="8"/>
  <c r="J27" i="7"/>
  <c r="K27" i="7" s="1"/>
  <c r="H27" i="7"/>
  <c r="C27" i="7"/>
  <c r="I27" i="7" s="1"/>
  <c r="J26" i="7"/>
  <c r="K26" i="7" s="1"/>
  <c r="H26" i="7"/>
  <c r="C26" i="7"/>
  <c r="I26" i="7" s="1"/>
  <c r="J25" i="7"/>
  <c r="K25" i="7" s="1"/>
  <c r="H25" i="7"/>
  <c r="C25" i="7"/>
  <c r="I25" i="7" s="1"/>
  <c r="J24" i="7"/>
  <c r="H24" i="7"/>
  <c r="H28" i="7" s="1"/>
  <c r="G6" i="8" s="1"/>
  <c r="C24" i="7"/>
  <c r="I24" i="7" s="1"/>
  <c r="J19" i="7"/>
  <c r="K19" i="7" s="1"/>
  <c r="H19" i="7"/>
  <c r="C19" i="7"/>
  <c r="I19" i="7" s="1"/>
  <c r="J18" i="7"/>
  <c r="K18" i="7" s="1"/>
  <c r="H18" i="7"/>
  <c r="C18" i="7"/>
  <c r="I18" i="7" s="1"/>
  <c r="H17" i="7"/>
  <c r="J17" i="7" s="1"/>
  <c r="K17" i="7" s="1"/>
  <c r="I17" i="7"/>
  <c r="J16" i="7"/>
  <c r="H16" i="7"/>
  <c r="H20" i="7" s="1"/>
  <c r="G5" i="8" s="1"/>
  <c r="C16" i="7"/>
  <c r="I16" i="7" s="1"/>
  <c r="J11" i="7"/>
  <c r="K11" i="7" s="1"/>
  <c r="H11" i="7"/>
  <c r="C11" i="7"/>
  <c r="I11" i="7" s="1"/>
  <c r="J10" i="7"/>
  <c r="K10" i="7" s="1"/>
  <c r="H10" i="7"/>
  <c r="C10" i="7"/>
  <c r="I10" i="7" s="1"/>
  <c r="J9" i="7"/>
  <c r="K9" i="7" s="1"/>
  <c r="H9" i="7"/>
  <c r="C9" i="7"/>
  <c r="I9" i="7" s="1"/>
  <c r="H8" i="7"/>
  <c r="I8" i="7"/>
  <c r="A1" i="7"/>
  <c r="A1" i="6"/>
  <c r="H29" i="5"/>
  <c r="G29" i="5"/>
  <c r="N572" i="4"/>
  <c r="N549" i="4"/>
  <c r="L549" i="4"/>
  <c r="N546" i="4"/>
  <c r="L546" i="4"/>
  <c r="N522" i="4"/>
  <c r="L522" i="4"/>
  <c r="N520" i="4"/>
  <c r="L520" i="4"/>
  <c r="N516" i="4"/>
  <c r="L516" i="4"/>
  <c r="N513" i="4"/>
  <c r="L513" i="4"/>
  <c r="N502" i="4"/>
  <c r="L502" i="4"/>
  <c r="N484" i="4"/>
  <c r="L484" i="4"/>
  <c r="N472" i="4"/>
  <c r="L472" i="4"/>
  <c r="N456" i="4"/>
  <c r="L456" i="4"/>
  <c r="N454" i="4"/>
  <c r="L454" i="4"/>
  <c r="N452" i="4"/>
  <c r="L452" i="4"/>
  <c r="N446" i="4"/>
  <c r="L446" i="4"/>
  <c r="N425" i="4"/>
  <c r="L425" i="4"/>
  <c r="N423" i="4"/>
  <c r="L423" i="4"/>
  <c r="N421" i="4"/>
  <c r="L421" i="4"/>
  <c r="N416" i="4"/>
  <c r="L416" i="4"/>
  <c r="N414" i="4"/>
  <c r="L414" i="4"/>
  <c r="N412" i="4"/>
  <c r="L412" i="4"/>
  <c r="N410" i="4"/>
  <c r="L410" i="4"/>
  <c r="N408" i="4"/>
  <c r="L408" i="4"/>
  <c r="N406" i="4"/>
  <c r="L406" i="4"/>
  <c r="N395" i="4"/>
  <c r="L395" i="4"/>
  <c r="N393" i="4"/>
  <c r="L393" i="4"/>
  <c r="N370" i="4"/>
  <c r="N337" i="4"/>
  <c r="L337" i="4"/>
  <c r="N333" i="4"/>
  <c r="L333" i="4"/>
  <c r="N331" i="4"/>
  <c r="L331" i="4"/>
  <c r="N323" i="4"/>
  <c r="L323" i="4"/>
  <c r="N319" i="4"/>
  <c r="L319" i="4"/>
  <c r="N317" i="4"/>
  <c r="L317" i="4"/>
  <c r="N308" i="4"/>
  <c r="L308" i="4"/>
  <c r="N302" i="4"/>
  <c r="L302" i="4"/>
  <c r="N300" i="4"/>
  <c r="L300" i="4"/>
  <c r="N298" i="4"/>
  <c r="L298" i="4"/>
  <c r="N296" i="4"/>
  <c r="L296" i="4"/>
  <c r="N280" i="4"/>
  <c r="L280" i="4"/>
  <c r="N271" i="4"/>
  <c r="L271" i="4"/>
  <c r="N269" i="4"/>
  <c r="L269" i="4"/>
  <c r="N263" i="4"/>
  <c r="L263" i="4"/>
  <c r="N261" i="4"/>
  <c r="L261" i="4"/>
  <c r="N252" i="4"/>
  <c r="L252" i="4"/>
  <c r="N249" i="4"/>
  <c r="L249" i="4"/>
  <c r="N240" i="4"/>
  <c r="L240" i="4"/>
  <c r="N234" i="4"/>
  <c r="L234" i="4"/>
  <c r="N231" i="4"/>
  <c r="L231" i="4"/>
  <c r="N217" i="4"/>
  <c r="L217" i="4"/>
  <c r="N215" i="4"/>
  <c r="L215" i="4"/>
  <c r="N213" i="4"/>
  <c r="L213" i="4"/>
  <c r="N210" i="4"/>
  <c r="L210" i="4"/>
  <c r="N207" i="4"/>
  <c r="N194" i="4"/>
  <c r="L194" i="4"/>
  <c r="N153" i="4"/>
  <c r="L153" i="4"/>
  <c r="N151" i="4"/>
  <c r="L151" i="4"/>
  <c r="N143" i="4"/>
  <c r="L143" i="4"/>
  <c r="N138" i="4"/>
  <c r="L138" i="4"/>
  <c r="N108" i="4"/>
  <c r="L108" i="4"/>
  <c r="N106" i="4"/>
  <c r="L106" i="4"/>
  <c r="N84" i="4"/>
  <c r="L84" i="4"/>
  <c r="N59" i="4"/>
  <c r="L59" i="4"/>
  <c r="N56" i="4"/>
  <c r="L56" i="4"/>
  <c r="N54" i="4"/>
  <c r="L54" i="4"/>
  <c r="N52" i="4"/>
  <c r="L52" i="4"/>
  <c r="N49" i="4"/>
  <c r="L49" i="4"/>
  <c r="N47" i="4"/>
  <c r="L47" i="4"/>
  <c r="N40" i="4"/>
  <c r="L40" i="4"/>
  <c r="N32" i="4"/>
  <c r="L32" i="4"/>
  <c r="N29" i="4"/>
  <c r="L29" i="4"/>
  <c r="N19" i="4"/>
  <c r="L19" i="4"/>
  <c r="N17" i="4"/>
  <c r="L17" i="4"/>
  <c r="N15" i="4"/>
  <c r="L15" i="4"/>
  <c r="N11" i="4"/>
  <c r="L11" i="4"/>
  <c r="N9" i="4"/>
  <c r="L9" i="4"/>
  <c r="A1" i="4"/>
  <c r="J30" i="3"/>
  <c r="I29" i="3"/>
  <c r="G29" i="3"/>
  <c r="I28" i="3"/>
  <c r="G28" i="3"/>
  <c r="I27" i="3"/>
  <c r="G27" i="3"/>
  <c r="I26" i="3"/>
  <c r="G26" i="3"/>
  <c r="I25" i="3"/>
  <c r="G25" i="3"/>
  <c r="I24" i="3"/>
  <c r="G24" i="3"/>
  <c r="I23" i="3"/>
  <c r="G23" i="3"/>
  <c r="I22" i="3"/>
  <c r="G22" i="3"/>
  <c r="I21" i="3"/>
  <c r="G21" i="3"/>
  <c r="I20" i="3"/>
  <c r="G20" i="3"/>
  <c r="I19" i="3"/>
  <c r="G19" i="3"/>
  <c r="I18" i="3"/>
  <c r="G18" i="3"/>
  <c r="I17" i="3"/>
  <c r="G17" i="3"/>
  <c r="I16" i="3"/>
  <c r="G16" i="3"/>
  <c r="I15" i="3"/>
  <c r="G15" i="3"/>
  <c r="I14" i="3"/>
  <c r="G14" i="3"/>
  <c r="I13" i="3"/>
  <c r="G13" i="3"/>
  <c r="I12" i="3"/>
  <c r="G12" i="3"/>
  <c r="I11" i="3"/>
  <c r="G11" i="3"/>
  <c r="I10" i="3"/>
  <c r="G10" i="3"/>
  <c r="I9" i="3"/>
  <c r="G9" i="3"/>
  <c r="I8" i="3"/>
  <c r="G8" i="3"/>
  <c r="I7" i="3"/>
  <c r="G7" i="3"/>
  <c r="I6" i="3"/>
  <c r="G6" i="3"/>
  <c r="A1" i="3"/>
  <c r="A1" i="2"/>
  <c r="H15" i="1"/>
  <c r="H14" i="1"/>
  <c r="H13" i="1"/>
  <c r="E24" i="1"/>
  <c r="E23" i="1"/>
  <c r="E22" i="1"/>
  <c r="E21" i="1"/>
  <c r="E20" i="1"/>
  <c r="E19" i="1"/>
  <c r="E18" i="1"/>
  <c r="E17" i="1"/>
  <c r="E16" i="1"/>
  <c r="E15" i="1"/>
  <c r="E14" i="1"/>
  <c r="E13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H12" i="7" l="1"/>
  <c r="J8" i="7"/>
  <c r="E28" i="5"/>
  <c r="E27" i="5"/>
  <c r="E26" i="5"/>
  <c r="E25" i="5"/>
  <c r="E24" i="5"/>
  <c r="E23" i="5"/>
  <c r="E22" i="5"/>
  <c r="E21" i="5"/>
  <c r="E20" i="5"/>
  <c r="E19" i="5"/>
  <c r="E18" i="5"/>
  <c r="E16" i="5"/>
  <c r="E15" i="5"/>
  <c r="E13" i="5"/>
  <c r="E12" i="5"/>
  <c r="E11" i="5"/>
  <c r="E10" i="5"/>
  <c r="E8" i="5"/>
  <c r="E6" i="5"/>
  <c r="E5" i="5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48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19" i="4"/>
  <c r="K518" i="4"/>
  <c r="K515" i="4"/>
  <c r="K512" i="4"/>
  <c r="K511" i="4"/>
  <c r="K510" i="4"/>
  <c r="K509" i="4"/>
  <c r="K508" i="4"/>
  <c r="K507" i="4"/>
  <c r="K506" i="4"/>
  <c r="K505" i="4"/>
  <c r="K504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3" i="4"/>
  <c r="K482" i="4"/>
  <c r="K481" i="4"/>
  <c r="K480" i="4"/>
  <c r="K479" i="4"/>
  <c r="K478" i="4"/>
  <c r="K477" i="4"/>
  <c r="K476" i="4"/>
  <c r="K475" i="4"/>
  <c r="K474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1" i="4"/>
  <c r="K450" i="4"/>
  <c r="K449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0" i="4"/>
  <c r="K419" i="4"/>
  <c r="K418" i="4"/>
  <c r="K405" i="4"/>
  <c r="K404" i="4"/>
  <c r="K402" i="4"/>
  <c r="K401" i="4"/>
  <c r="K400" i="4"/>
  <c r="K399" i="4"/>
  <c r="K398" i="4"/>
  <c r="K397" i="4"/>
  <c r="K392" i="4"/>
  <c r="K391" i="4"/>
  <c r="K390" i="4"/>
  <c r="K389" i="4"/>
  <c r="K388" i="4"/>
  <c r="K387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69" i="4"/>
  <c r="K368" i="4"/>
  <c r="K367" i="4"/>
  <c r="K366" i="4"/>
  <c r="K365" i="4"/>
  <c r="K364" i="4"/>
  <c r="K363" i="4"/>
  <c r="K362" i="4"/>
  <c r="K361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6" i="4"/>
  <c r="K335" i="4"/>
  <c r="K330" i="4"/>
  <c r="K329" i="4"/>
  <c r="K328" i="4"/>
  <c r="K326" i="4"/>
  <c r="K325" i="4"/>
  <c r="K322" i="4"/>
  <c r="K321" i="4"/>
  <c r="K316" i="4"/>
  <c r="K315" i="4"/>
  <c r="K314" i="4"/>
  <c r="K313" i="4"/>
  <c r="K311" i="4"/>
  <c r="K310" i="4"/>
  <c r="K307" i="4"/>
  <c r="K306" i="4"/>
  <c r="K305" i="4"/>
  <c r="K304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79" i="4"/>
  <c r="K278" i="4"/>
  <c r="K277" i="4"/>
  <c r="K276" i="4"/>
  <c r="K275" i="4"/>
  <c r="K274" i="4"/>
  <c r="K273" i="4"/>
  <c r="K268" i="4"/>
  <c r="K267" i="4"/>
  <c r="K266" i="4"/>
  <c r="K265" i="4"/>
  <c r="K260" i="4"/>
  <c r="K259" i="4"/>
  <c r="K258" i="4"/>
  <c r="K257" i="4"/>
  <c r="K256" i="4"/>
  <c r="K255" i="4"/>
  <c r="K254" i="4"/>
  <c r="K251" i="4"/>
  <c r="K248" i="4"/>
  <c r="K247" i="4"/>
  <c r="K246" i="4"/>
  <c r="K245" i="4"/>
  <c r="K244" i="4"/>
  <c r="K243" i="4"/>
  <c r="K242" i="4"/>
  <c r="K239" i="4"/>
  <c r="K238" i="4"/>
  <c r="K237" i="4"/>
  <c r="K236" i="4"/>
  <c r="K233" i="4"/>
  <c r="K230" i="4"/>
  <c r="K229" i="4"/>
  <c r="K228" i="4"/>
  <c r="K227" i="4"/>
  <c r="K226" i="4"/>
  <c r="K225" i="4"/>
  <c r="K223" i="4"/>
  <c r="K222" i="4"/>
  <c r="K221" i="4"/>
  <c r="K220" i="4"/>
  <c r="K219" i="4"/>
  <c r="K212" i="4"/>
  <c r="K206" i="4"/>
  <c r="K205" i="4"/>
  <c r="K204" i="4"/>
  <c r="K203" i="4"/>
  <c r="K202" i="4"/>
  <c r="K201" i="4"/>
  <c r="K200" i="4"/>
  <c r="K199" i="4"/>
  <c r="K198" i="4"/>
  <c r="K197" i="4"/>
  <c r="K196" i="4"/>
  <c r="K193" i="4"/>
  <c r="K192" i="4"/>
  <c r="K191" i="4"/>
  <c r="K190" i="4"/>
  <c r="K188" i="4"/>
  <c r="K187" i="4"/>
  <c r="K185" i="4"/>
  <c r="K184" i="4"/>
  <c r="K183" i="4"/>
  <c r="K182" i="4"/>
  <c r="K181" i="4"/>
  <c r="K180" i="4"/>
  <c r="K179" i="4"/>
  <c r="K178" i="4"/>
  <c r="K177" i="4"/>
  <c r="K176" i="4"/>
  <c r="K175" i="4"/>
  <c r="K173" i="4"/>
  <c r="K171" i="4"/>
  <c r="K168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0" i="4"/>
  <c r="K149" i="4"/>
  <c r="K148" i="4"/>
  <c r="K147" i="4"/>
  <c r="K146" i="4"/>
  <c r="K145" i="4"/>
  <c r="K142" i="4"/>
  <c r="K141" i="4"/>
  <c r="K140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58" i="4"/>
  <c r="K51" i="4"/>
  <c r="K46" i="4"/>
  <c r="K45" i="4"/>
  <c r="K44" i="4"/>
  <c r="K43" i="4"/>
  <c r="K42" i="4"/>
  <c r="K39" i="4"/>
  <c r="K38" i="4"/>
  <c r="K37" i="4"/>
  <c r="K36" i="4"/>
  <c r="K35" i="4"/>
  <c r="K34" i="4"/>
  <c r="K31" i="4"/>
  <c r="K28" i="4"/>
  <c r="K27" i="4"/>
  <c r="K26" i="4"/>
  <c r="K25" i="4"/>
  <c r="K24" i="4"/>
  <c r="K23" i="4"/>
  <c r="K22" i="4"/>
  <c r="K21" i="4"/>
  <c r="K14" i="4"/>
  <c r="K13" i="4"/>
  <c r="K8" i="4"/>
  <c r="K7" i="4"/>
  <c r="K6" i="4"/>
  <c r="K5" i="4"/>
  <c r="F29" i="3"/>
  <c r="F28" i="3"/>
  <c r="F27" i="3"/>
  <c r="F26" i="3"/>
  <c r="F25" i="3"/>
  <c r="F24" i="3"/>
  <c r="F23" i="3"/>
  <c r="F22" i="3"/>
  <c r="F21" i="3"/>
  <c r="F20" i="3"/>
  <c r="F19" i="3"/>
  <c r="F17" i="3"/>
  <c r="F16" i="3"/>
  <c r="F14" i="3"/>
  <c r="F13" i="3"/>
  <c r="F12" i="3"/>
  <c r="F11" i="3"/>
  <c r="F9" i="3"/>
  <c r="F7" i="3"/>
  <c r="F6" i="3"/>
  <c r="E29" i="5"/>
  <c r="K549" i="4"/>
  <c r="K546" i="4"/>
  <c r="K522" i="4"/>
  <c r="K520" i="4"/>
  <c r="K516" i="4"/>
  <c r="K513" i="4"/>
  <c r="K502" i="4"/>
  <c r="K484" i="4"/>
  <c r="K472" i="4"/>
  <c r="K456" i="4"/>
  <c r="K454" i="4"/>
  <c r="K452" i="4"/>
  <c r="K446" i="4"/>
  <c r="K425" i="4"/>
  <c r="K423" i="4"/>
  <c r="K421" i="4"/>
  <c r="K416" i="4"/>
  <c r="K414" i="4"/>
  <c r="K412" i="4"/>
  <c r="K410" i="4"/>
  <c r="K408" i="4"/>
  <c r="K406" i="4"/>
  <c r="K395" i="4"/>
  <c r="K393" i="4"/>
  <c r="K337" i="4"/>
  <c r="K333" i="4"/>
  <c r="K331" i="4"/>
  <c r="K323" i="4"/>
  <c r="K319" i="4"/>
  <c r="K317" i="4"/>
  <c r="K308" i="4"/>
  <c r="K302" i="4"/>
  <c r="K300" i="4"/>
  <c r="K298" i="4"/>
  <c r="K296" i="4"/>
  <c r="K280" i="4"/>
  <c r="K271" i="4"/>
  <c r="K269" i="4"/>
  <c r="K263" i="4"/>
  <c r="K261" i="4"/>
  <c r="K252" i="4"/>
  <c r="K249" i="4"/>
  <c r="K240" i="4"/>
  <c r="K234" i="4"/>
  <c r="K231" i="4"/>
  <c r="K217" i="4"/>
  <c r="K215" i="4"/>
  <c r="K213" i="4"/>
  <c r="K210" i="4"/>
  <c r="K194" i="4"/>
  <c r="K153" i="4"/>
  <c r="K151" i="4"/>
  <c r="K143" i="4"/>
  <c r="K138" i="4"/>
  <c r="K108" i="4"/>
  <c r="K106" i="4"/>
  <c r="K84" i="4"/>
  <c r="K59" i="4"/>
  <c r="K56" i="4"/>
  <c r="K54" i="4"/>
  <c r="K52" i="4"/>
  <c r="K49" i="4"/>
  <c r="K47" i="4"/>
  <c r="K40" i="4"/>
  <c r="K32" i="4"/>
  <c r="K29" i="4"/>
  <c r="K19" i="4"/>
  <c r="K17" i="4"/>
  <c r="K15" i="4"/>
  <c r="K11" i="4"/>
  <c r="K9" i="4"/>
  <c r="F30" i="3"/>
  <c r="E17" i="5"/>
  <c r="K189" i="4"/>
  <c r="K186" i="4"/>
  <c r="K174" i="4"/>
  <c r="K172" i="4"/>
  <c r="K170" i="4"/>
  <c r="K169" i="4"/>
  <c r="K167" i="4"/>
  <c r="F18" i="3"/>
  <c r="E9" i="5"/>
  <c r="E7" i="5"/>
  <c r="K550" i="4"/>
  <c r="K547" i="4"/>
  <c r="K523" i="4"/>
  <c r="K521" i="4"/>
  <c r="K517" i="4"/>
  <c r="K514" i="4"/>
  <c r="K503" i="4"/>
  <c r="K485" i="4"/>
  <c r="K473" i="4"/>
  <c r="K457" i="4"/>
  <c r="K455" i="4"/>
  <c r="K453" i="4"/>
  <c r="K448" i="4"/>
  <c r="K447" i="4"/>
  <c r="K426" i="4"/>
  <c r="K424" i="4"/>
  <c r="K422" i="4"/>
  <c r="K417" i="4"/>
  <c r="K415" i="4"/>
  <c r="K413" i="4"/>
  <c r="K411" i="4"/>
  <c r="K409" i="4"/>
  <c r="K407" i="4"/>
  <c r="K396" i="4"/>
  <c r="K394" i="4"/>
  <c r="K338" i="4"/>
  <c r="K334" i="4"/>
  <c r="K332" i="4"/>
  <c r="K327" i="4"/>
  <c r="K324" i="4"/>
  <c r="K320" i="4"/>
  <c r="K318" i="4"/>
  <c r="K312" i="4"/>
  <c r="K309" i="4"/>
  <c r="K303" i="4"/>
  <c r="K301" i="4"/>
  <c r="K299" i="4"/>
  <c r="K297" i="4"/>
  <c r="K281" i="4"/>
  <c r="K272" i="4"/>
  <c r="K270" i="4"/>
  <c r="K264" i="4"/>
  <c r="K262" i="4"/>
  <c r="K253" i="4"/>
  <c r="K250" i="4"/>
  <c r="K241" i="4"/>
  <c r="K235" i="4"/>
  <c r="K232" i="4"/>
  <c r="K224" i="4"/>
  <c r="K218" i="4"/>
  <c r="K216" i="4"/>
  <c r="K214" i="4"/>
  <c r="K211" i="4"/>
  <c r="K209" i="4"/>
  <c r="K195" i="4"/>
  <c r="K154" i="4"/>
  <c r="K152" i="4"/>
  <c r="K144" i="4"/>
  <c r="K139" i="4"/>
  <c r="K109" i="4"/>
  <c r="K107" i="4"/>
  <c r="K85" i="4"/>
  <c r="K60" i="4"/>
  <c r="K57" i="4"/>
  <c r="K55" i="4"/>
  <c r="K53" i="4"/>
  <c r="K50" i="4"/>
  <c r="K48" i="4"/>
  <c r="K41" i="4"/>
  <c r="K33" i="4"/>
  <c r="K30" i="4"/>
  <c r="K20" i="4"/>
  <c r="K18" i="4"/>
  <c r="K16" i="4"/>
  <c r="K12" i="4"/>
  <c r="K10" i="4"/>
  <c r="F10" i="3"/>
  <c r="F8" i="3"/>
  <c r="C12" i="11"/>
  <c r="K12" i="11" s="1"/>
  <c r="C11" i="11"/>
  <c r="K11" i="11" s="1"/>
  <c r="C10" i="11"/>
  <c r="K10" i="11" s="1"/>
  <c r="C9" i="11"/>
  <c r="K9" i="11" s="1"/>
  <c r="C8" i="11"/>
  <c r="K8" i="11" s="1"/>
  <c r="C7" i="11"/>
  <c r="K7" i="11" s="1"/>
  <c r="C6" i="11"/>
  <c r="K6" i="11" s="1"/>
  <c r="E14" i="5"/>
  <c r="K403" i="4"/>
  <c r="K386" i="4"/>
  <c r="K360" i="4"/>
  <c r="F15" i="3"/>
  <c r="K41" i="14"/>
  <c r="K40" i="14"/>
  <c r="K39" i="14"/>
  <c r="K38" i="14"/>
  <c r="K37" i="14"/>
  <c r="K36" i="14"/>
  <c r="K35" i="14"/>
  <c r="K34" i="14"/>
  <c r="K33" i="14"/>
  <c r="K32" i="14"/>
  <c r="K31" i="14"/>
  <c r="K28" i="14"/>
  <c r="K27" i="14"/>
  <c r="K26" i="14"/>
  <c r="K25" i="14"/>
  <c r="K24" i="14"/>
  <c r="K23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C26" i="13"/>
  <c r="K26" i="13" s="1"/>
  <c r="C25" i="13"/>
  <c r="K25" i="13" s="1"/>
  <c r="C24" i="13"/>
  <c r="K24" i="13" s="1"/>
  <c r="C23" i="13"/>
  <c r="K23" i="13" s="1"/>
  <c r="C22" i="13"/>
  <c r="K22" i="13" s="1"/>
  <c r="C21" i="13"/>
  <c r="K21" i="13" s="1"/>
  <c r="C20" i="13"/>
  <c r="K20" i="13" s="1"/>
  <c r="C19" i="13"/>
  <c r="K19" i="13" s="1"/>
  <c r="C18" i="13"/>
  <c r="K18" i="13" s="1"/>
  <c r="C17" i="13"/>
  <c r="K17" i="13" s="1"/>
  <c r="C16" i="13"/>
  <c r="K16" i="13" s="1"/>
  <c r="C15" i="13"/>
  <c r="K15" i="13" s="1"/>
  <c r="C14" i="13"/>
  <c r="K14" i="13" s="1"/>
  <c r="C13" i="13"/>
  <c r="K13" i="13" s="1"/>
  <c r="C12" i="13"/>
  <c r="K12" i="13" s="1"/>
  <c r="C11" i="13"/>
  <c r="K11" i="13" s="1"/>
  <c r="C10" i="13"/>
  <c r="K10" i="13" s="1"/>
  <c r="C9" i="13"/>
  <c r="K9" i="13" s="1"/>
  <c r="C8" i="13"/>
  <c r="K8" i="13" s="1"/>
  <c r="C7" i="13"/>
  <c r="K7" i="13" s="1"/>
  <c r="C6" i="13"/>
  <c r="K6" i="13" s="1"/>
  <c r="C10" i="10"/>
  <c r="C6" i="10"/>
  <c r="C6" i="9"/>
  <c r="K6" i="9" s="1"/>
  <c r="G5" i="5"/>
  <c r="L372" i="4"/>
  <c r="O372" i="4" s="1"/>
  <c r="L294" i="4"/>
  <c r="O294" i="4" s="1"/>
  <c r="Q294" i="4" s="1"/>
  <c r="L293" i="4"/>
  <c r="O293" i="4" s="1"/>
  <c r="Q293" i="4" s="1"/>
  <c r="L43" i="4"/>
  <c r="O43" i="4" s="1"/>
  <c r="Q43" i="4" s="1"/>
  <c r="L42" i="4"/>
  <c r="O42" i="4" s="1"/>
  <c r="Q42" i="4" s="1"/>
  <c r="J6" i="3"/>
  <c r="H5" i="5"/>
  <c r="N372" i="4"/>
  <c r="P372" i="4" s="1"/>
  <c r="P572" i="4" s="1"/>
  <c r="N294" i="4"/>
  <c r="P294" i="4" s="1"/>
  <c r="N293" i="4"/>
  <c r="P293" i="4" s="1"/>
  <c r="N43" i="4"/>
  <c r="P43" i="4" s="1"/>
  <c r="N42" i="4"/>
  <c r="P42" i="4" s="1"/>
  <c r="K6" i="3"/>
  <c r="G6" i="5"/>
  <c r="L548" i="4"/>
  <c r="O548" i="4" s="1"/>
  <c r="Q548" i="4" s="1"/>
  <c r="L515" i="4"/>
  <c r="O515" i="4" s="1"/>
  <c r="Q515" i="4" s="1"/>
  <c r="L486" i="4"/>
  <c r="O486" i="4" s="1"/>
  <c r="Q486" i="4" s="1"/>
  <c r="L420" i="4"/>
  <c r="O420" i="4" s="1"/>
  <c r="Q420" i="4" s="1"/>
  <c r="L405" i="4"/>
  <c r="O405" i="4" s="1"/>
  <c r="Q405" i="4" s="1"/>
  <c r="L273" i="4"/>
  <c r="O273" i="4" s="1"/>
  <c r="Q273" i="4" s="1"/>
  <c r="L260" i="4"/>
  <c r="O260" i="4" s="1"/>
  <c r="Q260" i="4" s="1"/>
  <c r="L97" i="4"/>
  <c r="O97" i="4" s="1"/>
  <c r="Q97" i="4" s="1"/>
  <c r="L81" i="4"/>
  <c r="O81" i="4" s="1"/>
  <c r="Q81" i="4" s="1"/>
  <c r="L23" i="4"/>
  <c r="O23" i="4" s="1"/>
  <c r="Q23" i="4" s="1"/>
  <c r="J7" i="3"/>
  <c r="L7" i="3" s="1"/>
  <c r="M7" i="3" s="1"/>
  <c r="H6" i="5"/>
  <c r="N548" i="4"/>
  <c r="P548" i="4" s="1"/>
  <c r="N515" i="4"/>
  <c r="P515" i="4" s="1"/>
  <c r="N486" i="4"/>
  <c r="P486" i="4" s="1"/>
  <c r="N420" i="4"/>
  <c r="P420" i="4" s="1"/>
  <c r="N405" i="4"/>
  <c r="P405" i="4" s="1"/>
  <c r="N273" i="4"/>
  <c r="P273" i="4" s="1"/>
  <c r="N260" i="4"/>
  <c r="P260" i="4" s="1"/>
  <c r="N97" i="4"/>
  <c r="P97" i="4" s="1"/>
  <c r="N81" i="4"/>
  <c r="P81" i="4" s="1"/>
  <c r="N23" i="4"/>
  <c r="P23" i="4" s="1"/>
  <c r="K7" i="3"/>
  <c r="G7" i="5"/>
  <c r="L550" i="4"/>
  <c r="O550" i="4" s="1"/>
  <c r="Q550" i="4" s="1"/>
  <c r="L547" i="4"/>
  <c r="O547" i="4" s="1"/>
  <c r="Q547" i="4" s="1"/>
  <c r="L523" i="4"/>
  <c r="O523" i="4" s="1"/>
  <c r="Q523" i="4" s="1"/>
  <c r="L521" i="4"/>
  <c r="O521" i="4" s="1"/>
  <c r="Q521" i="4" s="1"/>
  <c r="L517" i="4"/>
  <c r="O517" i="4" s="1"/>
  <c r="Q517" i="4" s="1"/>
  <c r="L514" i="4"/>
  <c r="O514" i="4" s="1"/>
  <c r="Q514" i="4" s="1"/>
  <c r="L503" i="4"/>
  <c r="O503" i="4" s="1"/>
  <c r="Q503" i="4" s="1"/>
  <c r="L485" i="4"/>
  <c r="O485" i="4" s="1"/>
  <c r="Q485" i="4" s="1"/>
  <c r="L473" i="4"/>
  <c r="O473" i="4" s="1"/>
  <c r="Q473" i="4" s="1"/>
  <c r="L457" i="4"/>
  <c r="O457" i="4" s="1"/>
  <c r="Q457" i="4" s="1"/>
  <c r="L455" i="4"/>
  <c r="O455" i="4" s="1"/>
  <c r="Q455" i="4" s="1"/>
  <c r="L453" i="4"/>
  <c r="O453" i="4" s="1"/>
  <c r="Q453" i="4" s="1"/>
  <c r="L448" i="4"/>
  <c r="O448" i="4" s="1"/>
  <c r="Q448" i="4" s="1"/>
  <c r="L447" i="4"/>
  <c r="O447" i="4" s="1"/>
  <c r="Q447" i="4" s="1"/>
  <c r="L396" i="4"/>
  <c r="O396" i="4" s="1"/>
  <c r="Q396" i="4" s="1"/>
  <c r="L394" i="4"/>
  <c r="O394" i="4" s="1"/>
  <c r="Q394" i="4" s="1"/>
  <c r="L334" i="4"/>
  <c r="O334" i="4" s="1"/>
  <c r="Q334" i="4" s="1"/>
  <c r="L320" i="4"/>
  <c r="O320" i="4" s="1"/>
  <c r="Q320" i="4" s="1"/>
  <c r="L253" i="4"/>
  <c r="O253" i="4" s="1"/>
  <c r="Q253" i="4" s="1"/>
  <c r="L241" i="4"/>
  <c r="O241" i="4" s="1"/>
  <c r="Q241" i="4" s="1"/>
  <c r="L235" i="4"/>
  <c r="O235" i="4" s="1"/>
  <c r="Q235" i="4" s="1"/>
  <c r="L232" i="4"/>
  <c r="O232" i="4" s="1"/>
  <c r="Q232" i="4" s="1"/>
  <c r="L224" i="4"/>
  <c r="O224" i="4" s="1"/>
  <c r="Q224" i="4" s="1"/>
  <c r="L214" i="4"/>
  <c r="O214" i="4" s="1"/>
  <c r="Q214" i="4" s="1"/>
  <c r="L211" i="4"/>
  <c r="O211" i="4" s="1"/>
  <c r="Q211" i="4" s="1"/>
  <c r="L209" i="4"/>
  <c r="O209" i="4" s="1"/>
  <c r="L195" i="4"/>
  <c r="O195" i="4" s="1"/>
  <c r="Q195" i="4" s="1"/>
  <c r="L154" i="4"/>
  <c r="O154" i="4" s="1"/>
  <c r="Q154" i="4" s="1"/>
  <c r="L152" i="4"/>
  <c r="O152" i="4" s="1"/>
  <c r="Q152" i="4" s="1"/>
  <c r="L144" i="4"/>
  <c r="O144" i="4" s="1"/>
  <c r="Q144" i="4" s="1"/>
  <c r="L139" i="4"/>
  <c r="O139" i="4" s="1"/>
  <c r="Q139" i="4" s="1"/>
  <c r="L109" i="4"/>
  <c r="O109" i="4" s="1"/>
  <c r="Q109" i="4" s="1"/>
  <c r="L107" i="4"/>
  <c r="O107" i="4" s="1"/>
  <c r="Q107" i="4" s="1"/>
  <c r="L85" i="4"/>
  <c r="O85" i="4" s="1"/>
  <c r="Q85" i="4" s="1"/>
  <c r="L60" i="4"/>
  <c r="O60" i="4" s="1"/>
  <c r="Q60" i="4" s="1"/>
  <c r="L57" i="4"/>
  <c r="O57" i="4" s="1"/>
  <c r="Q57" i="4" s="1"/>
  <c r="L55" i="4"/>
  <c r="O55" i="4" s="1"/>
  <c r="Q55" i="4" s="1"/>
  <c r="L53" i="4"/>
  <c r="O53" i="4" s="1"/>
  <c r="Q53" i="4" s="1"/>
  <c r="L50" i="4"/>
  <c r="O50" i="4" s="1"/>
  <c r="Q50" i="4" s="1"/>
  <c r="L48" i="4"/>
  <c r="O48" i="4" s="1"/>
  <c r="Q48" i="4" s="1"/>
  <c r="L41" i="4"/>
  <c r="O41" i="4" s="1"/>
  <c r="Q41" i="4" s="1"/>
  <c r="L33" i="4"/>
  <c r="O33" i="4" s="1"/>
  <c r="Q33" i="4" s="1"/>
  <c r="L30" i="4"/>
  <c r="O30" i="4" s="1"/>
  <c r="Q30" i="4" s="1"/>
  <c r="L20" i="4"/>
  <c r="O20" i="4" s="1"/>
  <c r="Q20" i="4" s="1"/>
  <c r="L18" i="4"/>
  <c r="O18" i="4" s="1"/>
  <c r="Q18" i="4" s="1"/>
  <c r="L16" i="4"/>
  <c r="O16" i="4" s="1"/>
  <c r="Q16" i="4" s="1"/>
  <c r="L12" i="4"/>
  <c r="O12" i="4" s="1"/>
  <c r="Q12" i="4" s="1"/>
  <c r="L10" i="4"/>
  <c r="O10" i="4" s="1"/>
  <c r="Q10" i="4" s="1"/>
  <c r="J8" i="3"/>
  <c r="L8" i="3" s="1"/>
  <c r="M8" i="3" s="1"/>
  <c r="H7" i="5"/>
  <c r="N550" i="4"/>
  <c r="P550" i="4" s="1"/>
  <c r="N547" i="4"/>
  <c r="P547" i="4" s="1"/>
  <c r="N523" i="4"/>
  <c r="P523" i="4" s="1"/>
  <c r="N521" i="4"/>
  <c r="P521" i="4" s="1"/>
  <c r="N517" i="4"/>
  <c r="P517" i="4" s="1"/>
  <c r="N514" i="4"/>
  <c r="P514" i="4" s="1"/>
  <c r="N503" i="4"/>
  <c r="P503" i="4" s="1"/>
  <c r="N485" i="4"/>
  <c r="P485" i="4" s="1"/>
  <c r="N473" i="4"/>
  <c r="P473" i="4" s="1"/>
  <c r="N457" i="4"/>
  <c r="P457" i="4" s="1"/>
  <c r="N455" i="4"/>
  <c r="P455" i="4" s="1"/>
  <c r="N453" i="4"/>
  <c r="P453" i="4" s="1"/>
  <c r="N448" i="4"/>
  <c r="P448" i="4" s="1"/>
  <c r="N447" i="4"/>
  <c r="P447" i="4" s="1"/>
  <c r="N396" i="4"/>
  <c r="P396" i="4" s="1"/>
  <c r="N394" i="4"/>
  <c r="P394" i="4" s="1"/>
  <c r="N334" i="4"/>
  <c r="P334" i="4" s="1"/>
  <c r="N320" i="4"/>
  <c r="P320" i="4" s="1"/>
  <c r="N253" i="4"/>
  <c r="P253" i="4" s="1"/>
  <c r="N241" i="4"/>
  <c r="P241" i="4" s="1"/>
  <c r="N235" i="4"/>
  <c r="P235" i="4" s="1"/>
  <c r="N232" i="4"/>
  <c r="P232" i="4" s="1"/>
  <c r="N224" i="4"/>
  <c r="P224" i="4" s="1"/>
  <c r="N214" i="4"/>
  <c r="P214" i="4" s="1"/>
  <c r="N211" i="4"/>
  <c r="P211" i="4" s="1"/>
  <c r="N209" i="4"/>
  <c r="P209" i="4" s="1"/>
  <c r="P370" i="4" s="1"/>
  <c r="N195" i="4"/>
  <c r="P195" i="4" s="1"/>
  <c r="N154" i="4"/>
  <c r="P154" i="4" s="1"/>
  <c r="N152" i="4"/>
  <c r="P152" i="4" s="1"/>
  <c r="N144" i="4"/>
  <c r="P144" i="4" s="1"/>
  <c r="N139" i="4"/>
  <c r="P139" i="4" s="1"/>
  <c r="N109" i="4"/>
  <c r="P109" i="4" s="1"/>
  <c r="N107" i="4"/>
  <c r="P107" i="4" s="1"/>
  <c r="N85" i="4"/>
  <c r="P85" i="4" s="1"/>
  <c r="N60" i="4"/>
  <c r="P60" i="4" s="1"/>
  <c r="N57" i="4"/>
  <c r="P57" i="4" s="1"/>
  <c r="N55" i="4"/>
  <c r="P55" i="4" s="1"/>
  <c r="N53" i="4"/>
  <c r="P53" i="4" s="1"/>
  <c r="N50" i="4"/>
  <c r="P50" i="4" s="1"/>
  <c r="N48" i="4"/>
  <c r="P48" i="4" s="1"/>
  <c r="N41" i="4"/>
  <c r="P41" i="4" s="1"/>
  <c r="N33" i="4"/>
  <c r="P33" i="4" s="1"/>
  <c r="N30" i="4"/>
  <c r="P30" i="4" s="1"/>
  <c r="N20" i="4"/>
  <c r="P20" i="4" s="1"/>
  <c r="N18" i="4"/>
  <c r="P18" i="4" s="1"/>
  <c r="N16" i="4"/>
  <c r="P16" i="4" s="1"/>
  <c r="N12" i="4"/>
  <c r="P12" i="4" s="1"/>
  <c r="N10" i="4"/>
  <c r="P10" i="4" s="1"/>
  <c r="K8" i="3"/>
  <c r="G8" i="5"/>
  <c r="L427" i="4"/>
  <c r="O427" i="4" s="1"/>
  <c r="Q427" i="4" s="1"/>
  <c r="L227" i="4"/>
  <c r="O227" i="4" s="1"/>
  <c r="Q227" i="4" s="1"/>
  <c r="J9" i="3"/>
  <c r="L9" i="3" s="1"/>
  <c r="M9" i="3" s="1"/>
  <c r="H8" i="5"/>
  <c r="N427" i="4"/>
  <c r="P427" i="4" s="1"/>
  <c r="N227" i="4"/>
  <c r="P227" i="4" s="1"/>
  <c r="K9" i="3"/>
  <c r="G9" i="5"/>
  <c r="L426" i="4"/>
  <c r="O426" i="4" s="1"/>
  <c r="Q426" i="4" s="1"/>
  <c r="L424" i="4"/>
  <c r="O424" i="4" s="1"/>
  <c r="Q424" i="4" s="1"/>
  <c r="L422" i="4"/>
  <c r="O422" i="4" s="1"/>
  <c r="Q422" i="4" s="1"/>
  <c r="L417" i="4"/>
  <c r="O417" i="4" s="1"/>
  <c r="Q417" i="4" s="1"/>
  <c r="L415" i="4"/>
  <c r="O415" i="4" s="1"/>
  <c r="Q415" i="4" s="1"/>
  <c r="L413" i="4"/>
  <c r="O413" i="4" s="1"/>
  <c r="Q413" i="4" s="1"/>
  <c r="L411" i="4"/>
  <c r="O411" i="4" s="1"/>
  <c r="Q411" i="4" s="1"/>
  <c r="L409" i="4"/>
  <c r="O409" i="4" s="1"/>
  <c r="Q409" i="4" s="1"/>
  <c r="L407" i="4"/>
  <c r="O407" i="4" s="1"/>
  <c r="Q407" i="4" s="1"/>
  <c r="L338" i="4"/>
  <c r="O338" i="4" s="1"/>
  <c r="Q338" i="4" s="1"/>
  <c r="L332" i="4"/>
  <c r="O332" i="4" s="1"/>
  <c r="Q332" i="4" s="1"/>
  <c r="L327" i="4"/>
  <c r="O327" i="4" s="1"/>
  <c r="Q327" i="4" s="1"/>
  <c r="L324" i="4"/>
  <c r="O324" i="4" s="1"/>
  <c r="Q324" i="4" s="1"/>
  <c r="L318" i="4"/>
  <c r="O318" i="4" s="1"/>
  <c r="Q318" i="4" s="1"/>
  <c r="L312" i="4"/>
  <c r="O312" i="4" s="1"/>
  <c r="Q312" i="4" s="1"/>
  <c r="L309" i="4"/>
  <c r="O309" i="4" s="1"/>
  <c r="Q309" i="4" s="1"/>
  <c r="L303" i="4"/>
  <c r="O303" i="4" s="1"/>
  <c r="Q303" i="4" s="1"/>
  <c r="L301" i="4"/>
  <c r="O301" i="4" s="1"/>
  <c r="Q301" i="4" s="1"/>
  <c r="L299" i="4"/>
  <c r="O299" i="4" s="1"/>
  <c r="Q299" i="4" s="1"/>
  <c r="L297" i="4"/>
  <c r="O297" i="4" s="1"/>
  <c r="Q297" i="4" s="1"/>
  <c r="L281" i="4"/>
  <c r="O281" i="4" s="1"/>
  <c r="Q281" i="4" s="1"/>
  <c r="L272" i="4"/>
  <c r="O272" i="4" s="1"/>
  <c r="Q272" i="4" s="1"/>
  <c r="L270" i="4"/>
  <c r="O270" i="4" s="1"/>
  <c r="Q270" i="4" s="1"/>
  <c r="L264" i="4"/>
  <c r="O264" i="4" s="1"/>
  <c r="Q264" i="4" s="1"/>
  <c r="L262" i="4"/>
  <c r="O262" i="4" s="1"/>
  <c r="Q262" i="4" s="1"/>
  <c r="L250" i="4"/>
  <c r="O250" i="4" s="1"/>
  <c r="Q250" i="4" s="1"/>
  <c r="L218" i="4"/>
  <c r="O218" i="4" s="1"/>
  <c r="Q218" i="4" s="1"/>
  <c r="L216" i="4"/>
  <c r="O216" i="4" s="1"/>
  <c r="Q216" i="4" s="1"/>
  <c r="J10" i="3"/>
  <c r="L10" i="3" s="1"/>
  <c r="M10" i="3" s="1"/>
  <c r="H9" i="5"/>
  <c r="N426" i="4"/>
  <c r="P426" i="4" s="1"/>
  <c r="N424" i="4"/>
  <c r="P424" i="4" s="1"/>
  <c r="N422" i="4"/>
  <c r="P422" i="4" s="1"/>
  <c r="N417" i="4"/>
  <c r="P417" i="4" s="1"/>
  <c r="N415" i="4"/>
  <c r="P415" i="4" s="1"/>
  <c r="N413" i="4"/>
  <c r="P413" i="4" s="1"/>
  <c r="N411" i="4"/>
  <c r="P411" i="4" s="1"/>
  <c r="N409" i="4"/>
  <c r="P409" i="4" s="1"/>
  <c r="N407" i="4"/>
  <c r="P407" i="4" s="1"/>
  <c r="N338" i="4"/>
  <c r="P338" i="4" s="1"/>
  <c r="N332" i="4"/>
  <c r="P332" i="4" s="1"/>
  <c r="N327" i="4"/>
  <c r="P327" i="4" s="1"/>
  <c r="N324" i="4"/>
  <c r="P324" i="4" s="1"/>
  <c r="N318" i="4"/>
  <c r="P318" i="4" s="1"/>
  <c r="N312" i="4"/>
  <c r="P312" i="4" s="1"/>
  <c r="N309" i="4"/>
  <c r="P309" i="4" s="1"/>
  <c r="N303" i="4"/>
  <c r="P303" i="4" s="1"/>
  <c r="N301" i="4"/>
  <c r="P301" i="4" s="1"/>
  <c r="N299" i="4"/>
  <c r="P299" i="4" s="1"/>
  <c r="N297" i="4"/>
  <c r="P297" i="4" s="1"/>
  <c r="N281" i="4"/>
  <c r="P281" i="4" s="1"/>
  <c r="N272" i="4"/>
  <c r="P272" i="4" s="1"/>
  <c r="N270" i="4"/>
  <c r="P270" i="4" s="1"/>
  <c r="N264" i="4"/>
  <c r="P264" i="4" s="1"/>
  <c r="N262" i="4"/>
  <c r="P262" i="4" s="1"/>
  <c r="N250" i="4"/>
  <c r="P250" i="4" s="1"/>
  <c r="N218" i="4"/>
  <c r="P218" i="4" s="1"/>
  <c r="N216" i="4"/>
  <c r="P216" i="4" s="1"/>
  <c r="K10" i="3"/>
  <c r="G10" i="5"/>
  <c r="L328" i="4"/>
  <c r="O328" i="4" s="1"/>
  <c r="Q328" i="4" s="1"/>
  <c r="L314" i="4"/>
  <c r="O314" i="4" s="1"/>
  <c r="Q314" i="4" s="1"/>
  <c r="J11" i="3"/>
  <c r="L11" i="3" s="1"/>
  <c r="M11" i="3" s="1"/>
  <c r="H10" i="5"/>
  <c r="N328" i="4"/>
  <c r="P328" i="4" s="1"/>
  <c r="N314" i="4"/>
  <c r="P314" i="4" s="1"/>
  <c r="K11" i="3"/>
  <c r="G11" i="5"/>
  <c r="L356" i="4"/>
  <c r="O356" i="4" s="1"/>
  <c r="Q356" i="4" s="1"/>
  <c r="L354" i="4"/>
  <c r="O354" i="4" s="1"/>
  <c r="Q354" i="4" s="1"/>
  <c r="L352" i="4"/>
  <c r="O352" i="4" s="1"/>
  <c r="Q352" i="4" s="1"/>
  <c r="L193" i="4"/>
  <c r="O193" i="4" s="1"/>
  <c r="Q193" i="4" s="1"/>
  <c r="L190" i="4"/>
  <c r="O190" i="4" s="1"/>
  <c r="Q190" i="4" s="1"/>
  <c r="L187" i="4"/>
  <c r="O187" i="4" s="1"/>
  <c r="Q187" i="4" s="1"/>
  <c r="L175" i="4"/>
  <c r="O175" i="4" s="1"/>
  <c r="Q175" i="4" s="1"/>
  <c r="L173" i="4"/>
  <c r="O173" i="4" s="1"/>
  <c r="Q173" i="4" s="1"/>
  <c r="L171" i="4"/>
  <c r="O171" i="4" s="1"/>
  <c r="Q171" i="4" s="1"/>
  <c r="L168" i="4"/>
  <c r="O168" i="4" s="1"/>
  <c r="Q168" i="4" s="1"/>
  <c r="L166" i="4"/>
  <c r="O166" i="4" s="1"/>
  <c r="Q166" i="4" s="1"/>
  <c r="J12" i="3"/>
  <c r="L12" i="3" s="1"/>
  <c r="M12" i="3" s="1"/>
  <c r="H11" i="5"/>
  <c r="N356" i="4"/>
  <c r="P356" i="4" s="1"/>
  <c r="N354" i="4"/>
  <c r="P354" i="4" s="1"/>
  <c r="N352" i="4"/>
  <c r="P352" i="4" s="1"/>
  <c r="N193" i="4"/>
  <c r="P193" i="4" s="1"/>
  <c r="N190" i="4"/>
  <c r="P190" i="4" s="1"/>
  <c r="N187" i="4"/>
  <c r="P187" i="4" s="1"/>
  <c r="N175" i="4"/>
  <c r="P175" i="4" s="1"/>
  <c r="N173" i="4"/>
  <c r="P173" i="4" s="1"/>
  <c r="N171" i="4"/>
  <c r="P171" i="4" s="1"/>
  <c r="N168" i="4"/>
  <c r="P168" i="4" s="1"/>
  <c r="N166" i="4"/>
  <c r="P166" i="4" s="1"/>
  <c r="K12" i="3"/>
  <c r="G12" i="5"/>
  <c r="L440" i="4"/>
  <c r="O440" i="4" s="1"/>
  <c r="Q440" i="4" s="1"/>
  <c r="L384" i="4"/>
  <c r="O384" i="4" s="1"/>
  <c r="Q384" i="4" s="1"/>
  <c r="L366" i="4"/>
  <c r="O366" i="4" s="1"/>
  <c r="Q366" i="4" s="1"/>
  <c r="L129" i="4"/>
  <c r="O129" i="4" s="1"/>
  <c r="Q129" i="4" s="1"/>
  <c r="L45" i="4"/>
  <c r="O45" i="4" s="1"/>
  <c r="Q45" i="4" s="1"/>
  <c r="L39" i="4"/>
  <c r="O39" i="4" s="1"/>
  <c r="Q39" i="4" s="1"/>
  <c r="L37" i="4"/>
  <c r="O37" i="4" s="1"/>
  <c r="Q37" i="4" s="1"/>
  <c r="L21" i="4"/>
  <c r="O21" i="4" s="1"/>
  <c r="Q21" i="4" s="1"/>
  <c r="L6" i="4"/>
  <c r="O6" i="4" s="1"/>
  <c r="Q6" i="4" s="1"/>
  <c r="J13" i="3"/>
  <c r="L13" i="3" s="1"/>
  <c r="M13" i="3" s="1"/>
  <c r="H12" i="5"/>
  <c r="N440" i="4"/>
  <c r="P440" i="4" s="1"/>
  <c r="N384" i="4"/>
  <c r="P384" i="4" s="1"/>
  <c r="N366" i="4"/>
  <c r="P366" i="4" s="1"/>
  <c r="N129" i="4"/>
  <c r="P129" i="4" s="1"/>
  <c r="N45" i="4"/>
  <c r="P45" i="4" s="1"/>
  <c r="N39" i="4"/>
  <c r="P39" i="4" s="1"/>
  <c r="N37" i="4"/>
  <c r="P37" i="4" s="1"/>
  <c r="N21" i="4"/>
  <c r="P21" i="4" s="1"/>
  <c r="N6" i="4"/>
  <c r="P6" i="4" s="1"/>
  <c r="K13" i="3"/>
  <c r="G13" i="5"/>
  <c r="L431" i="4"/>
  <c r="O431" i="4" s="1"/>
  <c r="Q431" i="4" s="1"/>
  <c r="L365" i="4"/>
  <c r="O365" i="4" s="1"/>
  <c r="Q365" i="4" s="1"/>
  <c r="L343" i="4"/>
  <c r="O343" i="4" s="1"/>
  <c r="Q343" i="4" s="1"/>
  <c r="J14" i="3"/>
  <c r="L14" i="3" s="1"/>
  <c r="M14" i="3" s="1"/>
  <c r="H13" i="5"/>
  <c r="N431" i="4"/>
  <c r="P431" i="4" s="1"/>
  <c r="N365" i="4"/>
  <c r="P365" i="4" s="1"/>
  <c r="N343" i="4"/>
  <c r="P343" i="4" s="1"/>
  <c r="K14" i="3"/>
  <c r="G14" i="5"/>
  <c r="L403" i="4"/>
  <c r="O403" i="4" s="1"/>
  <c r="Q403" i="4" s="1"/>
  <c r="L386" i="4"/>
  <c r="O386" i="4" s="1"/>
  <c r="Q386" i="4" s="1"/>
  <c r="L360" i="4"/>
  <c r="O360" i="4" s="1"/>
  <c r="Q360" i="4" s="1"/>
  <c r="J15" i="3"/>
  <c r="L15" i="3" s="1"/>
  <c r="M15" i="3" s="1"/>
  <c r="H14" i="5"/>
  <c r="N403" i="4"/>
  <c r="P403" i="4" s="1"/>
  <c r="N386" i="4"/>
  <c r="P386" i="4" s="1"/>
  <c r="N360" i="4"/>
  <c r="P360" i="4" s="1"/>
  <c r="K15" i="3"/>
  <c r="G15" i="5"/>
  <c r="L399" i="4"/>
  <c r="O399" i="4" s="1"/>
  <c r="Q399" i="4" s="1"/>
  <c r="L385" i="4"/>
  <c r="O385" i="4" s="1"/>
  <c r="Q385" i="4" s="1"/>
  <c r="L358" i="4"/>
  <c r="O358" i="4" s="1"/>
  <c r="Q358" i="4" s="1"/>
  <c r="L357" i="4"/>
  <c r="O357" i="4" s="1"/>
  <c r="Q357" i="4" s="1"/>
  <c r="L196" i="4"/>
  <c r="O196" i="4" s="1"/>
  <c r="Q196" i="4" s="1"/>
  <c r="L184" i="4"/>
  <c r="O184" i="4" s="1"/>
  <c r="Q184" i="4" s="1"/>
  <c r="L159" i="4"/>
  <c r="O159" i="4" s="1"/>
  <c r="Q159" i="4" s="1"/>
  <c r="L158" i="4"/>
  <c r="O158" i="4" s="1"/>
  <c r="Q158" i="4" s="1"/>
  <c r="J16" i="3"/>
  <c r="L16" i="3" s="1"/>
  <c r="M16" i="3" s="1"/>
  <c r="H15" i="5"/>
  <c r="N399" i="4"/>
  <c r="P399" i="4" s="1"/>
  <c r="N385" i="4"/>
  <c r="P385" i="4" s="1"/>
  <c r="N358" i="4"/>
  <c r="P358" i="4" s="1"/>
  <c r="N357" i="4"/>
  <c r="P357" i="4" s="1"/>
  <c r="N196" i="4"/>
  <c r="P196" i="4" s="1"/>
  <c r="N184" i="4"/>
  <c r="P184" i="4" s="1"/>
  <c r="N159" i="4"/>
  <c r="P159" i="4" s="1"/>
  <c r="N158" i="4"/>
  <c r="P158" i="4" s="1"/>
  <c r="K16" i="3"/>
  <c r="G16" i="5"/>
  <c r="L439" i="4"/>
  <c r="O439" i="4" s="1"/>
  <c r="Q439" i="4" s="1"/>
  <c r="L436" i="4"/>
  <c r="O436" i="4" s="1"/>
  <c r="Q436" i="4" s="1"/>
  <c r="L223" i="4"/>
  <c r="O223" i="4" s="1"/>
  <c r="Q223" i="4" s="1"/>
  <c r="L61" i="4"/>
  <c r="O61" i="4" s="1"/>
  <c r="Q61" i="4" s="1"/>
  <c r="J17" i="3"/>
  <c r="L17" i="3" s="1"/>
  <c r="M17" i="3" s="1"/>
  <c r="H16" i="5"/>
  <c r="N439" i="4"/>
  <c r="P439" i="4" s="1"/>
  <c r="N436" i="4"/>
  <c r="P436" i="4" s="1"/>
  <c r="N223" i="4"/>
  <c r="P223" i="4" s="1"/>
  <c r="N61" i="4"/>
  <c r="P61" i="4" s="1"/>
  <c r="K17" i="3"/>
  <c r="G17" i="5"/>
  <c r="L189" i="4"/>
  <c r="O189" i="4" s="1"/>
  <c r="Q189" i="4" s="1"/>
  <c r="L186" i="4"/>
  <c r="O186" i="4" s="1"/>
  <c r="Q186" i="4" s="1"/>
  <c r="L174" i="4"/>
  <c r="O174" i="4" s="1"/>
  <c r="Q174" i="4" s="1"/>
  <c r="L172" i="4"/>
  <c r="O172" i="4" s="1"/>
  <c r="Q172" i="4" s="1"/>
  <c r="L170" i="4"/>
  <c r="O170" i="4" s="1"/>
  <c r="Q170" i="4" s="1"/>
  <c r="L169" i="4"/>
  <c r="O169" i="4" s="1"/>
  <c r="Q169" i="4" s="1"/>
  <c r="L167" i="4"/>
  <c r="O167" i="4" s="1"/>
  <c r="Q167" i="4" s="1"/>
  <c r="J18" i="3"/>
  <c r="L18" i="3" s="1"/>
  <c r="M18" i="3" s="1"/>
  <c r="H17" i="5"/>
  <c r="N189" i="4"/>
  <c r="P189" i="4" s="1"/>
  <c r="N186" i="4"/>
  <c r="P186" i="4" s="1"/>
  <c r="N174" i="4"/>
  <c r="P174" i="4" s="1"/>
  <c r="N172" i="4"/>
  <c r="P172" i="4" s="1"/>
  <c r="N170" i="4"/>
  <c r="P170" i="4" s="1"/>
  <c r="N169" i="4"/>
  <c r="P169" i="4" s="1"/>
  <c r="N167" i="4"/>
  <c r="P167" i="4" s="1"/>
  <c r="K18" i="3"/>
  <c r="G18" i="5"/>
  <c r="L398" i="4"/>
  <c r="O398" i="4" s="1"/>
  <c r="Q398" i="4" s="1"/>
  <c r="L397" i="4"/>
  <c r="O397" i="4" s="1"/>
  <c r="Q397" i="4" s="1"/>
  <c r="L392" i="4"/>
  <c r="O392" i="4" s="1"/>
  <c r="Q392" i="4" s="1"/>
  <c r="L391" i="4"/>
  <c r="O391" i="4" s="1"/>
  <c r="Q391" i="4" s="1"/>
  <c r="L390" i="4"/>
  <c r="O390" i="4" s="1"/>
  <c r="Q390" i="4" s="1"/>
  <c r="L389" i="4"/>
  <c r="O389" i="4" s="1"/>
  <c r="Q389" i="4" s="1"/>
  <c r="L388" i="4"/>
  <c r="O388" i="4" s="1"/>
  <c r="Q388" i="4" s="1"/>
  <c r="L387" i="4"/>
  <c r="O387" i="4" s="1"/>
  <c r="Q387" i="4" s="1"/>
  <c r="L355" i="4"/>
  <c r="O355" i="4" s="1"/>
  <c r="Q355" i="4" s="1"/>
  <c r="L353" i="4"/>
  <c r="O353" i="4" s="1"/>
  <c r="Q353" i="4" s="1"/>
  <c r="J19" i="3"/>
  <c r="L19" i="3" s="1"/>
  <c r="M19" i="3" s="1"/>
  <c r="H18" i="5"/>
  <c r="N398" i="4"/>
  <c r="P398" i="4" s="1"/>
  <c r="N397" i="4"/>
  <c r="P397" i="4" s="1"/>
  <c r="N392" i="4"/>
  <c r="P392" i="4" s="1"/>
  <c r="N391" i="4"/>
  <c r="P391" i="4" s="1"/>
  <c r="N390" i="4"/>
  <c r="P390" i="4" s="1"/>
  <c r="N389" i="4"/>
  <c r="P389" i="4" s="1"/>
  <c r="N388" i="4"/>
  <c r="P388" i="4" s="1"/>
  <c r="N387" i="4"/>
  <c r="P387" i="4" s="1"/>
  <c r="N355" i="4"/>
  <c r="P355" i="4" s="1"/>
  <c r="N353" i="4"/>
  <c r="P353" i="4" s="1"/>
  <c r="K19" i="3"/>
  <c r="G19" i="5"/>
  <c r="L567" i="4"/>
  <c r="O567" i="4" s="1"/>
  <c r="Q567" i="4" s="1"/>
  <c r="L564" i="4"/>
  <c r="O564" i="4" s="1"/>
  <c r="Q564" i="4" s="1"/>
  <c r="L563" i="4"/>
  <c r="O563" i="4" s="1"/>
  <c r="Q563" i="4" s="1"/>
  <c r="L562" i="4"/>
  <c r="O562" i="4" s="1"/>
  <c r="Q562" i="4" s="1"/>
  <c r="L551" i="4"/>
  <c r="O551" i="4" s="1"/>
  <c r="Q551" i="4" s="1"/>
  <c r="L545" i="4"/>
  <c r="O545" i="4" s="1"/>
  <c r="Q545" i="4" s="1"/>
  <c r="L543" i="4"/>
  <c r="O543" i="4" s="1"/>
  <c r="Q543" i="4" s="1"/>
  <c r="L542" i="4"/>
  <c r="O542" i="4" s="1"/>
  <c r="Q542" i="4" s="1"/>
  <c r="L541" i="4"/>
  <c r="O541" i="4" s="1"/>
  <c r="Q541" i="4" s="1"/>
  <c r="L540" i="4"/>
  <c r="O540" i="4" s="1"/>
  <c r="Q540" i="4" s="1"/>
  <c r="L539" i="4"/>
  <c r="O539" i="4" s="1"/>
  <c r="Q539" i="4" s="1"/>
  <c r="L538" i="4"/>
  <c r="O538" i="4" s="1"/>
  <c r="Q538" i="4" s="1"/>
  <c r="L537" i="4"/>
  <c r="O537" i="4" s="1"/>
  <c r="Q537" i="4" s="1"/>
  <c r="L534" i="4"/>
  <c r="O534" i="4" s="1"/>
  <c r="Q534" i="4" s="1"/>
  <c r="L533" i="4"/>
  <c r="O533" i="4" s="1"/>
  <c r="Q533" i="4" s="1"/>
  <c r="L518" i="4"/>
  <c r="O518" i="4" s="1"/>
  <c r="Q518" i="4" s="1"/>
  <c r="L512" i="4"/>
  <c r="O512" i="4" s="1"/>
  <c r="Q512" i="4" s="1"/>
  <c r="L511" i="4"/>
  <c r="O511" i="4" s="1"/>
  <c r="Q511" i="4" s="1"/>
  <c r="L510" i="4"/>
  <c r="O510" i="4" s="1"/>
  <c r="Q510" i="4" s="1"/>
  <c r="L509" i="4"/>
  <c r="O509" i="4" s="1"/>
  <c r="Q509" i="4" s="1"/>
  <c r="L508" i="4"/>
  <c r="O508" i="4" s="1"/>
  <c r="Q508" i="4" s="1"/>
  <c r="L507" i="4"/>
  <c r="O507" i="4" s="1"/>
  <c r="Q507" i="4" s="1"/>
  <c r="L506" i="4"/>
  <c r="O506" i="4" s="1"/>
  <c r="Q506" i="4" s="1"/>
  <c r="L504" i="4"/>
  <c r="O504" i="4" s="1"/>
  <c r="Q504" i="4" s="1"/>
  <c r="L501" i="4"/>
  <c r="O501" i="4" s="1"/>
  <c r="Q501" i="4" s="1"/>
  <c r="L500" i="4"/>
  <c r="O500" i="4" s="1"/>
  <c r="Q500" i="4" s="1"/>
  <c r="L499" i="4"/>
  <c r="O499" i="4" s="1"/>
  <c r="Q499" i="4" s="1"/>
  <c r="L498" i="4"/>
  <c r="O498" i="4" s="1"/>
  <c r="Q498" i="4" s="1"/>
  <c r="L497" i="4"/>
  <c r="O497" i="4" s="1"/>
  <c r="Q497" i="4" s="1"/>
  <c r="L487" i="4"/>
  <c r="O487" i="4" s="1"/>
  <c r="Q487" i="4" s="1"/>
  <c r="L483" i="4"/>
  <c r="O483" i="4" s="1"/>
  <c r="Q483" i="4" s="1"/>
  <c r="L482" i="4"/>
  <c r="O482" i="4" s="1"/>
  <c r="Q482" i="4" s="1"/>
  <c r="L481" i="4"/>
  <c r="O481" i="4" s="1"/>
  <c r="Q481" i="4" s="1"/>
  <c r="L480" i="4"/>
  <c r="O480" i="4" s="1"/>
  <c r="Q480" i="4" s="1"/>
  <c r="L479" i="4"/>
  <c r="O479" i="4" s="1"/>
  <c r="Q479" i="4" s="1"/>
  <c r="L478" i="4"/>
  <c r="O478" i="4" s="1"/>
  <c r="Q478" i="4" s="1"/>
  <c r="L477" i="4"/>
  <c r="O477" i="4" s="1"/>
  <c r="Q477" i="4" s="1"/>
  <c r="L476" i="4"/>
  <c r="O476" i="4" s="1"/>
  <c r="Q476" i="4" s="1"/>
  <c r="L475" i="4"/>
  <c r="O475" i="4" s="1"/>
  <c r="Q475" i="4" s="1"/>
  <c r="L474" i="4"/>
  <c r="O474" i="4" s="1"/>
  <c r="Q474" i="4" s="1"/>
  <c r="L471" i="4"/>
  <c r="O471" i="4" s="1"/>
  <c r="Q471" i="4" s="1"/>
  <c r="L461" i="4"/>
  <c r="O461" i="4" s="1"/>
  <c r="Q461" i="4" s="1"/>
  <c r="L460" i="4"/>
  <c r="O460" i="4" s="1"/>
  <c r="Q460" i="4" s="1"/>
  <c r="L459" i="4"/>
  <c r="O459" i="4" s="1"/>
  <c r="Q459" i="4" s="1"/>
  <c r="L458" i="4"/>
  <c r="O458" i="4" s="1"/>
  <c r="Q458" i="4" s="1"/>
  <c r="L451" i="4"/>
  <c r="O451" i="4" s="1"/>
  <c r="Q451" i="4" s="1"/>
  <c r="L444" i="4"/>
  <c r="O444" i="4" s="1"/>
  <c r="Q444" i="4" s="1"/>
  <c r="L443" i="4"/>
  <c r="O443" i="4" s="1"/>
  <c r="Q443" i="4" s="1"/>
  <c r="L418" i="4"/>
  <c r="O418" i="4" s="1"/>
  <c r="Q418" i="4" s="1"/>
  <c r="L375" i="4"/>
  <c r="O375" i="4" s="1"/>
  <c r="Q375" i="4" s="1"/>
  <c r="L373" i="4"/>
  <c r="O373" i="4" s="1"/>
  <c r="Q373" i="4" s="1"/>
  <c r="L348" i="4"/>
  <c r="O348" i="4" s="1"/>
  <c r="Q348" i="4" s="1"/>
  <c r="L347" i="4"/>
  <c r="O347" i="4" s="1"/>
  <c r="Q347" i="4" s="1"/>
  <c r="L346" i="4"/>
  <c r="O346" i="4" s="1"/>
  <c r="Q346" i="4" s="1"/>
  <c r="L345" i="4"/>
  <c r="O345" i="4" s="1"/>
  <c r="Q345" i="4" s="1"/>
  <c r="L336" i="4"/>
  <c r="O336" i="4" s="1"/>
  <c r="Q336" i="4" s="1"/>
  <c r="L335" i="4"/>
  <c r="O335" i="4" s="1"/>
  <c r="Q335" i="4" s="1"/>
  <c r="L330" i="4"/>
  <c r="O330" i="4" s="1"/>
  <c r="Q330" i="4" s="1"/>
  <c r="L329" i="4"/>
  <c r="O329" i="4" s="1"/>
  <c r="Q329" i="4" s="1"/>
  <c r="L322" i="4"/>
  <c r="O322" i="4" s="1"/>
  <c r="Q322" i="4" s="1"/>
  <c r="L321" i="4"/>
  <c r="O321" i="4" s="1"/>
  <c r="Q321" i="4" s="1"/>
  <c r="L316" i="4"/>
  <c r="O316" i="4" s="1"/>
  <c r="Q316" i="4" s="1"/>
  <c r="L315" i="4"/>
  <c r="O315" i="4" s="1"/>
  <c r="Q315" i="4" s="1"/>
  <c r="L307" i="4"/>
  <c r="O307" i="4" s="1"/>
  <c r="Q307" i="4" s="1"/>
  <c r="L306" i="4"/>
  <c r="O306" i="4" s="1"/>
  <c r="Q306" i="4" s="1"/>
  <c r="L305" i="4"/>
  <c r="O305" i="4" s="1"/>
  <c r="Q305" i="4" s="1"/>
  <c r="L304" i="4"/>
  <c r="O304" i="4" s="1"/>
  <c r="Q304" i="4" s="1"/>
  <c r="L283" i="4"/>
  <c r="O283" i="4" s="1"/>
  <c r="Q283" i="4" s="1"/>
  <c r="L282" i="4"/>
  <c r="O282" i="4" s="1"/>
  <c r="Q282" i="4" s="1"/>
  <c r="L279" i="4"/>
  <c r="O279" i="4" s="1"/>
  <c r="Q279" i="4" s="1"/>
  <c r="L278" i="4"/>
  <c r="O278" i="4" s="1"/>
  <c r="Q278" i="4" s="1"/>
  <c r="L268" i="4"/>
  <c r="O268" i="4" s="1"/>
  <c r="Q268" i="4" s="1"/>
  <c r="L267" i="4"/>
  <c r="O267" i="4" s="1"/>
  <c r="Q267" i="4" s="1"/>
  <c r="L266" i="4"/>
  <c r="O266" i="4" s="1"/>
  <c r="Q266" i="4" s="1"/>
  <c r="L265" i="4"/>
  <c r="O265" i="4" s="1"/>
  <c r="Q265" i="4" s="1"/>
  <c r="L256" i="4"/>
  <c r="O256" i="4" s="1"/>
  <c r="Q256" i="4" s="1"/>
  <c r="L255" i="4"/>
  <c r="O255" i="4" s="1"/>
  <c r="Q255" i="4" s="1"/>
  <c r="L251" i="4"/>
  <c r="O251" i="4" s="1"/>
  <c r="Q251" i="4" s="1"/>
  <c r="L206" i="4"/>
  <c r="O206" i="4" s="1"/>
  <c r="Q206" i="4" s="1"/>
  <c r="L205" i="4"/>
  <c r="O205" i="4" s="1"/>
  <c r="Q205" i="4" s="1"/>
  <c r="L204" i="4"/>
  <c r="O204" i="4" s="1"/>
  <c r="Q204" i="4" s="1"/>
  <c r="L203" i="4"/>
  <c r="O203" i="4" s="1"/>
  <c r="Q203" i="4" s="1"/>
  <c r="L202" i="4"/>
  <c r="O202" i="4" s="1"/>
  <c r="Q202" i="4" s="1"/>
  <c r="L199" i="4"/>
  <c r="O199" i="4" s="1"/>
  <c r="Q199" i="4" s="1"/>
  <c r="L198" i="4"/>
  <c r="O198" i="4" s="1"/>
  <c r="Q198" i="4" s="1"/>
  <c r="L157" i="4"/>
  <c r="O157" i="4" s="1"/>
  <c r="Q157" i="4" s="1"/>
  <c r="L156" i="4"/>
  <c r="O156" i="4" s="1"/>
  <c r="Q156" i="4" s="1"/>
  <c r="L148" i="4"/>
  <c r="O148" i="4" s="1"/>
  <c r="Q148" i="4" s="1"/>
  <c r="L147" i="4"/>
  <c r="O147" i="4" s="1"/>
  <c r="Q147" i="4" s="1"/>
  <c r="L146" i="4"/>
  <c r="O146" i="4" s="1"/>
  <c r="Q146" i="4" s="1"/>
  <c r="L145" i="4"/>
  <c r="O145" i="4" s="1"/>
  <c r="Q145" i="4" s="1"/>
  <c r="L135" i="4"/>
  <c r="O135" i="4" s="1"/>
  <c r="Q135" i="4" s="1"/>
  <c r="L134" i="4"/>
  <c r="O134" i="4" s="1"/>
  <c r="Q134" i="4" s="1"/>
  <c r="L133" i="4"/>
  <c r="O133" i="4" s="1"/>
  <c r="Q133" i="4" s="1"/>
  <c r="L132" i="4"/>
  <c r="O132" i="4" s="1"/>
  <c r="Q132" i="4" s="1"/>
  <c r="L131" i="4"/>
  <c r="O131" i="4" s="1"/>
  <c r="Q131" i="4" s="1"/>
  <c r="L128" i="4"/>
  <c r="O128" i="4" s="1"/>
  <c r="Q128" i="4" s="1"/>
  <c r="L127" i="4"/>
  <c r="O127" i="4" s="1"/>
  <c r="Q127" i="4" s="1"/>
  <c r="L126" i="4"/>
  <c r="O126" i="4" s="1"/>
  <c r="Q126" i="4" s="1"/>
  <c r="L125" i="4"/>
  <c r="O125" i="4" s="1"/>
  <c r="Q125" i="4" s="1"/>
  <c r="L124" i="4"/>
  <c r="O124" i="4" s="1"/>
  <c r="Q124" i="4" s="1"/>
  <c r="L123" i="4"/>
  <c r="O123" i="4" s="1"/>
  <c r="Q123" i="4" s="1"/>
  <c r="L122" i="4"/>
  <c r="O122" i="4" s="1"/>
  <c r="Q122" i="4" s="1"/>
  <c r="L120" i="4"/>
  <c r="O120" i="4" s="1"/>
  <c r="Q120" i="4" s="1"/>
  <c r="L118" i="4"/>
  <c r="O118" i="4" s="1"/>
  <c r="Q118" i="4" s="1"/>
  <c r="L116" i="4"/>
  <c r="O116" i="4" s="1"/>
  <c r="Q116" i="4" s="1"/>
  <c r="L115" i="4"/>
  <c r="O115" i="4" s="1"/>
  <c r="Q115" i="4" s="1"/>
  <c r="L112" i="4"/>
  <c r="O112" i="4" s="1"/>
  <c r="Q112" i="4" s="1"/>
  <c r="L105" i="4"/>
  <c r="O105" i="4" s="1"/>
  <c r="Q105" i="4" s="1"/>
  <c r="L103" i="4"/>
  <c r="O103" i="4" s="1"/>
  <c r="Q103" i="4" s="1"/>
  <c r="L102" i="4"/>
  <c r="O102" i="4" s="1"/>
  <c r="Q102" i="4" s="1"/>
  <c r="L101" i="4"/>
  <c r="O101" i="4" s="1"/>
  <c r="Q101" i="4" s="1"/>
  <c r="L100" i="4"/>
  <c r="O100" i="4" s="1"/>
  <c r="Q100" i="4" s="1"/>
  <c r="L98" i="4"/>
  <c r="O98" i="4" s="1"/>
  <c r="Q98" i="4" s="1"/>
  <c r="L96" i="4"/>
  <c r="O96" i="4" s="1"/>
  <c r="Q96" i="4" s="1"/>
  <c r="L93" i="4"/>
  <c r="O93" i="4" s="1"/>
  <c r="Q93" i="4" s="1"/>
  <c r="L91" i="4"/>
  <c r="O91" i="4" s="1"/>
  <c r="Q91" i="4" s="1"/>
  <c r="L89" i="4"/>
  <c r="O89" i="4" s="1"/>
  <c r="Q89" i="4" s="1"/>
  <c r="L88" i="4"/>
  <c r="O88" i="4" s="1"/>
  <c r="Q88" i="4" s="1"/>
  <c r="L83" i="4"/>
  <c r="O83" i="4" s="1"/>
  <c r="Q83" i="4" s="1"/>
  <c r="L82" i="4"/>
  <c r="O82" i="4" s="1"/>
  <c r="Q82" i="4" s="1"/>
  <c r="L79" i="4"/>
  <c r="O79" i="4" s="1"/>
  <c r="Q79" i="4" s="1"/>
  <c r="L78" i="4"/>
  <c r="O78" i="4" s="1"/>
  <c r="Q78" i="4" s="1"/>
  <c r="L77" i="4"/>
  <c r="O77" i="4" s="1"/>
  <c r="Q77" i="4" s="1"/>
  <c r="L76" i="4"/>
  <c r="O76" i="4" s="1"/>
  <c r="Q76" i="4" s="1"/>
  <c r="L74" i="4"/>
  <c r="O74" i="4" s="1"/>
  <c r="Q74" i="4" s="1"/>
  <c r="L73" i="4"/>
  <c r="O73" i="4" s="1"/>
  <c r="Q73" i="4" s="1"/>
  <c r="L72" i="4"/>
  <c r="O72" i="4" s="1"/>
  <c r="Q72" i="4" s="1"/>
  <c r="L69" i="4"/>
  <c r="O69" i="4" s="1"/>
  <c r="Q69" i="4" s="1"/>
  <c r="L68" i="4"/>
  <c r="O68" i="4" s="1"/>
  <c r="Q68" i="4" s="1"/>
  <c r="L67" i="4"/>
  <c r="O67" i="4" s="1"/>
  <c r="Q67" i="4" s="1"/>
  <c r="L64" i="4"/>
  <c r="O64" i="4" s="1"/>
  <c r="Q64" i="4" s="1"/>
  <c r="L58" i="4"/>
  <c r="O58" i="4" s="1"/>
  <c r="Q58" i="4" s="1"/>
  <c r="L51" i="4"/>
  <c r="O51" i="4" s="1"/>
  <c r="Q51" i="4" s="1"/>
  <c r="L46" i="4"/>
  <c r="O46" i="4" s="1"/>
  <c r="Q46" i="4" s="1"/>
  <c r="L36" i="4"/>
  <c r="O36" i="4" s="1"/>
  <c r="Q36" i="4" s="1"/>
  <c r="L35" i="4"/>
  <c r="O35" i="4" s="1"/>
  <c r="Q35" i="4" s="1"/>
  <c r="L31" i="4"/>
  <c r="O31" i="4" s="1"/>
  <c r="Q31" i="4" s="1"/>
  <c r="L28" i="4"/>
  <c r="O28" i="4" s="1"/>
  <c r="Q28" i="4" s="1"/>
  <c r="L24" i="4"/>
  <c r="O24" i="4" s="1"/>
  <c r="Q24" i="4" s="1"/>
  <c r="L8" i="4"/>
  <c r="O8" i="4" s="1"/>
  <c r="Q8" i="4" s="1"/>
  <c r="J20" i="3"/>
  <c r="L20" i="3" s="1"/>
  <c r="M20" i="3" s="1"/>
  <c r="H19" i="5"/>
  <c r="N567" i="4"/>
  <c r="P567" i="4" s="1"/>
  <c r="N564" i="4"/>
  <c r="P564" i="4" s="1"/>
  <c r="N563" i="4"/>
  <c r="P563" i="4" s="1"/>
  <c r="N562" i="4"/>
  <c r="P562" i="4" s="1"/>
  <c r="N551" i="4"/>
  <c r="P551" i="4" s="1"/>
  <c r="N545" i="4"/>
  <c r="P545" i="4" s="1"/>
  <c r="N543" i="4"/>
  <c r="P543" i="4" s="1"/>
  <c r="N542" i="4"/>
  <c r="P542" i="4" s="1"/>
  <c r="N541" i="4"/>
  <c r="P541" i="4" s="1"/>
  <c r="N540" i="4"/>
  <c r="P540" i="4" s="1"/>
  <c r="N539" i="4"/>
  <c r="P539" i="4" s="1"/>
  <c r="N538" i="4"/>
  <c r="P538" i="4" s="1"/>
  <c r="N537" i="4"/>
  <c r="P537" i="4" s="1"/>
  <c r="N534" i="4"/>
  <c r="P534" i="4" s="1"/>
  <c r="N533" i="4"/>
  <c r="P533" i="4" s="1"/>
  <c r="N518" i="4"/>
  <c r="P518" i="4" s="1"/>
  <c r="N512" i="4"/>
  <c r="P512" i="4" s="1"/>
  <c r="N511" i="4"/>
  <c r="P511" i="4" s="1"/>
  <c r="N510" i="4"/>
  <c r="P510" i="4" s="1"/>
  <c r="N509" i="4"/>
  <c r="P509" i="4" s="1"/>
  <c r="N508" i="4"/>
  <c r="P508" i="4" s="1"/>
  <c r="N507" i="4"/>
  <c r="P507" i="4" s="1"/>
  <c r="N506" i="4"/>
  <c r="P506" i="4" s="1"/>
  <c r="N504" i="4"/>
  <c r="P504" i="4" s="1"/>
  <c r="N501" i="4"/>
  <c r="P501" i="4" s="1"/>
  <c r="N500" i="4"/>
  <c r="P500" i="4" s="1"/>
  <c r="N499" i="4"/>
  <c r="P499" i="4" s="1"/>
  <c r="N498" i="4"/>
  <c r="P498" i="4" s="1"/>
  <c r="N497" i="4"/>
  <c r="P497" i="4" s="1"/>
  <c r="N487" i="4"/>
  <c r="P487" i="4" s="1"/>
  <c r="N483" i="4"/>
  <c r="P483" i="4" s="1"/>
  <c r="N482" i="4"/>
  <c r="P482" i="4" s="1"/>
  <c r="N481" i="4"/>
  <c r="P481" i="4" s="1"/>
  <c r="N480" i="4"/>
  <c r="P480" i="4" s="1"/>
  <c r="N479" i="4"/>
  <c r="P479" i="4" s="1"/>
  <c r="N478" i="4"/>
  <c r="P478" i="4" s="1"/>
  <c r="N477" i="4"/>
  <c r="P477" i="4" s="1"/>
  <c r="N476" i="4"/>
  <c r="P476" i="4" s="1"/>
  <c r="N475" i="4"/>
  <c r="P475" i="4" s="1"/>
  <c r="N474" i="4"/>
  <c r="P474" i="4" s="1"/>
  <c r="N471" i="4"/>
  <c r="P471" i="4" s="1"/>
  <c r="N461" i="4"/>
  <c r="P461" i="4" s="1"/>
  <c r="N460" i="4"/>
  <c r="P460" i="4" s="1"/>
  <c r="N459" i="4"/>
  <c r="P459" i="4" s="1"/>
  <c r="N458" i="4"/>
  <c r="P458" i="4" s="1"/>
  <c r="N451" i="4"/>
  <c r="P451" i="4" s="1"/>
  <c r="N444" i="4"/>
  <c r="P444" i="4" s="1"/>
  <c r="N443" i="4"/>
  <c r="P443" i="4" s="1"/>
  <c r="N418" i="4"/>
  <c r="P418" i="4" s="1"/>
  <c r="N375" i="4"/>
  <c r="P375" i="4" s="1"/>
  <c r="N373" i="4"/>
  <c r="P373" i="4" s="1"/>
  <c r="N348" i="4"/>
  <c r="P348" i="4" s="1"/>
  <c r="N347" i="4"/>
  <c r="P347" i="4" s="1"/>
  <c r="N346" i="4"/>
  <c r="P346" i="4" s="1"/>
  <c r="N345" i="4"/>
  <c r="P345" i="4" s="1"/>
  <c r="N336" i="4"/>
  <c r="P336" i="4" s="1"/>
  <c r="N335" i="4"/>
  <c r="P335" i="4" s="1"/>
  <c r="N330" i="4"/>
  <c r="P330" i="4" s="1"/>
  <c r="N329" i="4"/>
  <c r="P329" i="4" s="1"/>
  <c r="N322" i="4"/>
  <c r="P322" i="4" s="1"/>
  <c r="N321" i="4"/>
  <c r="P321" i="4" s="1"/>
  <c r="N316" i="4"/>
  <c r="P316" i="4" s="1"/>
  <c r="N315" i="4"/>
  <c r="P315" i="4" s="1"/>
  <c r="N307" i="4"/>
  <c r="P307" i="4" s="1"/>
  <c r="N306" i="4"/>
  <c r="P306" i="4" s="1"/>
  <c r="N305" i="4"/>
  <c r="P305" i="4" s="1"/>
  <c r="N304" i="4"/>
  <c r="P304" i="4" s="1"/>
  <c r="N283" i="4"/>
  <c r="P283" i="4" s="1"/>
  <c r="N282" i="4"/>
  <c r="P282" i="4" s="1"/>
  <c r="N279" i="4"/>
  <c r="P279" i="4" s="1"/>
  <c r="N278" i="4"/>
  <c r="P278" i="4" s="1"/>
  <c r="N268" i="4"/>
  <c r="P268" i="4" s="1"/>
  <c r="N267" i="4"/>
  <c r="P267" i="4" s="1"/>
  <c r="N266" i="4"/>
  <c r="P266" i="4" s="1"/>
  <c r="N265" i="4"/>
  <c r="P265" i="4" s="1"/>
  <c r="N256" i="4"/>
  <c r="P256" i="4" s="1"/>
  <c r="N255" i="4"/>
  <c r="P255" i="4" s="1"/>
  <c r="N251" i="4"/>
  <c r="P251" i="4" s="1"/>
  <c r="N206" i="4"/>
  <c r="P206" i="4" s="1"/>
  <c r="N205" i="4"/>
  <c r="P205" i="4" s="1"/>
  <c r="N204" i="4"/>
  <c r="P204" i="4" s="1"/>
  <c r="N203" i="4"/>
  <c r="P203" i="4" s="1"/>
  <c r="N202" i="4"/>
  <c r="P202" i="4" s="1"/>
  <c r="N199" i="4"/>
  <c r="P199" i="4" s="1"/>
  <c r="N198" i="4"/>
  <c r="P198" i="4" s="1"/>
  <c r="N157" i="4"/>
  <c r="P157" i="4" s="1"/>
  <c r="N156" i="4"/>
  <c r="P156" i="4" s="1"/>
  <c r="N148" i="4"/>
  <c r="P148" i="4" s="1"/>
  <c r="N147" i="4"/>
  <c r="P147" i="4" s="1"/>
  <c r="N146" i="4"/>
  <c r="P146" i="4" s="1"/>
  <c r="N145" i="4"/>
  <c r="P145" i="4" s="1"/>
  <c r="N135" i="4"/>
  <c r="P135" i="4" s="1"/>
  <c r="N134" i="4"/>
  <c r="P134" i="4" s="1"/>
  <c r="N133" i="4"/>
  <c r="P133" i="4" s="1"/>
  <c r="N132" i="4"/>
  <c r="P132" i="4" s="1"/>
  <c r="N131" i="4"/>
  <c r="P131" i="4" s="1"/>
  <c r="N128" i="4"/>
  <c r="P128" i="4" s="1"/>
  <c r="N127" i="4"/>
  <c r="P127" i="4" s="1"/>
  <c r="N126" i="4"/>
  <c r="P126" i="4" s="1"/>
  <c r="N125" i="4"/>
  <c r="P125" i="4" s="1"/>
  <c r="N124" i="4"/>
  <c r="P124" i="4" s="1"/>
  <c r="N123" i="4"/>
  <c r="P123" i="4" s="1"/>
  <c r="N122" i="4"/>
  <c r="P122" i="4" s="1"/>
  <c r="N120" i="4"/>
  <c r="P120" i="4" s="1"/>
  <c r="N118" i="4"/>
  <c r="P118" i="4" s="1"/>
  <c r="N116" i="4"/>
  <c r="P116" i="4" s="1"/>
  <c r="N115" i="4"/>
  <c r="P115" i="4" s="1"/>
  <c r="N112" i="4"/>
  <c r="P112" i="4" s="1"/>
  <c r="N105" i="4"/>
  <c r="P105" i="4" s="1"/>
  <c r="N103" i="4"/>
  <c r="P103" i="4" s="1"/>
  <c r="N102" i="4"/>
  <c r="P102" i="4" s="1"/>
  <c r="N101" i="4"/>
  <c r="P101" i="4" s="1"/>
  <c r="N100" i="4"/>
  <c r="P100" i="4" s="1"/>
  <c r="N98" i="4"/>
  <c r="P98" i="4" s="1"/>
  <c r="N96" i="4"/>
  <c r="P96" i="4" s="1"/>
  <c r="N93" i="4"/>
  <c r="P93" i="4" s="1"/>
  <c r="N91" i="4"/>
  <c r="P91" i="4" s="1"/>
  <c r="N89" i="4"/>
  <c r="P89" i="4" s="1"/>
  <c r="N88" i="4"/>
  <c r="P88" i="4" s="1"/>
  <c r="N83" i="4"/>
  <c r="P83" i="4" s="1"/>
  <c r="N82" i="4"/>
  <c r="P82" i="4" s="1"/>
  <c r="N79" i="4"/>
  <c r="P79" i="4" s="1"/>
  <c r="N78" i="4"/>
  <c r="P78" i="4" s="1"/>
  <c r="N77" i="4"/>
  <c r="P77" i="4" s="1"/>
  <c r="N76" i="4"/>
  <c r="P76" i="4" s="1"/>
  <c r="N74" i="4"/>
  <c r="P74" i="4" s="1"/>
  <c r="N73" i="4"/>
  <c r="P73" i="4" s="1"/>
  <c r="N72" i="4"/>
  <c r="P72" i="4" s="1"/>
  <c r="N69" i="4"/>
  <c r="P69" i="4" s="1"/>
  <c r="N68" i="4"/>
  <c r="P68" i="4" s="1"/>
  <c r="N67" i="4"/>
  <c r="P67" i="4" s="1"/>
  <c r="N64" i="4"/>
  <c r="P64" i="4" s="1"/>
  <c r="N58" i="4"/>
  <c r="P58" i="4" s="1"/>
  <c r="N51" i="4"/>
  <c r="P51" i="4" s="1"/>
  <c r="N46" i="4"/>
  <c r="P46" i="4" s="1"/>
  <c r="N36" i="4"/>
  <c r="P36" i="4" s="1"/>
  <c r="N35" i="4"/>
  <c r="P35" i="4" s="1"/>
  <c r="N31" i="4"/>
  <c r="P31" i="4" s="1"/>
  <c r="N28" i="4"/>
  <c r="P28" i="4" s="1"/>
  <c r="N24" i="4"/>
  <c r="P24" i="4" s="1"/>
  <c r="N8" i="4"/>
  <c r="P8" i="4" s="1"/>
  <c r="K20" i="3"/>
  <c r="G20" i="5"/>
  <c r="L450" i="4"/>
  <c r="O450" i="4" s="1"/>
  <c r="Q450" i="4" s="1"/>
  <c r="L284" i="4"/>
  <c r="O284" i="4" s="1"/>
  <c r="Q284" i="4" s="1"/>
  <c r="J21" i="3"/>
  <c r="L21" i="3" s="1"/>
  <c r="M21" i="3" s="1"/>
  <c r="H20" i="5"/>
  <c r="N450" i="4"/>
  <c r="P450" i="4" s="1"/>
  <c r="N284" i="4"/>
  <c r="P284" i="4" s="1"/>
  <c r="K21" i="3"/>
  <c r="G21" i="5"/>
  <c r="L555" i="4"/>
  <c r="O555" i="4" s="1"/>
  <c r="Q555" i="4" s="1"/>
  <c r="L554" i="4"/>
  <c r="O554" i="4" s="1"/>
  <c r="Q554" i="4" s="1"/>
  <c r="L552" i="4"/>
  <c r="O552" i="4" s="1"/>
  <c r="Q552" i="4" s="1"/>
  <c r="L526" i="4"/>
  <c r="O526" i="4" s="1"/>
  <c r="Q526" i="4" s="1"/>
  <c r="L525" i="4"/>
  <c r="O525" i="4" s="1"/>
  <c r="Q525" i="4" s="1"/>
  <c r="L519" i="4"/>
  <c r="O519" i="4" s="1"/>
  <c r="Q519" i="4" s="1"/>
  <c r="L490" i="4"/>
  <c r="O490" i="4" s="1"/>
  <c r="Q490" i="4" s="1"/>
  <c r="L463" i="4"/>
  <c r="O463" i="4" s="1"/>
  <c r="Q463" i="4" s="1"/>
  <c r="J22" i="3"/>
  <c r="L22" i="3" s="1"/>
  <c r="M22" i="3" s="1"/>
  <c r="H21" i="5"/>
  <c r="N555" i="4"/>
  <c r="P555" i="4" s="1"/>
  <c r="N554" i="4"/>
  <c r="P554" i="4" s="1"/>
  <c r="N552" i="4"/>
  <c r="P552" i="4" s="1"/>
  <c r="N526" i="4"/>
  <c r="P526" i="4" s="1"/>
  <c r="N525" i="4"/>
  <c r="P525" i="4" s="1"/>
  <c r="N519" i="4"/>
  <c r="P519" i="4" s="1"/>
  <c r="N490" i="4"/>
  <c r="P490" i="4" s="1"/>
  <c r="N463" i="4"/>
  <c r="P463" i="4" s="1"/>
  <c r="K22" i="3"/>
  <c r="G22" i="5"/>
  <c r="L565" i="4"/>
  <c r="O565" i="4" s="1"/>
  <c r="Q565" i="4" s="1"/>
  <c r="L359" i="4"/>
  <c r="O359" i="4" s="1"/>
  <c r="Q359" i="4" s="1"/>
  <c r="L292" i="4"/>
  <c r="O292" i="4" s="1"/>
  <c r="Q292" i="4" s="1"/>
  <c r="L228" i="4"/>
  <c r="O228" i="4" s="1"/>
  <c r="Q228" i="4" s="1"/>
  <c r="J23" i="3"/>
  <c r="L23" i="3" s="1"/>
  <c r="M23" i="3" s="1"/>
  <c r="H22" i="5"/>
  <c r="N565" i="4"/>
  <c r="P565" i="4" s="1"/>
  <c r="N359" i="4"/>
  <c r="P359" i="4" s="1"/>
  <c r="N292" i="4"/>
  <c r="P292" i="4" s="1"/>
  <c r="N228" i="4"/>
  <c r="P228" i="4" s="1"/>
  <c r="K23" i="3"/>
  <c r="G23" i="5"/>
  <c r="L449" i="4"/>
  <c r="O449" i="4" s="1"/>
  <c r="Q449" i="4" s="1"/>
  <c r="L445" i="4"/>
  <c r="O445" i="4" s="1"/>
  <c r="Q445" i="4" s="1"/>
  <c r="L442" i="4"/>
  <c r="O442" i="4" s="1"/>
  <c r="Q442" i="4" s="1"/>
  <c r="J24" i="3"/>
  <c r="L24" i="3" s="1"/>
  <c r="M24" i="3" s="1"/>
  <c r="H23" i="5"/>
  <c r="N449" i="4"/>
  <c r="P449" i="4" s="1"/>
  <c r="N445" i="4"/>
  <c r="P445" i="4" s="1"/>
  <c r="N442" i="4"/>
  <c r="P442" i="4" s="1"/>
  <c r="K24" i="3"/>
  <c r="G24" i="5"/>
  <c r="L5" i="4"/>
  <c r="O5" i="4" s="1"/>
  <c r="J25" i="3"/>
  <c r="L25" i="3" s="1"/>
  <c r="M25" i="3" s="1"/>
  <c r="H24" i="5"/>
  <c r="N5" i="4"/>
  <c r="P5" i="4" s="1"/>
  <c r="P207" i="4" s="1"/>
  <c r="K25" i="3"/>
  <c r="G25" i="5"/>
  <c r="L566" i="4"/>
  <c r="O566" i="4" s="1"/>
  <c r="Q566" i="4" s="1"/>
  <c r="L544" i="4"/>
  <c r="O544" i="4" s="1"/>
  <c r="Q544" i="4" s="1"/>
  <c r="L536" i="4"/>
  <c r="O536" i="4" s="1"/>
  <c r="Q536" i="4" s="1"/>
  <c r="L535" i="4"/>
  <c r="O535" i="4" s="1"/>
  <c r="Q535" i="4" s="1"/>
  <c r="L254" i="4"/>
  <c r="O254" i="4" s="1"/>
  <c r="Q254" i="4" s="1"/>
  <c r="L243" i="4"/>
  <c r="O243" i="4" s="1"/>
  <c r="Q243" i="4" s="1"/>
  <c r="L242" i="4"/>
  <c r="O242" i="4" s="1"/>
  <c r="Q242" i="4" s="1"/>
  <c r="L239" i="4"/>
  <c r="O239" i="4" s="1"/>
  <c r="Q239" i="4" s="1"/>
  <c r="L238" i="4"/>
  <c r="O238" i="4" s="1"/>
  <c r="Q238" i="4" s="1"/>
  <c r="L237" i="4"/>
  <c r="O237" i="4" s="1"/>
  <c r="Q237" i="4" s="1"/>
  <c r="L236" i="4"/>
  <c r="O236" i="4" s="1"/>
  <c r="Q236" i="4" s="1"/>
  <c r="L233" i="4"/>
  <c r="O233" i="4" s="1"/>
  <c r="Q233" i="4" s="1"/>
  <c r="J26" i="3"/>
  <c r="L26" i="3" s="1"/>
  <c r="M26" i="3" s="1"/>
  <c r="H25" i="5"/>
  <c r="N566" i="4"/>
  <c r="P566" i="4" s="1"/>
  <c r="N544" i="4"/>
  <c r="P544" i="4" s="1"/>
  <c r="N536" i="4"/>
  <c r="P536" i="4" s="1"/>
  <c r="N535" i="4"/>
  <c r="P535" i="4" s="1"/>
  <c r="N254" i="4"/>
  <c r="P254" i="4" s="1"/>
  <c r="N243" i="4"/>
  <c r="P243" i="4" s="1"/>
  <c r="N242" i="4"/>
  <c r="P242" i="4" s="1"/>
  <c r="N239" i="4"/>
  <c r="P239" i="4" s="1"/>
  <c r="N238" i="4"/>
  <c r="P238" i="4" s="1"/>
  <c r="N237" i="4"/>
  <c r="P237" i="4" s="1"/>
  <c r="N236" i="4"/>
  <c r="P236" i="4" s="1"/>
  <c r="N233" i="4"/>
  <c r="P233" i="4" s="1"/>
  <c r="K26" i="3"/>
  <c r="G26" i="5"/>
  <c r="L571" i="4"/>
  <c r="O571" i="4" s="1"/>
  <c r="Q571" i="4" s="1"/>
  <c r="L570" i="4"/>
  <c r="O570" i="4" s="1"/>
  <c r="Q570" i="4" s="1"/>
  <c r="L561" i="4"/>
  <c r="O561" i="4" s="1"/>
  <c r="Q561" i="4" s="1"/>
  <c r="L560" i="4"/>
  <c r="O560" i="4" s="1"/>
  <c r="Q560" i="4" s="1"/>
  <c r="L558" i="4"/>
  <c r="O558" i="4" s="1"/>
  <c r="Q558" i="4" s="1"/>
  <c r="L557" i="4"/>
  <c r="O557" i="4" s="1"/>
  <c r="Q557" i="4" s="1"/>
  <c r="L532" i="4"/>
  <c r="O532" i="4" s="1"/>
  <c r="Q532" i="4" s="1"/>
  <c r="L531" i="4"/>
  <c r="O531" i="4" s="1"/>
  <c r="Q531" i="4" s="1"/>
  <c r="L529" i="4"/>
  <c r="O529" i="4" s="1"/>
  <c r="Q529" i="4" s="1"/>
  <c r="L528" i="4"/>
  <c r="O528" i="4" s="1"/>
  <c r="Q528" i="4" s="1"/>
  <c r="L496" i="4"/>
  <c r="O496" i="4" s="1"/>
  <c r="Q496" i="4" s="1"/>
  <c r="L495" i="4"/>
  <c r="O495" i="4" s="1"/>
  <c r="Q495" i="4" s="1"/>
  <c r="L493" i="4"/>
  <c r="O493" i="4" s="1"/>
  <c r="Q493" i="4" s="1"/>
  <c r="L492" i="4"/>
  <c r="O492" i="4" s="1"/>
  <c r="Q492" i="4" s="1"/>
  <c r="L470" i="4"/>
  <c r="O470" i="4" s="1"/>
  <c r="Q470" i="4" s="1"/>
  <c r="L469" i="4"/>
  <c r="O469" i="4" s="1"/>
  <c r="Q469" i="4" s="1"/>
  <c r="L467" i="4"/>
  <c r="O467" i="4" s="1"/>
  <c r="Q467" i="4" s="1"/>
  <c r="L466" i="4"/>
  <c r="O466" i="4" s="1"/>
  <c r="Q466" i="4" s="1"/>
  <c r="L465" i="4"/>
  <c r="O465" i="4" s="1"/>
  <c r="Q465" i="4" s="1"/>
  <c r="L441" i="4"/>
  <c r="O441" i="4" s="1"/>
  <c r="Q441" i="4" s="1"/>
  <c r="L438" i="4"/>
  <c r="O438" i="4" s="1"/>
  <c r="Q438" i="4" s="1"/>
  <c r="L435" i="4"/>
  <c r="O435" i="4" s="1"/>
  <c r="Q435" i="4" s="1"/>
  <c r="L434" i="4"/>
  <c r="O434" i="4" s="1"/>
  <c r="Q434" i="4" s="1"/>
  <c r="L383" i="4"/>
  <c r="O383" i="4" s="1"/>
  <c r="Q383" i="4" s="1"/>
  <c r="L382" i="4"/>
  <c r="O382" i="4" s="1"/>
  <c r="Q382" i="4" s="1"/>
  <c r="L380" i="4"/>
  <c r="O380" i="4" s="1"/>
  <c r="Q380" i="4" s="1"/>
  <c r="L379" i="4"/>
  <c r="O379" i="4" s="1"/>
  <c r="Q379" i="4" s="1"/>
  <c r="L362" i="4"/>
  <c r="O362" i="4" s="1"/>
  <c r="Q362" i="4" s="1"/>
  <c r="L361" i="4"/>
  <c r="O361" i="4" s="1"/>
  <c r="Q361" i="4" s="1"/>
  <c r="L351" i="4"/>
  <c r="O351" i="4" s="1"/>
  <c r="Q351" i="4" s="1"/>
  <c r="L350" i="4"/>
  <c r="O350" i="4" s="1"/>
  <c r="Q350" i="4" s="1"/>
  <c r="L349" i="4"/>
  <c r="O349" i="4" s="1"/>
  <c r="Q349" i="4" s="1"/>
  <c r="L286" i="4"/>
  <c r="O286" i="4" s="1"/>
  <c r="Q286" i="4" s="1"/>
  <c r="L285" i="4"/>
  <c r="O285" i="4" s="1"/>
  <c r="Q285" i="4" s="1"/>
  <c r="L277" i="4"/>
  <c r="O277" i="4" s="1"/>
  <c r="Q277" i="4" s="1"/>
  <c r="L276" i="4"/>
  <c r="O276" i="4" s="1"/>
  <c r="Q276" i="4" s="1"/>
  <c r="L275" i="4"/>
  <c r="O275" i="4" s="1"/>
  <c r="Q275" i="4" s="1"/>
  <c r="L259" i="4"/>
  <c r="O259" i="4" s="1"/>
  <c r="Q259" i="4" s="1"/>
  <c r="L258" i="4"/>
  <c r="O258" i="4" s="1"/>
  <c r="Q258" i="4" s="1"/>
  <c r="L246" i="4"/>
  <c r="O246" i="4" s="1"/>
  <c r="Q246" i="4" s="1"/>
  <c r="L245" i="4"/>
  <c r="O245" i="4" s="1"/>
  <c r="Q245" i="4" s="1"/>
  <c r="L226" i="4"/>
  <c r="O226" i="4" s="1"/>
  <c r="Q226" i="4" s="1"/>
  <c r="L225" i="4"/>
  <c r="O225" i="4" s="1"/>
  <c r="Q225" i="4" s="1"/>
  <c r="L201" i="4"/>
  <c r="O201" i="4" s="1"/>
  <c r="Q201" i="4" s="1"/>
  <c r="L200" i="4"/>
  <c r="O200" i="4" s="1"/>
  <c r="Q200" i="4" s="1"/>
  <c r="L192" i="4"/>
  <c r="O192" i="4" s="1"/>
  <c r="Q192" i="4" s="1"/>
  <c r="L191" i="4"/>
  <c r="O191" i="4" s="1"/>
  <c r="Q191" i="4" s="1"/>
  <c r="L188" i="4"/>
  <c r="O188" i="4" s="1"/>
  <c r="Q188" i="4" s="1"/>
  <c r="L182" i="4"/>
  <c r="O182" i="4" s="1"/>
  <c r="Q182" i="4" s="1"/>
  <c r="L178" i="4"/>
  <c r="O178" i="4" s="1"/>
  <c r="Q178" i="4" s="1"/>
  <c r="L177" i="4"/>
  <c r="O177" i="4" s="1"/>
  <c r="Q177" i="4" s="1"/>
  <c r="L176" i="4"/>
  <c r="O176" i="4" s="1"/>
  <c r="Q176" i="4" s="1"/>
  <c r="L165" i="4"/>
  <c r="O165" i="4" s="1"/>
  <c r="Q165" i="4" s="1"/>
  <c r="L164" i="4"/>
  <c r="O164" i="4" s="1"/>
  <c r="Q164" i="4" s="1"/>
  <c r="L163" i="4"/>
  <c r="O163" i="4" s="1"/>
  <c r="Q163" i="4" s="1"/>
  <c r="L150" i="4"/>
  <c r="O150" i="4" s="1"/>
  <c r="Q150" i="4" s="1"/>
  <c r="L149" i="4"/>
  <c r="O149" i="4" s="1"/>
  <c r="Q149" i="4" s="1"/>
  <c r="L140" i="4"/>
  <c r="O140" i="4" s="1"/>
  <c r="Q140" i="4" s="1"/>
  <c r="L137" i="4"/>
  <c r="O137" i="4" s="1"/>
  <c r="Q137" i="4" s="1"/>
  <c r="L136" i="4"/>
  <c r="O136" i="4" s="1"/>
  <c r="Q136" i="4" s="1"/>
  <c r="L119" i="4"/>
  <c r="O119" i="4" s="1"/>
  <c r="Q119" i="4" s="1"/>
  <c r="L113" i="4"/>
  <c r="O113" i="4" s="1"/>
  <c r="Q113" i="4" s="1"/>
  <c r="L110" i="4"/>
  <c r="O110" i="4" s="1"/>
  <c r="Q110" i="4" s="1"/>
  <c r="L92" i="4"/>
  <c r="O92" i="4" s="1"/>
  <c r="Q92" i="4" s="1"/>
  <c r="L86" i="4"/>
  <c r="O86" i="4" s="1"/>
  <c r="Q86" i="4" s="1"/>
  <c r="L65" i="4"/>
  <c r="O65" i="4" s="1"/>
  <c r="Q65" i="4" s="1"/>
  <c r="L62" i="4"/>
  <c r="O62" i="4" s="1"/>
  <c r="Q62" i="4" s="1"/>
  <c r="L38" i="4"/>
  <c r="O38" i="4" s="1"/>
  <c r="Q38" i="4" s="1"/>
  <c r="L14" i="4"/>
  <c r="O14" i="4" s="1"/>
  <c r="Q14" i="4" s="1"/>
  <c r="J27" i="3"/>
  <c r="L27" i="3" s="1"/>
  <c r="M27" i="3" s="1"/>
  <c r="H26" i="5"/>
  <c r="N571" i="4"/>
  <c r="P571" i="4" s="1"/>
  <c r="N570" i="4"/>
  <c r="P570" i="4" s="1"/>
  <c r="N561" i="4"/>
  <c r="P561" i="4" s="1"/>
  <c r="N560" i="4"/>
  <c r="P560" i="4" s="1"/>
  <c r="N558" i="4"/>
  <c r="P558" i="4" s="1"/>
  <c r="N557" i="4"/>
  <c r="P557" i="4" s="1"/>
  <c r="N532" i="4"/>
  <c r="P532" i="4" s="1"/>
  <c r="N531" i="4"/>
  <c r="P531" i="4" s="1"/>
  <c r="N529" i="4"/>
  <c r="P529" i="4" s="1"/>
  <c r="N528" i="4"/>
  <c r="P528" i="4" s="1"/>
  <c r="N496" i="4"/>
  <c r="P496" i="4" s="1"/>
  <c r="N495" i="4"/>
  <c r="P495" i="4" s="1"/>
  <c r="N493" i="4"/>
  <c r="P493" i="4" s="1"/>
  <c r="N492" i="4"/>
  <c r="P492" i="4" s="1"/>
  <c r="N470" i="4"/>
  <c r="P470" i="4" s="1"/>
  <c r="N469" i="4"/>
  <c r="P469" i="4" s="1"/>
  <c r="N467" i="4"/>
  <c r="P467" i="4" s="1"/>
  <c r="N466" i="4"/>
  <c r="P466" i="4" s="1"/>
  <c r="N465" i="4"/>
  <c r="P465" i="4" s="1"/>
  <c r="N441" i="4"/>
  <c r="P441" i="4" s="1"/>
  <c r="N438" i="4"/>
  <c r="P438" i="4" s="1"/>
  <c r="N435" i="4"/>
  <c r="P435" i="4" s="1"/>
  <c r="N434" i="4"/>
  <c r="P434" i="4" s="1"/>
  <c r="N383" i="4"/>
  <c r="P383" i="4" s="1"/>
  <c r="N382" i="4"/>
  <c r="P382" i="4" s="1"/>
  <c r="N380" i="4"/>
  <c r="P380" i="4" s="1"/>
  <c r="N379" i="4"/>
  <c r="P379" i="4" s="1"/>
  <c r="N362" i="4"/>
  <c r="P362" i="4" s="1"/>
  <c r="N361" i="4"/>
  <c r="P361" i="4" s="1"/>
  <c r="N351" i="4"/>
  <c r="P351" i="4" s="1"/>
  <c r="N350" i="4"/>
  <c r="P350" i="4" s="1"/>
  <c r="N349" i="4"/>
  <c r="P349" i="4" s="1"/>
  <c r="N286" i="4"/>
  <c r="P286" i="4" s="1"/>
  <c r="N285" i="4"/>
  <c r="P285" i="4" s="1"/>
  <c r="N277" i="4"/>
  <c r="P277" i="4" s="1"/>
  <c r="N276" i="4"/>
  <c r="P276" i="4" s="1"/>
  <c r="N275" i="4"/>
  <c r="P275" i="4" s="1"/>
  <c r="N259" i="4"/>
  <c r="P259" i="4" s="1"/>
  <c r="N258" i="4"/>
  <c r="P258" i="4" s="1"/>
  <c r="N246" i="4"/>
  <c r="P246" i="4" s="1"/>
  <c r="N245" i="4"/>
  <c r="P245" i="4" s="1"/>
  <c r="N226" i="4"/>
  <c r="P226" i="4" s="1"/>
  <c r="N225" i="4"/>
  <c r="P225" i="4" s="1"/>
  <c r="N201" i="4"/>
  <c r="P201" i="4" s="1"/>
  <c r="N200" i="4"/>
  <c r="P200" i="4" s="1"/>
  <c r="N192" i="4"/>
  <c r="P192" i="4" s="1"/>
  <c r="N191" i="4"/>
  <c r="P191" i="4" s="1"/>
  <c r="N188" i="4"/>
  <c r="P188" i="4" s="1"/>
  <c r="N182" i="4"/>
  <c r="P182" i="4" s="1"/>
  <c r="N178" i="4"/>
  <c r="P178" i="4" s="1"/>
  <c r="N177" i="4"/>
  <c r="P177" i="4" s="1"/>
  <c r="N176" i="4"/>
  <c r="P176" i="4" s="1"/>
  <c r="N165" i="4"/>
  <c r="P165" i="4" s="1"/>
  <c r="N164" i="4"/>
  <c r="P164" i="4" s="1"/>
  <c r="N163" i="4"/>
  <c r="P163" i="4" s="1"/>
  <c r="N150" i="4"/>
  <c r="P150" i="4" s="1"/>
  <c r="N149" i="4"/>
  <c r="P149" i="4" s="1"/>
  <c r="N140" i="4"/>
  <c r="P140" i="4" s="1"/>
  <c r="N137" i="4"/>
  <c r="P137" i="4" s="1"/>
  <c r="N136" i="4"/>
  <c r="P136" i="4" s="1"/>
  <c r="N119" i="4"/>
  <c r="P119" i="4" s="1"/>
  <c r="N113" i="4"/>
  <c r="P113" i="4" s="1"/>
  <c r="N110" i="4"/>
  <c r="P110" i="4" s="1"/>
  <c r="N92" i="4"/>
  <c r="P92" i="4" s="1"/>
  <c r="N86" i="4"/>
  <c r="P86" i="4" s="1"/>
  <c r="N65" i="4"/>
  <c r="P65" i="4" s="1"/>
  <c r="N62" i="4"/>
  <c r="P62" i="4" s="1"/>
  <c r="N38" i="4"/>
  <c r="P38" i="4" s="1"/>
  <c r="N14" i="4"/>
  <c r="P14" i="4" s="1"/>
  <c r="K27" i="3"/>
  <c r="G27" i="5"/>
  <c r="L569" i="4"/>
  <c r="O569" i="4" s="1"/>
  <c r="Q569" i="4" s="1"/>
  <c r="L559" i="4"/>
  <c r="O559" i="4" s="1"/>
  <c r="Q559" i="4" s="1"/>
  <c r="L556" i="4"/>
  <c r="O556" i="4" s="1"/>
  <c r="Q556" i="4" s="1"/>
  <c r="L530" i="4"/>
  <c r="O530" i="4" s="1"/>
  <c r="Q530" i="4" s="1"/>
  <c r="L527" i="4"/>
  <c r="O527" i="4" s="1"/>
  <c r="Q527" i="4" s="1"/>
  <c r="L494" i="4"/>
  <c r="O494" i="4" s="1"/>
  <c r="Q494" i="4" s="1"/>
  <c r="L491" i="4"/>
  <c r="O491" i="4" s="1"/>
  <c r="Q491" i="4" s="1"/>
  <c r="L468" i="4"/>
  <c r="O468" i="4" s="1"/>
  <c r="Q468" i="4" s="1"/>
  <c r="L464" i="4"/>
  <c r="O464" i="4" s="1"/>
  <c r="Q464" i="4" s="1"/>
  <c r="L437" i="4"/>
  <c r="O437" i="4" s="1"/>
  <c r="Q437" i="4" s="1"/>
  <c r="L433" i="4"/>
  <c r="O433" i="4" s="1"/>
  <c r="Q433" i="4" s="1"/>
  <c r="L432" i="4"/>
  <c r="O432" i="4" s="1"/>
  <c r="Q432" i="4" s="1"/>
  <c r="L430" i="4"/>
  <c r="O430" i="4" s="1"/>
  <c r="Q430" i="4" s="1"/>
  <c r="L381" i="4"/>
  <c r="O381" i="4" s="1"/>
  <c r="Q381" i="4" s="1"/>
  <c r="L378" i="4"/>
  <c r="O378" i="4" s="1"/>
  <c r="Q378" i="4" s="1"/>
  <c r="L377" i="4"/>
  <c r="O377" i="4" s="1"/>
  <c r="Q377" i="4" s="1"/>
  <c r="L376" i="4"/>
  <c r="O376" i="4" s="1"/>
  <c r="Q376" i="4" s="1"/>
  <c r="L364" i="4"/>
  <c r="O364" i="4" s="1"/>
  <c r="Q364" i="4" s="1"/>
  <c r="L342" i="4"/>
  <c r="O342" i="4" s="1"/>
  <c r="Q342" i="4" s="1"/>
  <c r="L341" i="4"/>
  <c r="O341" i="4" s="1"/>
  <c r="Q341" i="4" s="1"/>
  <c r="L340" i="4"/>
  <c r="O340" i="4" s="1"/>
  <c r="Q340" i="4" s="1"/>
  <c r="L326" i="4"/>
  <c r="O326" i="4" s="1"/>
  <c r="Q326" i="4" s="1"/>
  <c r="L311" i="4"/>
  <c r="O311" i="4" s="1"/>
  <c r="Q311" i="4" s="1"/>
  <c r="L295" i="4"/>
  <c r="O295" i="4" s="1"/>
  <c r="Q295" i="4" s="1"/>
  <c r="L291" i="4"/>
  <c r="O291" i="4" s="1"/>
  <c r="Q291" i="4" s="1"/>
  <c r="L290" i="4"/>
  <c r="O290" i="4" s="1"/>
  <c r="Q290" i="4" s="1"/>
  <c r="L248" i="4"/>
  <c r="O248" i="4" s="1"/>
  <c r="Q248" i="4" s="1"/>
  <c r="L247" i="4"/>
  <c r="O247" i="4" s="1"/>
  <c r="Q247" i="4" s="1"/>
  <c r="L230" i="4"/>
  <c r="O230" i="4" s="1"/>
  <c r="Q230" i="4" s="1"/>
  <c r="L229" i="4"/>
  <c r="O229" i="4" s="1"/>
  <c r="Q229" i="4" s="1"/>
  <c r="L155" i="4"/>
  <c r="O155" i="4" s="1"/>
  <c r="Q155" i="4" s="1"/>
  <c r="L141" i="4"/>
  <c r="O141" i="4" s="1"/>
  <c r="Q141" i="4" s="1"/>
  <c r="L121" i="4"/>
  <c r="O121" i="4" s="1"/>
  <c r="Q121" i="4" s="1"/>
  <c r="L111" i="4"/>
  <c r="O111" i="4" s="1"/>
  <c r="Q111" i="4" s="1"/>
  <c r="L99" i="4"/>
  <c r="O99" i="4" s="1"/>
  <c r="Q99" i="4" s="1"/>
  <c r="L87" i="4"/>
  <c r="O87" i="4" s="1"/>
  <c r="Q87" i="4" s="1"/>
  <c r="L75" i="4"/>
  <c r="O75" i="4" s="1"/>
  <c r="Q75" i="4" s="1"/>
  <c r="L63" i="4"/>
  <c r="O63" i="4" s="1"/>
  <c r="Q63" i="4" s="1"/>
  <c r="L34" i="4"/>
  <c r="O34" i="4" s="1"/>
  <c r="Q34" i="4" s="1"/>
  <c r="L22" i="4"/>
  <c r="O22" i="4" s="1"/>
  <c r="Q22" i="4" s="1"/>
  <c r="J28" i="3"/>
  <c r="L28" i="3" s="1"/>
  <c r="M28" i="3" s="1"/>
  <c r="H27" i="5"/>
  <c r="N569" i="4"/>
  <c r="P569" i="4" s="1"/>
  <c r="N559" i="4"/>
  <c r="P559" i="4" s="1"/>
  <c r="N556" i="4"/>
  <c r="P556" i="4" s="1"/>
  <c r="N530" i="4"/>
  <c r="P530" i="4" s="1"/>
  <c r="N527" i="4"/>
  <c r="P527" i="4" s="1"/>
  <c r="N494" i="4"/>
  <c r="P494" i="4" s="1"/>
  <c r="N491" i="4"/>
  <c r="P491" i="4" s="1"/>
  <c r="N468" i="4"/>
  <c r="P468" i="4" s="1"/>
  <c r="N464" i="4"/>
  <c r="P464" i="4" s="1"/>
  <c r="N437" i="4"/>
  <c r="P437" i="4" s="1"/>
  <c r="N433" i="4"/>
  <c r="P433" i="4" s="1"/>
  <c r="N432" i="4"/>
  <c r="P432" i="4" s="1"/>
  <c r="N430" i="4"/>
  <c r="P430" i="4" s="1"/>
  <c r="N381" i="4"/>
  <c r="P381" i="4" s="1"/>
  <c r="N378" i="4"/>
  <c r="P378" i="4" s="1"/>
  <c r="N377" i="4"/>
  <c r="P377" i="4" s="1"/>
  <c r="N376" i="4"/>
  <c r="P376" i="4" s="1"/>
  <c r="N364" i="4"/>
  <c r="P364" i="4" s="1"/>
  <c r="N342" i="4"/>
  <c r="P342" i="4" s="1"/>
  <c r="N341" i="4"/>
  <c r="P341" i="4" s="1"/>
  <c r="N340" i="4"/>
  <c r="P340" i="4" s="1"/>
  <c r="N326" i="4"/>
  <c r="P326" i="4" s="1"/>
  <c r="N311" i="4"/>
  <c r="P311" i="4" s="1"/>
  <c r="N295" i="4"/>
  <c r="P295" i="4" s="1"/>
  <c r="N291" i="4"/>
  <c r="P291" i="4" s="1"/>
  <c r="N290" i="4"/>
  <c r="P290" i="4" s="1"/>
  <c r="N248" i="4"/>
  <c r="P248" i="4" s="1"/>
  <c r="N247" i="4"/>
  <c r="P247" i="4" s="1"/>
  <c r="N230" i="4"/>
  <c r="P230" i="4" s="1"/>
  <c r="N229" i="4"/>
  <c r="P229" i="4" s="1"/>
  <c r="N155" i="4"/>
  <c r="P155" i="4" s="1"/>
  <c r="N141" i="4"/>
  <c r="P141" i="4" s="1"/>
  <c r="N121" i="4"/>
  <c r="P121" i="4" s="1"/>
  <c r="N111" i="4"/>
  <c r="P111" i="4" s="1"/>
  <c r="N99" i="4"/>
  <c r="P99" i="4" s="1"/>
  <c r="N87" i="4"/>
  <c r="P87" i="4" s="1"/>
  <c r="N75" i="4"/>
  <c r="P75" i="4" s="1"/>
  <c r="N63" i="4"/>
  <c r="P63" i="4" s="1"/>
  <c r="N34" i="4"/>
  <c r="P34" i="4" s="1"/>
  <c r="N22" i="4"/>
  <c r="P22" i="4" s="1"/>
  <c r="K28" i="3"/>
  <c r="G28" i="5"/>
  <c r="L568" i="4"/>
  <c r="O568" i="4" s="1"/>
  <c r="Q568" i="4" s="1"/>
  <c r="L553" i="4"/>
  <c r="O553" i="4" s="1"/>
  <c r="Q553" i="4" s="1"/>
  <c r="L524" i="4"/>
  <c r="O524" i="4" s="1"/>
  <c r="Q524" i="4" s="1"/>
  <c r="L505" i="4"/>
  <c r="O505" i="4" s="1"/>
  <c r="Q505" i="4" s="1"/>
  <c r="L489" i="4"/>
  <c r="O489" i="4" s="1"/>
  <c r="Q489" i="4" s="1"/>
  <c r="L488" i="4"/>
  <c r="O488" i="4" s="1"/>
  <c r="Q488" i="4" s="1"/>
  <c r="L462" i="4"/>
  <c r="O462" i="4" s="1"/>
  <c r="Q462" i="4" s="1"/>
  <c r="L429" i="4"/>
  <c r="O429" i="4" s="1"/>
  <c r="Q429" i="4" s="1"/>
  <c r="L428" i="4"/>
  <c r="O428" i="4" s="1"/>
  <c r="Q428" i="4" s="1"/>
  <c r="L419" i="4"/>
  <c r="O419" i="4" s="1"/>
  <c r="Q419" i="4" s="1"/>
  <c r="L404" i="4"/>
  <c r="O404" i="4" s="1"/>
  <c r="Q404" i="4" s="1"/>
  <c r="L402" i="4"/>
  <c r="O402" i="4" s="1"/>
  <c r="Q402" i="4" s="1"/>
  <c r="L401" i="4"/>
  <c r="O401" i="4" s="1"/>
  <c r="Q401" i="4" s="1"/>
  <c r="L400" i="4"/>
  <c r="O400" i="4" s="1"/>
  <c r="Q400" i="4" s="1"/>
  <c r="L374" i="4"/>
  <c r="O374" i="4" s="1"/>
  <c r="Q374" i="4" s="1"/>
  <c r="L369" i="4"/>
  <c r="O369" i="4" s="1"/>
  <c r="Q369" i="4" s="1"/>
  <c r="L368" i="4"/>
  <c r="O368" i="4" s="1"/>
  <c r="Q368" i="4" s="1"/>
  <c r="L367" i="4"/>
  <c r="O367" i="4" s="1"/>
  <c r="Q367" i="4" s="1"/>
  <c r="L363" i="4"/>
  <c r="O363" i="4" s="1"/>
  <c r="Q363" i="4" s="1"/>
  <c r="L344" i="4"/>
  <c r="O344" i="4" s="1"/>
  <c r="Q344" i="4" s="1"/>
  <c r="L339" i="4"/>
  <c r="O339" i="4" s="1"/>
  <c r="Q339" i="4" s="1"/>
  <c r="L325" i="4"/>
  <c r="O325" i="4" s="1"/>
  <c r="Q325" i="4" s="1"/>
  <c r="L313" i="4"/>
  <c r="O313" i="4" s="1"/>
  <c r="Q313" i="4" s="1"/>
  <c r="L310" i="4"/>
  <c r="O310" i="4" s="1"/>
  <c r="Q310" i="4" s="1"/>
  <c r="L289" i="4"/>
  <c r="O289" i="4" s="1"/>
  <c r="Q289" i="4" s="1"/>
  <c r="L288" i="4"/>
  <c r="O288" i="4" s="1"/>
  <c r="Q288" i="4" s="1"/>
  <c r="L287" i="4"/>
  <c r="O287" i="4" s="1"/>
  <c r="Q287" i="4" s="1"/>
  <c r="L274" i="4"/>
  <c r="O274" i="4" s="1"/>
  <c r="Q274" i="4" s="1"/>
  <c r="L257" i="4"/>
  <c r="O257" i="4" s="1"/>
  <c r="Q257" i="4" s="1"/>
  <c r="L244" i="4"/>
  <c r="O244" i="4" s="1"/>
  <c r="Q244" i="4" s="1"/>
  <c r="L222" i="4"/>
  <c r="O222" i="4" s="1"/>
  <c r="Q222" i="4" s="1"/>
  <c r="L221" i="4"/>
  <c r="O221" i="4" s="1"/>
  <c r="Q221" i="4" s="1"/>
  <c r="L220" i="4"/>
  <c r="O220" i="4" s="1"/>
  <c r="Q220" i="4" s="1"/>
  <c r="L219" i="4"/>
  <c r="O219" i="4" s="1"/>
  <c r="Q219" i="4" s="1"/>
  <c r="L212" i="4"/>
  <c r="O212" i="4" s="1"/>
  <c r="Q212" i="4" s="1"/>
  <c r="L197" i="4"/>
  <c r="O197" i="4" s="1"/>
  <c r="Q197" i="4" s="1"/>
  <c r="L185" i="4"/>
  <c r="O185" i="4" s="1"/>
  <c r="Q185" i="4" s="1"/>
  <c r="L183" i="4"/>
  <c r="O183" i="4" s="1"/>
  <c r="Q183" i="4" s="1"/>
  <c r="L181" i="4"/>
  <c r="O181" i="4" s="1"/>
  <c r="Q181" i="4" s="1"/>
  <c r="L180" i="4"/>
  <c r="O180" i="4" s="1"/>
  <c r="Q180" i="4" s="1"/>
  <c r="L179" i="4"/>
  <c r="O179" i="4" s="1"/>
  <c r="Q179" i="4" s="1"/>
  <c r="L162" i="4"/>
  <c r="O162" i="4" s="1"/>
  <c r="Q162" i="4" s="1"/>
  <c r="L161" i="4"/>
  <c r="O161" i="4" s="1"/>
  <c r="Q161" i="4" s="1"/>
  <c r="L160" i="4"/>
  <c r="O160" i="4" s="1"/>
  <c r="Q160" i="4" s="1"/>
  <c r="L142" i="4"/>
  <c r="O142" i="4" s="1"/>
  <c r="Q142" i="4" s="1"/>
  <c r="L130" i="4"/>
  <c r="O130" i="4" s="1"/>
  <c r="Q130" i="4" s="1"/>
  <c r="L117" i="4"/>
  <c r="O117" i="4" s="1"/>
  <c r="Q117" i="4" s="1"/>
  <c r="L114" i="4"/>
  <c r="O114" i="4" s="1"/>
  <c r="Q114" i="4" s="1"/>
  <c r="L104" i="4"/>
  <c r="O104" i="4" s="1"/>
  <c r="Q104" i="4" s="1"/>
  <c r="L95" i="4"/>
  <c r="O95" i="4" s="1"/>
  <c r="Q95" i="4" s="1"/>
  <c r="L94" i="4"/>
  <c r="O94" i="4" s="1"/>
  <c r="Q94" i="4" s="1"/>
  <c r="L90" i="4"/>
  <c r="O90" i="4" s="1"/>
  <c r="Q90" i="4" s="1"/>
  <c r="L80" i="4"/>
  <c r="O80" i="4" s="1"/>
  <c r="Q80" i="4" s="1"/>
  <c r="L71" i="4"/>
  <c r="O71" i="4" s="1"/>
  <c r="Q71" i="4" s="1"/>
  <c r="L70" i="4"/>
  <c r="O70" i="4" s="1"/>
  <c r="Q70" i="4" s="1"/>
  <c r="L66" i="4"/>
  <c r="O66" i="4" s="1"/>
  <c r="Q66" i="4" s="1"/>
  <c r="L44" i="4"/>
  <c r="O44" i="4" s="1"/>
  <c r="Q44" i="4" s="1"/>
  <c r="L27" i="4"/>
  <c r="O27" i="4" s="1"/>
  <c r="Q27" i="4" s="1"/>
  <c r="L26" i="4"/>
  <c r="O26" i="4" s="1"/>
  <c r="Q26" i="4" s="1"/>
  <c r="L25" i="4"/>
  <c r="O25" i="4" s="1"/>
  <c r="Q25" i="4" s="1"/>
  <c r="L13" i="4"/>
  <c r="O13" i="4" s="1"/>
  <c r="Q13" i="4" s="1"/>
  <c r="L7" i="4"/>
  <c r="O7" i="4" s="1"/>
  <c r="Q7" i="4" s="1"/>
  <c r="J29" i="3"/>
  <c r="L29" i="3" s="1"/>
  <c r="M29" i="3" s="1"/>
  <c r="H28" i="5"/>
  <c r="N568" i="4"/>
  <c r="P568" i="4" s="1"/>
  <c r="N553" i="4"/>
  <c r="P553" i="4" s="1"/>
  <c r="N524" i="4"/>
  <c r="P524" i="4" s="1"/>
  <c r="N505" i="4"/>
  <c r="P505" i="4" s="1"/>
  <c r="N489" i="4"/>
  <c r="P489" i="4" s="1"/>
  <c r="N488" i="4"/>
  <c r="P488" i="4" s="1"/>
  <c r="N462" i="4"/>
  <c r="P462" i="4" s="1"/>
  <c r="N429" i="4"/>
  <c r="P429" i="4" s="1"/>
  <c r="N428" i="4"/>
  <c r="P428" i="4" s="1"/>
  <c r="N419" i="4"/>
  <c r="P419" i="4" s="1"/>
  <c r="N404" i="4"/>
  <c r="P404" i="4" s="1"/>
  <c r="N402" i="4"/>
  <c r="P402" i="4" s="1"/>
  <c r="N401" i="4"/>
  <c r="P401" i="4" s="1"/>
  <c r="N400" i="4"/>
  <c r="P400" i="4" s="1"/>
  <c r="N374" i="4"/>
  <c r="P374" i="4" s="1"/>
  <c r="N369" i="4"/>
  <c r="P369" i="4" s="1"/>
  <c r="N368" i="4"/>
  <c r="P368" i="4" s="1"/>
  <c r="N367" i="4"/>
  <c r="P367" i="4" s="1"/>
  <c r="N363" i="4"/>
  <c r="P363" i="4" s="1"/>
  <c r="N344" i="4"/>
  <c r="P344" i="4" s="1"/>
  <c r="N339" i="4"/>
  <c r="P339" i="4" s="1"/>
  <c r="N325" i="4"/>
  <c r="P325" i="4" s="1"/>
  <c r="N313" i="4"/>
  <c r="P313" i="4" s="1"/>
  <c r="N310" i="4"/>
  <c r="P310" i="4" s="1"/>
  <c r="N289" i="4"/>
  <c r="P289" i="4" s="1"/>
  <c r="N288" i="4"/>
  <c r="P288" i="4" s="1"/>
  <c r="N287" i="4"/>
  <c r="P287" i="4" s="1"/>
  <c r="N274" i="4"/>
  <c r="P274" i="4" s="1"/>
  <c r="N257" i="4"/>
  <c r="P257" i="4" s="1"/>
  <c r="N244" i="4"/>
  <c r="P244" i="4" s="1"/>
  <c r="N222" i="4"/>
  <c r="P222" i="4" s="1"/>
  <c r="N221" i="4"/>
  <c r="P221" i="4" s="1"/>
  <c r="N220" i="4"/>
  <c r="P220" i="4" s="1"/>
  <c r="N219" i="4"/>
  <c r="P219" i="4" s="1"/>
  <c r="N212" i="4"/>
  <c r="P212" i="4" s="1"/>
  <c r="N197" i="4"/>
  <c r="P197" i="4" s="1"/>
  <c r="N185" i="4"/>
  <c r="P185" i="4" s="1"/>
  <c r="N183" i="4"/>
  <c r="P183" i="4" s="1"/>
  <c r="N181" i="4"/>
  <c r="P181" i="4" s="1"/>
  <c r="N180" i="4"/>
  <c r="P180" i="4" s="1"/>
  <c r="N179" i="4"/>
  <c r="P179" i="4" s="1"/>
  <c r="N162" i="4"/>
  <c r="P162" i="4" s="1"/>
  <c r="N161" i="4"/>
  <c r="P161" i="4" s="1"/>
  <c r="N160" i="4"/>
  <c r="P160" i="4" s="1"/>
  <c r="N142" i="4"/>
  <c r="P142" i="4" s="1"/>
  <c r="N130" i="4"/>
  <c r="P130" i="4" s="1"/>
  <c r="N117" i="4"/>
  <c r="P117" i="4" s="1"/>
  <c r="N114" i="4"/>
  <c r="P114" i="4" s="1"/>
  <c r="N104" i="4"/>
  <c r="P104" i="4" s="1"/>
  <c r="N95" i="4"/>
  <c r="P95" i="4" s="1"/>
  <c r="N94" i="4"/>
  <c r="P94" i="4" s="1"/>
  <c r="N90" i="4"/>
  <c r="P90" i="4" s="1"/>
  <c r="N80" i="4"/>
  <c r="P80" i="4" s="1"/>
  <c r="N71" i="4"/>
  <c r="P71" i="4" s="1"/>
  <c r="N70" i="4"/>
  <c r="P70" i="4" s="1"/>
  <c r="N66" i="4"/>
  <c r="P66" i="4" s="1"/>
  <c r="N44" i="4"/>
  <c r="P44" i="4" s="1"/>
  <c r="N27" i="4"/>
  <c r="P27" i="4" s="1"/>
  <c r="N26" i="4"/>
  <c r="P26" i="4" s="1"/>
  <c r="N25" i="4"/>
  <c r="P25" i="4" s="1"/>
  <c r="N13" i="4"/>
  <c r="P13" i="4" s="1"/>
  <c r="N7" i="4"/>
  <c r="P7" i="4" s="1"/>
  <c r="K29" i="3"/>
  <c r="L30" i="3"/>
  <c r="M30" i="3" s="1"/>
  <c r="K30" i="3"/>
  <c r="O9" i="4"/>
  <c r="Q9" i="4" s="1"/>
  <c r="R9" i="4" s="1"/>
  <c r="P9" i="4"/>
  <c r="O11" i="4"/>
  <c r="Q11" i="4" s="1"/>
  <c r="R11" i="4" s="1"/>
  <c r="P11" i="4"/>
  <c r="O15" i="4"/>
  <c r="Q15" i="4" s="1"/>
  <c r="R15" i="4" s="1"/>
  <c r="P15" i="4"/>
  <c r="O17" i="4"/>
  <c r="Q17" i="4" s="1"/>
  <c r="R17" i="4" s="1"/>
  <c r="P17" i="4"/>
  <c r="O19" i="4"/>
  <c r="Q19" i="4" s="1"/>
  <c r="R19" i="4" s="1"/>
  <c r="P19" i="4"/>
  <c r="O29" i="4"/>
  <c r="Q29" i="4" s="1"/>
  <c r="R29" i="4" s="1"/>
  <c r="P29" i="4"/>
  <c r="O32" i="4"/>
  <c r="Q32" i="4" s="1"/>
  <c r="R32" i="4" s="1"/>
  <c r="P32" i="4"/>
  <c r="O40" i="4"/>
  <c r="Q40" i="4" s="1"/>
  <c r="R40" i="4" s="1"/>
  <c r="P40" i="4"/>
  <c r="O47" i="4"/>
  <c r="Q47" i="4" s="1"/>
  <c r="R47" i="4" s="1"/>
  <c r="P47" i="4"/>
  <c r="O49" i="4"/>
  <c r="Q49" i="4" s="1"/>
  <c r="R49" i="4" s="1"/>
  <c r="P49" i="4"/>
  <c r="O52" i="4"/>
  <c r="Q52" i="4" s="1"/>
  <c r="R52" i="4" s="1"/>
  <c r="P52" i="4"/>
  <c r="O54" i="4"/>
  <c r="Q54" i="4" s="1"/>
  <c r="R54" i="4" s="1"/>
  <c r="P54" i="4"/>
  <c r="O56" i="4"/>
  <c r="Q56" i="4" s="1"/>
  <c r="R56" i="4" s="1"/>
  <c r="P56" i="4"/>
  <c r="O59" i="4"/>
  <c r="Q59" i="4" s="1"/>
  <c r="R59" i="4" s="1"/>
  <c r="P59" i="4"/>
  <c r="O84" i="4"/>
  <c r="Q84" i="4" s="1"/>
  <c r="R84" i="4" s="1"/>
  <c r="P84" i="4"/>
  <c r="O106" i="4"/>
  <c r="Q106" i="4" s="1"/>
  <c r="R106" i="4" s="1"/>
  <c r="P106" i="4"/>
  <c r="O108" i="4"/>
  <c r="Q108" i="4" s="1"/>
  <c r="R108" i="4" s="1"/>
  <c r="P108" i="4"/>
  <c r="O138" i="4"/>
  <c r="Q138" i="4" s="1"/>
  <c r="R138" i="4" s="1"/>
  <c r="P138" i="4"/>
  <c r="O143" i="4"/>
  <c r="Q143" i="4" s="1"/>
  <c r="R143" i="4" s="1"/>
  <c r="P143" i="4"/>
  <c r="O151" i="4"/>
  <c r="Q151" i="4" s="1"/>
  <c r="R151" i="4" s="1"/>
  <c r="P151" i="4"/>
  <c r="O153" i="4"/>
  <c r="Q153" i="4" s="1"/>
  <c r="R153" i="4" s="1"/>
  <c r="P153" i="4"/>
  <c r="O194" i="4"/>
  <c r="Q194" i="4" s="1"/>
  <c r="R194" i="4" s="1"/>
  <c r="P194" i="4"/>
  <c r="O210" i="4"/>
  <c r="Q210" i="4" s="1"/>
  <c r="R210" i="4" s="1"/>
  <c r="P210" i="4"/>
  <c r="O213" i="4"/>
  <c r="Q213" i="4" s="1"/>
  <c r="R213" i="4" s="1"/>
  <c r="P213" i="4"/>
  <c r="O215" i="4"/>
  <c r="Q215" i="4" s="1"/>
  <c r="R215" i="4" s="1"/>
  <c r="P215" i="4"/>
  <c r="O217" i="4"/>
  <c r="Q217" i="4" s="1"/>
  <c r="R217" i="4" s="1"/>
  <c r="P217" i="4"/>
  <c r="O231" i="4"/>
  <c r="Q231" i="4" s="1"/>
  <c r="R231" i="4" s="1"/>
  <c r="P231" i="4"/>
  <c r="O234" i="4"/>
  <c r="Q234" i="4" s="1"/>
  <c r="R234" i="4" s="1"/>
  <c r="P234" i="4"/>
  <c r="O240" i="4"/>
  <c r="Q240" i="4" s="1"/>
  <c r="R240" i="4" s="1"/>
  <c r="P240" i="4"/>
  <c r="O249" i="4"/>
  <c r="Q249" i="4" s="1"/>
  <c r="R249" i="4" s="1"/>
  <c r="P249" i="4"/>
  <c r="O252" i="4"/>
  <c r="Q252" i="4" s="1"/>
  <c r="R252" i="4" s="1"/>
  <c r="P252" i="4"/>
  <c r="O261" i="4"/>
  <c r="Q261" i="4" s="1"/>
  <c r="R261" i="4" s="1"/>
  <c r="P261" i="4"/>
  <c r="O263" i="4"/>
  <c r="Q263" i="4" s="1"/>
  <c r="R263" i="4" s="1"/>
  <c r="P263" i="4"/>
  <c r="O269" i="4"/>
  <c r="Q269" i="4" s="1"/>
  <c r="R269" i="4" s="1"/>
  <c r="P269" i="4"/>
  <c r="O271" i="4"/>
  <c r="Q271" i="4" s="1"/>
  <c r="R271" i="4" s="1"/>
  <c r="P271" i="4"/>
  <c r="O280" i="4"/>
  <c r="Q280" i="4" s="1"/>
  <c r="R280" i="4" s="1"/>
  <c r="P280" i="4"/>
  <c r="O296" i="4"/>
  <c r="Q296" i="4" s="1"/>
  <c r="R296" i="4" s="1"/>
  <c r="P296" i="4"/>
  <c r="O298" i="4"/>
  <c r="Q298" i="4" s="1"/>
  <c r="R298" i="4" s="1"/>
  <c r="P298" i="4"/>
  <c r="O300" i="4"/>
  <c r="Q300" i="4" s="1"/>
  <c r="R300" i="4" s="1"/>
  <c r="P300" i="4"/>
  <c r="O302" i="4"/>
  <c r="Q302" i="4" s="1"/>
  <c r="R302" i="4" s="1"/>
  <c r="P302" i="4"/>
  <c r="O308" i="4"/>
  <c r="Q308" i="4" s="1"/>
  <c r="R308" i="4" s="1"/>
  <c r="P308" i="4"/>
  <c r="O317" i="4"/>
  <c r="Q317" i="4" s="1"/>
  <c r="R317" i="4" s="1"/>
  <c r="P317" i="4"/>
  <c r="O319" i="4"/>
  <c r="Q319" i="4" s="1"/>
  <c r="R319" i="4" s="1"/>
  <c r="P319" i="4"/>
  <c r="O323" i="4"/>
  <c r="Q323" i="4" s="1"/>
  <c r="R323" i="4" s="1"/>
  <c r="P323" i="4"/>
  <c r="O331" i="4"/>
  <c r="Q331" i="4" s="1"/>
  <c r="R331" i="4" s="1"/>
  <c r="P331" i="4"/>
  <c r="O333" i="4"/>
  <c r="Q333" i="4" s="1"/>
  <c r="R333" i="4" s="1"/>
  <c r="P333" i="4"/>
  <c r="O337" i="4"/>
  <c r="Q337" i="4" s="1"/>
  <c r="R337" i="4" s="1"/>
  <c r="P337" i="4"/>
  <c r="O393" i="4"/>
  <c r="Q393" i="4" s="1"/>
  <c r="R393" i="4" s="1"/>
  <c r="P393" i="4"/>
  <c r="O395" i="4"/>
  <c r="Q395" i="4" s="1"/>
  <c r="R395" i="4" s="1"/>
  <c r="P395" i="4"/>
  <c r="O406" i="4"/>
  <c r="Q406" i="4" s="1"/>
  <c r="R406" i="4" s="1"/>
  <c r="P406" i="4"/>
  <c r="O408" i="4"/>
  <c r="Q408" i="4" s="1"/>
  <c r="R408" i="4" s="1"/>
  <c r="P408" i="4"/>
  <c r="O410" i="4"/>
  <c r="Q410" i="4" s="1"/>
  <c r="R410" i="4" s="1"/>
  <c r="P410" i="4"/>
  <c r="O412" i="4"/>
  <c r="Q412" i="4" s="1"/>
  <c r="R412" i="4" s="1"/>
  <c r="P412" i="4"/>
  <c r="O414" i="4"/>
  <c r="Q414" i="4" s="1"/>
  <c r="R414" i="4" s="1"/>
  <c r="P414" i="4"/>
  <c r="O416" i="4"/>
  <c r="Q416" i="4" s="1"/>
  <c r="R416" i="4" s="1"/>
  <c r="P416" i="4"/>
  <c r="O421" i="4"/>
  <c r="Q421" i="4" s="1"/>
  <c r="R421" i="4" s="1"/>
  <c r="P421" i="4"/>
  <c r="O423" i="4"/>
  <c r="Q423" i="4" s="1"/>
  <c r="R423" i="4" s="1"/>
  <c r="P423" i="4"/>
  <c r="O425" i="4"/>
  <c r="Q425" i="4" s="1"/>
  <c r="R425" i="4" s="1"/>
  <c r="P425" i="4"/>
  <c r="O446" i="4"/>
  <c r="Q446" i="4" s="1"/>
  <c r="R446" i="4" s="1"/>
  <c r="P446" i="4"/>
  <c r="O452" i="4"/>
  <c r="Q452" i="4" s="1"/>
  <c r="R452" i="4" s="1"/>
  <c r="P452" i="4"/>
  <c r="O454" i="4"/>
  <c r="Q454" i="4" s="1"/>
  <c r="R454" i="4" s="1"/>
  <c r="P454" i="4"/>
  <c r="O456" i="4"/>
  <c r="Q456" i="4" s="1"/>
  <c r="R456" i="4" s="1"/>
  <c r="P456" i="4"/>
  <c r="O472" i="4"/>
  <c r="Q472" i="4" s="1"/>
  <c r="R472" i="4" s="1"/>
  <c r="P472" i="4"/>
  <c r="O484" i="4"/>
  <c r="Q484" i="4" s="1"/>
  <c r="R484" i="4" s="1"/>
  <c r="P484" i="4"/>
  <c r="O502" i="4"/>
  <c r="Q502" i="4" s="1"/>
  <c r="R502" i="4" s="1"/>
  <c r="P502" i="4"/>
  <c r="O513" i="4"/>
  <c r="Q513" i="4" s="1"/>
  <c r="R513" i="4" s="1"/>
  <c r="P513" i="4"/>
  <c r="O516" i="4"/>
  <c r="Q516" i="4" s="1"/>
  <c r="R516" i="4" s="1"/>
  <c r="P516" i="4"/>
  <c r="O520" i="4"/>
  <c r="Q520" i="4" s="1"/>
  <c r="R520" i="4" s="1"/>
  <c r="P520" i="4"/>
  <c r="O522" i="4"/>
  <c r="Q522" i="4" s="1"/>
  <c r="R522" i="4" s="1"/>
  <c r="P522" i="4"/>
  <c r="O546" i="4"/>
  <c r="Q546" i="4" s="1"/>
  <c r="R546" i="4" s="1"/>
  <c r="P546" i="4"/>
  <c r="O549" i="4"/>
  <c r="Q549" i="4" s="1"/>
  <c r="R549" i="4" s="1"/>
  <c r="P549" i="4"/>
  <c r="G4" i="8"/>
  <c r="G8" i="8" s="1"/>
  <c r="H30" i="7"/>
  <c r="H33" i="7" s="1"/>
  <c r="C5" i="15" s="1"/>
  <c r="C10" i="15" s="1"/>
  <c r="J12" i="7"/>
  <c r="K8" i="7"/>
  <c r="K12" i="7" s="1"/>
  <c r="J20" i="7"/>
  <c r="H5" i="8" s="1"/>
  <c r="K16" i="7"/>
  <c r="K20" i="7" s="1"/>
  <c r="J28" i="7"/>
  <c r="H6" i="8" s="1"/>
  <c r="K24" i="7"/>
  <c r="K28" i="7" s="1"/>
  <c r="K6" i="10"/>
  <c r="K7" i="10" s="1"/>
  <c r="K10" i="10"/>
  <c r="K11" i="10" s="1"/>
  <c r="P5" i="14"/>
  <c r="P6" i="14"/>
  <c r="R6" i="14" s="1"/>
  <c r="P7" i="14"/>
  <c r="R7" i="14" s="1"/>
  <c r="P8" i="14"/>
  <c r="R8" i="14" s="1"/>
  <c r="P9" i="14"/>
  <c r="R9" i="14" s="1"/>
  <c r="P10" i="14"/>
  <c r="R10" i="14" s="1"/>
  <c r="P11" i="14"/>
  <c r="R11" i="14" s="1"/>
  <c r="P12" i="14"/>
  <c r="R12" i="14" s="1"/>
  <c r="P13" i="14"/>
  <c r="R13" i="14" s="1"/>
  <c r="P14" i="14"/>
  <c r="R14" i="14" s="1"/>
  <c r="P15" i="14"/>
  <c r="R15" i="14" s="1"/>
  <c r="P16" i="14"/>
  <c r="R16" i="14" s="1"/>
  <c r="P17" i="14"/>
  <c r="R17" i="14" s="1"/>
  <c r="P18" i="14"/>
  <c r="R18" i="14" s="1"/>
  <c r="P19" i="14"/>
  <c r="R19" i="14" s="1"/>
  <c r="P20" i="14"/>
  <c r="R20" i="14" s="1"/>
  <c r="P23" i="14"/>
  <c r="P24" i="14"/>
  <c r="R24" i="14" s="1"/>
  <c r="P25" i="14"/>
  <c r="R25" i="14" s="1"/>
  <c r="P26" i="14"/>
  <c r="R26" i="14" s="1"/>
  <c r="P27" i="14"/>
  <c r="R27" i="14" s="1"/>
  <c r="P28" i="14"/>
  <c r="R28" i="14" s="1"/>
  <c r="P31" i="14"/>
  <c r="P32" i="14"/>
  <c r="R32" i="14" s="1"/>
  <c r="P33" i="14"/>
  <c r="R33" i="14" s="1"/>
  <c r="P34" i="14"/>
  <c r="R34" i="14" s="1"/>
  <c r="P35" i="14"/>
  <c r="R35" i="14" s="1"/>
  <c r="P36" i="14"/>
  <c r="R36" i="14" s="1"/>
  <c r="P37" i="14"/>
  <c r="R37" i="14" s="1"/>
  <c r="P38" i="14"/>
  <c r="R38" i="14" s="1"/>
  <c r="P39" i="14"/>
  <c r="R39" i="14" s="1"/>
  <c r="P40" i="14"/>
  <c r="R40" i="14" s="1"/>
  <c r="P41" i="14"/>
  <c r="R41" i="14" s="1"/>
  <c r="P42" i="14" l="1"/>
  <c r="R31" i="14"/>
  <c r="R42" i="14" s="1"/>
  <c r="P29" i="14"/>
  <c r="R23" i="14"/>
  <c r="R29" i="14" s="1"/>
  <c r="P21" i="14"/>
  <c r="R5" i="14"/>
  <c r="R21" i="14" s="1"/>
  <c r="K30" i="7"/>
  <c r="K33" i="7" s="1"/>
  <c r="K35" i="7" s="1"/>
  <c r="H4" i="8"/>
  <c r="H8" i="8" s="1"/>
  <c r="J30" i="7"/>
  <c r="J33" i="7" s="1"/>
  <c r="R7" i="4"/>
  <c r="R13" i="4"/>
  <c r="R25" i="4"/>
  <c r="R26" i="4"/>
  <c r="R27" i="4"/>
  <c r="R44" i="4"/>
  <c r="R66" i="4"/>
  <c r="R70" i="4"/>
  <c r="R71" i="4"/>
  <c r="R80" i="4"/>
  <c r="R90" i="4"/>
  <c r="R94" i="4"/>
  <c r="R95" i="4"/>
  <c r="R104" i="4"/>
  <c r="R114" i="4"/>
  <c r="R117" i="4"/>
  <c r="R130" i="4"/>
  <c r="R142" i="4"/>
  <c r="R160" i="4"/>
  <c r="R161" i="4"/>
  <c r="R162" i="4"/>
  <c r="R179" i="4"/>
  <c r="R180" i="4"/>
  <c r="R181" i="4"/>
  <c r="R183" i="4"/>
  <c r="R185" i="4"/>
  <c r="R197" i="4"/>
  <c r="R212" i="4"/>
  <c r="R219" i="4"/>
  <c r="R220" i="4"/>
  <c r="R221" i="4"/>
  <c r="R222" i="4"/>
  <c r="R244" i="4"/>
  <c r="R257" i="4"/>
  <c r="R274" i="4"/>
  <c r="R287" i="4"/>
  <c r="R288" i="4"/>
  <c r="R289" i="4"/>
  <c r="R310" i="4"/>
  <c r="R313" i="4"/>
  <c r="R325" i="4"/>
  <c r="R339" i="4"/>
  <c r="R344" i="4"/>
  <c r="R363" i="4"/>
  <c r="R367" i="4"/>
  <c r="R368" i="4"/>
  <c r="R369" i="4"/>
  <c r="R374" i="4"/>
  <c r="R400" i="4"/>
  <c r="R401" i="4"/>
  <c r="R402" i="4"/>
  <c r="R404" i="4"/>
  <c r="R419" i="4"/>
  <c r="R428" i="4"/>
  <c r="R429" i="4"/>
  <c r="R462" i="4"/>
  <c r="R488" i="4"/>
  <c r="R489" i="4"/>
  <c r="R505" i="4"/>
  <c r="R524" i="4"/>
  <c r="R553" i="4"/>
  <c r="R568" i="4"/>
  <c r="R22" i="4"/>
  <c r="R34" i="4"/>
  <c r="R63" i="4"/>
  <c r="R75" i="4"/>
  <c r="R87" i="4"/>
  <c r="R99" i="4"/>
  <c r="R111" i="4"/>
  <c r="R121" i="4"/>
  <c r="R141" i="4"/>
  <c r="R155" i="4"/>
  <c r="R229" i="4"/>
  <c r="R230" i="4"/>
  <c r="R247" i="4"/>
  <c r="R248" i="4"/>
  <c r="R290" i="4"/>
  <c r="R291" i="4"/>
  <c r="R295" i="4"/>
  <c r="R311" i="4"/>
  <c r="R326" i="4"/>
  <c r="R340" i="4"/>
  <c r="R341" i="4"/>
  <c r="R342" i="4"/>
  <c r="R364" i="4"/>
  <c r="R376" i="4"/>
  <c r="R377" i="4"/>
  <c r="R378" i="4"/>
  <c r="R381" i="4"/>
  <c r="R430" i="4"/>
  <c r="R432" i="4"/>
  <c r="R433" i="4"/>
  <c r="R437" i="4"/>
  <c r="R464" i="4"/>
  <c r="R468" i="4"/>
  <c r="R491" i="4"/>
  <c r="R494" i="4"/>
  <c r="R527" i="4"/>
  <c r="R530" i="4"/>
  <c r="R556" i="4"/>
  <c r="R559" i="4"/>
  <c r="R569" i="4"/>
  <c r="R14" i="4"/>
  <c r="R38" i="4"/>
  <c r="R62" i="4"/>
  <c r="R65" i="4"/>
  <c r="R86" i="4"/>
  <c r="R92" i="4"/>
  <c r="R110" i="4"/>
  <c r="R113" i="4"/>
  <c r="R119" i="4"/>
  <c r="R136" i="4"/>
  <c r="R137" i="4"/>
  <c r="R140" i="4"/>
  <c r="R149" i="4"/>
  <c r="R150" i="4"/>
  <c r="R163" i="4"/>
  <c r="R164" i="4"/>
  <c r="R165" i="4"/>
  <c r="R176" i="4"/>
  <c r="R177" i="4"/>
  <c r="R178" i="4"/>
  <c r="R182" i="4"/>
  <c r="R188" i="4"/>
  <c r="R191" i="4"/>
  <c r="R192" i="4"/>
  <c r="R200" i="4"/>
  <c r="R201" i="4"/>
  <c r="R225" i="4"/>
  <c r="R226" i="4"/>
  <c r="R245" i="4"/>
  <c r="R246" i="4"/>
  <c r="R258" i="4"/>
  <c r="R259" i="4"/>
  <c r="R275" i="4"/>
  <c r="R276" i="4"/>
  <c r="R277" i="4"/>
  <c r="R285" i="4"/>
  <c r="R286" i="4"/>
  <c r="R349" i="4"/>
  <c r="R350" i="4"/>
  <c r="R351" i="4"/>
  <c r="R361" i="4"/>
  <c r="R362" i="4"/>
  <c r="R379" i="4"/>
  <c r="R380" i="4"/>
  <c r="R382" i="4"/>
  <c r="R383" i="4"/>
  <c r="R434" i="4"/>
  <c r="R435" i="4"/>
  <c r="R438" i="4"/>
  <c r="R441" i="4"/>
  <c r="R465" i="4"/>
  <c r="R466" i="4"/>
  <c r="R467" i="4"/>
  <c r="R469" i="4"/>
  <c r="R470" i="4"/>
  <c r="R492" i="4"/>
  <c r="R493" i="4"/>
  <c r="R495" i="4"/>
  <c r="R496" i="4"/>
  <c r="R528" i="4"/>
  <c r="R529" i="4"/>
  <c r="R531" i="4"/>
  <c r="R532" i="4"/>
  <c r="R557" i="4"/>
  <c r="R558" i="4"/>
  <c r="R560" i="4"/>
  <c r="R561" i="4"/>
  <c r="R570" i="4"/>
  <c r="R571" i="4"/>
  <c r="R233" i="4"/>
  <c r="R236" i="4"/>
  <c r="R237" i="4"/>
  <c r="R238" i="4"/>
  <c r="R239" i="4"/>
  <c r="R242" i="4"/>
  <c r="R243" i="4"/>
  <c r="R254" i="4"/>
  <c r="R535" i="4"/>
  <c r="R536" i="4"/>
  <c r="R544" i="4"/>
  <c r="R566" i="4"/>
  <c r="O207" i="4"/>
  <c r="Q5" i="4"/>
  <c r="R442" i="4"/>
  <c r="R445" i="4"/>
  <c r="R449" i="4"/>
  <c r="R228" i="4"/>
  <c r="R292" i="4"/>
  <c r="R359" i="4"/>
  <c r="R565" i="4"/>
  <c r="R463" i="4"/>
  <c r="R490" i="4"/>
  <c r="R519" i="4"/>
  <c r="R525" i="4"/>
  <c r="R526" i="4"/>
  <c r="R552" i="4"/>
  <c r="R554" i="4"/>
  <c r="R555" i="4"/>
  <c r="R284" i="4"/>
  <c r="R450" i="4"/>
  <c r="R8" i="4"/>
  <c r="R24" i="4"/>
  <c r="R28" i="4"/>
  <c r="R31" i="4"/>
  <c r="R35" i="4"/>
  <c r="R36" i="4"/>
  <c r="R46" i="4"/>
  <c r="R51" i="4"/>
  <c r="R58" i="4"/>
  <c r="R64" i="4"/>
  <c r="R67" i="4"/>
  <c r="R68" i="4"/>
  <c r="R69" i="4"/>
  <c r="R72" i="4"/>
  <c r="R73" i="4"/>
  <c r="R74" i="4"/>
  <c r="R76" i="4"/>
  <c r="R77" i="4"/>
  <c r="R78" i="4"/>
  <c r="R79" i="4"/>
  <c r="R82" i="4"/>
  <c r="R83" i="4"/>
  <c r="R88" i="4"/>
  <c r="R89" i="4"/>
  <c r="R91" i="4"/>
  <c r="R93" i="4"/>
  <c r="R96" i="4"/>
  <c r="R98" i="4"/>
  <c r="R100" i="4"/>
  <c r="R101" i="4"/>
  <c r="R102" i="4"/>
  <c r="R103" i="4"/>
  <c r="R105" i="4"/>
  <c r="R112" i="4"/>
  <c r="R115" i="4"/>
  <c r="R116" i="4"/>
  <c r="R118" i="4"/>
  <c r="R120" i="4"/>
  <c r="R122" i="4"/>
  <c r="R123" i="4"/>
  <c r="R124" i="4"/>
  <c r="R125" i="4"/>
  <c r="R126" i="4"/>
  <c r="R127" i="4"/>
  <c r="R128" i="4"/>
  <c r="R131" i="4"/>
  <c r="R132" i="4"/>
  <c r="R133" i="4"/>
  <c r="R134" i="4"/>
  <c r="R135" i="4"/>
  <c r="R145" i="4"/>
  <c r="R146" i="4"/>
  <c r="R147" i="4"/>
  <c r="R148" i="4"/>
  <c r="R156" i="4"/>
  <c r="R157" i="4"/>
  <c r="R198" i="4"/>
  <c r="R199" i="4"/>
  <c r="R202" i="4"/>
  <c r="R203" i="4"/>
  <c r="R204" i="4"/>
  <c r="R205" i="4"/>
  <c r="R206" i="4"/>
  <c r="R251" i="4"/>
  <c r="R255" i="4"/>
  <c r="R256" i="4"/>
  <c r="R265" i="4"/>
  <c r="R266" i="4"/>
  <c r="R267" i="4"/>
  <c r="R268" i="4"/>
  <c r="R278" i="4"/>
  <c r="R279" i="4"/>
  <c r="R282" i="4"/>
  <c r="R283" i="4"/>
  <c r="R304" i="4"/>
  <c r="R305" i="4"/>
  <c r="R306" i="4"/>
  <c r="R307" i="4"/>
  <c r="R315" i="4"/>
  <c r="R316" i="4"/>
  <c r="R321" i="4"/>
  <c r="R322" i="4"/>
  <c r="R329" i="4"/>
  <c r="R330" i="4"/>
  <c r="R335" i="4"/>
  <c r="R336" i="4"/>
  <c r="R345" i="4"/>
  <c r="R346" i="4"/>
  <c r="R347" i="4"/>
  <c r="R348" i="4"/>
  <c r="R373" i="4"/>
  <c r="R375" i="4"/>
  <c r="R418" i="4"/>
  <c r="R443" i="4"/>
  <c r="R444" i="4"/>
  <c r="R451" i="4"/>
  <c r="R458" i="4"/>
  <c r="R459" i="4"/>
  <c r="R460" i="4"/>
  <c r="R461" i="4"/>
  <c r="R471" i="4"/>
  <c r="R474" i="4"/>
  <c r="R475" i="4"/>
  <c r="R476" i="4"/>
  <c r="R477" i="4"/>
  <c r="R478" i="4"/>
  <c r="R479" i="4"/>
  <c r="R480" i="4"/>
  <c r="R481" i="4"/>
  <c r="R482" i="4"/>
  <c r="R483" i="4"/>
  <c r="R487" i="4"/>
  <c r="R497" i="4"/>
  <c r="R498" i="4"/>
  <c r="R499" i="4"/>
  <c r="R500" i="4"/>
  <c r="R501" i="4"/>
  <c r="R504" i="4"/>
  <c r="R506" i="4"/>
  <c r="R507" i="4"/>
  <c r="R508" i="4"/>
  <c r="R509" i="4"/>
  <c r="R510" i="4"/>
  <c r="R511" i="4"/>
  <c r="R512" i="4"/>
  <c r="R518" i="4"/>
  <c r="R533" i="4"/>
  <c r="R534" i="4"/>
  <c r="R537" i="4"/>
  <c r="R538" i="4"/>
  <c r="R539" i="4"/>
  <c r="R540" i="4"/>
  <c r="R541" i="4"/>
  <c r="R542" i="4"/>
  <c r="R543" i="4"/>
  <c r="R545" i="4"/>
  <c r="R551" i="4"/>
  <c r="R562" i="4"/>
  <c r="R563" i="4"/>
  <c r="R564" i="4"/>
  <c r="R567" i="4"/>
  <c r="R353" i="4"/>
  <c r="R355" i="4"/>
  <c r="R387" i="4"/>
  <c r="R388" i="4"/>
  <c r="R389" i="4"/>
  <c r="R390" i="4"/>
  <c r="R391" i="4"/>
  <c r="R392" i="4"/>
  <c r="R397" i="4"/>
  <c r="R398" i="4"/>
  <c r="R167" i="4"/>
  <c r="R169" i="4"/>
  <c r="R170" i="4"/>
  <c r="R172" i="4"/>
  <c r="R174" i="4"/>
  <c r="R186" i="4"/>
  <c r="R189" i="4"/>
  <c r="R61" i="4"/>
  <c r="R223" i="4"/>
  <c r="R436" i="4"/>
  <c r="R439" i="4"/>
  <c r="R158" i="4"/>
  <c r="R159" i="4"/>
  <c r="R184" i="4"/>
  <c r="R196" i="4"/>
  <c r="R357" i="4"/>
  <c r="R358" i="4"/>
  <c r="R385" i="4"/>
  <c r="R399" i="4"/>
  <c r="R360" i="4"/>
  <c r="R386" i="4"/>
  <c r="R403" i="4"/>
  <c r="R343" i="4"/>
  <c r="R365" i="4"/>
  <c r="R431" i="4"/>
  <c r="R6" i="4"/>
  <c r="R21" i="4"/>
  <c r="R37" i="4"/>
  <c r="R39" i="4"/>
  <c r="R45" i="4"/>
  <c r="R129" i="4"/>
  <c r="R366" i="4"/>
  <c r="R384" i="4"/>
  <c r="R440" i="4"/>
  <c r="R166" i="4"/>
  <c r="R168" i="4"/>
  <c r="R171" i="4"/>
  <c r="R173" i="4"/>
  <c r="R175" i="4"/>
  <c r="R187" i="4"/>
  <c r="R190" i="4"/>
  <c r="R193" i="4"/>
  <c r="R352" i="4"/>
  <c r="R354" i="4"/>
  <c r="R356" i="4"/>
  <c r="R314" i="4"/>
  <c r="R328" i="4"/>
  <c r="R216" i="4"/>
  <c r="R218" i="4"/>
  <c r="R250" i="4"/>
  <c r="R262" i="4"/>
  <c r="R264" i="4"/>
  <c r="R270" i="4"/>
  <c r="R272" i="4"/>
  <c r="R281" i="4"/>
  <c r="R297" i="4"/>
  <c r="R299" i="4"/>
  <c r="R301" i="4"/>
  <c r="R303" i="4"/>
  <c r="R309" i="4"/>
  <c r="R312" i="4"/>
  <c r="R318" i="4"/>
  <c r="R324" i="4"/>
  <c r="R327" i="4"/>
  <c r="R332" i="4"/>
  <c r="R338" i="4"/>
  <c r="R407" i="4"/>
  <c r="R409" i="4"/>
  <c r="R411" i="4"/>
  <c r="R413" i="4"/>
  <c r="R415" i="4"/>
  <c r="R417" i="4"/>
  <c r="R422" i="4"/>
  <c r="R424" i="4"/>
  <c r="R426" i="4"/>
  <c r="R227" i="4"/>
  <c r="R427" i="4"/>
  <c r="R10" i="4"/>
  <c r="R12" i="4"/>
  <c r="R16" i="4"/>
  <c r="R18" i="4"/>
  <c r="R20" i="4"/>
  <c r="R30" i="4"/>
  <c r="R33" i="4"/>
  <c r="R41" i="4"/>
  <c r="R48" i="4"/>
  <c r="R50" i="4"/>
  <c r="R53" i="4"/>
  <c r="R55" i="4"/>
  <c r="R57" i="4"/>
  <c r="R60" i="4"/>
  <c r="R85" i="4"/>
  <c r="R107" i="4"/>
  <c r="R109" i="4"/>
  <c r="R139" i="4"/>
  <c r="R144" i="4"/>
  <c r="R152" i="4"/>
  <c r="R154" i="4"/>
  <c r="R195" i="4"/>
  <c r="O370" i="4"/>
  <c r="Q209" i="4"/>
  <c r="R211" i="4"/>
  <c r="R214" i="4"/>
  <c r="R224" i="4"/>
  <c r="R232" i="4"/>
  <c r="R235" i="4"/>
  <c r="R241" i="4"/>
  <c r="R253" i="4"/>
  <c r="R320" i="4"/>
  <c r="R334" i="4"/>
  <c r="R394" i="4"/>
  <c r="R396" i="4"/>
  <c r="R447" i="4"/>
  <c r="R448" i="4"/>
  <c r="R453" i="4"/>
  <c r="R455" i="4"/>
  <c r="R457" i="4"/>
  <c r="R473" i="4"/>
  <c r="R485" i="4"/>
  <c r="R503" i="4"/>
  <c r="R514" i="4"/>
  <c r="R517" i="4"/>
  <c r="R521" i="4"/>
  <c r="R523" i="4"/>
  <c r="R547" i="4"/>
  <c r="R550" i="4"/>
  <c r="R23" i="4"/>
  <c r="R81" i="4"/>
  <c r="R97" i="4"/>
  <c r="R260" i="4"/>
  <c r="R273" i="4"/>
  <c r="R405" i="4"/>
  <c r="R420" i="4"/>
  <c r="R486" i="4"/>
  <c r="R515" i="4"/>
  <c r="R548" i="4"/>
  <c r="K31" i="3"/>
  <c r="J31" i="3"/>
  <c r="L6" i="3"/>
  <c r="R42" i="4"/>
  <c r="R43" i="4"/>
  <c r="R293" i="4"/>
  <c r="R294" i="4"/>
  <c r="O572" i="4"/>
  <c r="Q372" i="4"/>
  <c r="K7" i="9"/>
  <c r="M6" i="9"/>
  <c r="M7" i="9" s="1"/>
  <c r="M9" i="9" s="1"/>
  <c r="B6" i="15" s="1"/>
  <c r="L6" i="9"/>
  <c r="L6" i="10"/>
  <c r="L10" i="10"/>
  <c r="K27" i="13"/>
  <c r="M6" i="13"/>
  <c r="L6" i="13"/>
  <c r="M7" i="13"/>
  <c r="L7" i="13"/>
  <c r="M8" i="13"/>
  <c r="L8" i="13"/>
  <c r="M9" i="13"/>
  <c r="L9" i="13"/>
  <c r="M10" i="13"/>
  <c r="L10" i="13"/>
  <c r="M11" i="13"/>
  <c r="L11" i="13"/>
  <c r="M12" i="13"/>
  <c r="L12" i="13"/>
  <c r="M13" i="13"/>
  <c r="L13" i="13"/>
  <c r="M14" i="13"/>
  <c r="L14" i="13"/>
  <c r="M15" i="13"/>
  <c r="L15" i="13"/>
  <c r="M16" i="13"/>
  <c r="L16" i="13"/>
  <c r="M17" i="13"/>
  <c r="L17" i="13"/>
  <c r="M18" i="13"/>
  <c r="L18" i="13"/>
  <c r="M19" i="13"/>
  <c r="L19" i="13"/>
  <c r="M20" i="13"/>
  <c r="L20" i="13"/>
  <c r="M21" i="13"/>
  <c r="L21" i="13"/>
  <c r="M22" i="13"/>
  <c r="L22" i="13"/>
  <c r="M23" i="13"/>
  <c r="L23" i="13"/>
  <c r="M24" i="13"/>
  <c r="L24" i="13"/>
  <c r="M25" i="13"/>
  <c r="L25" i="13"/>
  <c r="M26" i="13"/>
  <c r="L26" i="13"/>
  <c r="K13" i="11"/>
  <c r="M6" i="11"/>
  <c r="L6" i="11"/>
  <c r="M7" i="11"/>
  <c r="L7" i="11"/>
  <c r="M8" i="11"/>
  <c r="L8" i="11"/>
  <c r="M9" i="11"/>
  <c r="L9" i="11"/>
  <c r="M10" i="11"/>
  <c r="L10" i="11"/>
  <c r="M11" i="11"/>
  <c r="L11" i="11"/>
  <c r="M12" i="11"/>
  <c r="L12" i="11"/>
  <c r="M13" i="11" l="1"/>
  <c r="M15" i="11" s="1"/>
  <c r="B7" i="15" s="1"/>
  <c r="K15" i="11"/>
  <c r="L13" i="11"/>
  <c r="M27" i="13"/>
  <c r="M29" i="13" s="1"/>
  <c r="B8" i="15" s="1"/>
  <c r="K29" i="13"/>
  <c r="L27" i="13"/>
  <c r="L11" i="10"/>
  <c r="M11" i="10" s="1"/>
  <c r="M10" i="10"/>
  <c r="L7" i="10"/>
  <c r="M7" i="10" s="1"/>
  <c r="M6" i="10"/>
  <c r="K9" i="9"/>
  <c r="L7" i="9"/>
  <c r="Q572" i="4"/>
  <c r="R372" i="4"/>
  <c r="R572" i="4" s="1"/>
  <c r="L31" i="3"/>
  <c r="M6" i="3"/>
  <c r="M31" i="3" s="1"/>
  <c r="M36" i="3" s="1"/>
  <c r="Q370" i="4"/>
  <c r="R209" i="4"/>
  <c r="R370" i="4" s="1"/>
  <c r="Q207" i="4"/>
  <c r="R5" i="4"/>
  <c r="R207" i="4" s="1"/>
  <c r="D5" i="15"/>
  <c r="J35" i="7"/>
  <c r="E5" i="15" l="1"/>
  <c r="E17" i="15"/>
  <c r="L36" i="3"/>
  <c r="I33" i="3"/>
  <c r="D6" i="15"/>
  <c r="E6" i="15" s="1"/>
  <c r="L9" i="9"/>
  <c r="D8" i="15"/>
  <c r="E8" i="15" s="1"/>
  <c r="L29" i="13"/>
  <c r="D7" i="15"/>
  <c r="E7" i="15" s="1"/>
  <c r="L15" i="11"/>
  <c r="F8" i="6" l="1"/>
  <c r="K8" i="6" s="1"/>
  <c r="F7" i="6"/>
  <c r="K7" i="6" s="1"/>
  <c r="F6" i="6"/>
  <c r="K6" i="6" s="1"/>
  <c r="J8" i="6"/>
  <c r="L8" i="6"/>
  <c r="N8" i="6"/>
  <c r="O8" i="6"/>
  <c r="F6" i="8"/>
  <c r="I6" i="8"/>
  <c r="J6" i="8"/>
  <c r="K6" i="8"/>
  <c r="G8" i="6"/>
  <c r="I8" i="6"/>
  <c r="M8" i="6"/>
  <c r="E6" i="8"/>
  <c r="J7" i="6"/>
  <c r="L7" i="6"/>
  <c r="N7" i="6"/>
  <c r="O7" i="6"/>
  <c r="F5" i="8"/>
  <c r="I5" i="8"/>
  <c r="J5" i="8"/>
  <c r="K5" i="8"/>
  <c r="G7" i="6"/>
  <c r="I7" i="6"/>
  <c r="M7" i="6"/>
  <c r="E5" i="8"/>
  <c r="J6" i="6"/>
  <c r="L6" i="6"/>
  <c r="N6" i="6"/>
  <c r="O6" i="6"/>
  <c r="O9" i="6"/>
  <c r="O12" i="6"/>
  <c r="O14" i="6"/>
  <c r="N9" i="6"/>
  <c r="N12" i="6"/>
  <c r="N14" i="6"/>
  <c r="F4" i="8"/>
  <c r="I4" i="8"/>
  <c r="J4" i="8"/>
  <c r="K4" i="8"/>
  <c r="K8" i="8"/>
  <c r="J8" i="8"/>
  <c r="I8" i="8"/>
  <c r="F8" i="8"/>
  <c r="D4" i="15"/>
  <c r="E4" i="15"/>
  <c r="D10" i="15"/>
  <c r="E10" i="15"/>
  <c r="G6" i="6"/>
  <c r="I6" i="6"/>
  <c r="M6" i="6"/>
  <c r="M9" i="6"/>
  <c r="M12" i="6"/>
  <c r="E4" i="8"/>
  <c r="E8" i="8"/>
  <c r="B4" i="15"/>
  <c r="B10" i="15"/>
  <c r="B12" i="15"/>
</calcChain>
</file>

<file path=xl/sharedStrings.xml><?xml version="1.0" encoding="utf-8"?>
<sst xmlns="http://schemas.openxmlformats.org/spreadsheetml/2006/main" count="7180" uniqueCount="1195">
  <si>
    <t>Blad 'Omreken'</t>
  </si>
  <si>
    <t>Dit blad mag niet worden gewijzigd!</t>
  </si>
  <si>
    <t>Type:</t>
  </si>
  <si>
    <t>Invultabel</t>
  </si>
  <si>
    <t xml:space="preserve">werkdag                  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</si>
  <si>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</si>
  <si>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</si>
  <si>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</si>
  <si>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</si>
  <si>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</si>
  <si>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</si>
  <si>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</si>
  <si>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160J</t>
  </si>
  <si>
    <t>3W</t>
  </si>
  <si>
    <t>120J</t>
  </si>
  <si>
    <t>2W</t>
  </si>
  <si>
    <t>80J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</si>
  <si>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</si>
  <si>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</si>
  <si>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</si>
  <si>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</si>
  <si>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</si>
  <si>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</si>
  <si>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</si>
  <si>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</si>
  <si>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</si>
  <si>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</si>
  <si>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 xml:space="preserve">werkdag vakantie         </t>
  </si>
  <si>
    <t xml:space="preserve">weekenddag               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</si>
  <si>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</si>
  <si>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</si>
  <si>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</si>
  <si>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</si>
  <si>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</si>
  <si>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</si>
  <si>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</si>
  <si>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</si>
  <si>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</si>
  <si>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</si>
  <si>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</si>
  <si>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- harde vloeren (basis)</t>
  </si>
  <si>
    <t>m²/uur</t>
  </si>
  <si>
    <t>BHV</t>
  </si>
  <si>
    <t>Kantoor-/personeels-/vergaderruimte - harde vloeren (volledig)</t>
  </si>
  <si>
    <t>BZB</t>
  </si>
  <si>
    <t>Kantoor-/personeels-/vergaderruimte - zachte vloeren (basis)</t>
  </si>
  <si>
    <t>BZV</t>
  </si>
  <si>
    <t>Kantoor-/personeels-/vergaderruimte - zachte vloeren (volledig)</t>
  </si>
  <si>
    <t>CHB</t>
  </si>
  <si>
    <t>Computerlokaal - harde vloeren (basis)</t>
  </si>
  <si>
    <t>CHV</t>
  </si>
  <si>
    <t>Computerlokaal - harde vloeren (volledig)</t>
  </si>
  <si>
    <t>LHB</t>
  </si>
  <si>
    <t>Leslokalen/studieruimte - harde vloeren (basis)</t>
  </si>
  <si>
    <t>LHV</t>
  </si>
  <si>
    <t>Leslokalen/studieruimte - harde vloeren (volledig)</t>
  </si>
  <si>
    <t>MZB</t>
  </si>
  <si>
    <t>Mediatheek/bibliotheek - zachte vloeren (basis)</t>
  </si>
  <si>
    <t>MZV</t>
  </si>
  <si>
    <t>Mediatheek/bibliotheek - zachte vloeren (volledig)</t>
  </si>
  <si>
    <t>OLHB</t>
  </si>
  <si>
    <t>Open studieruimte - harde vloeren (basis)</t>
  </si>
  <si>
    <t>OLHV</t>
  </si>
  <si>
    <t>Open studieruimte - harde vloeren (volledig)</t>
  </si>
  <si>
    <t>PMHB</t>
  </si>
  <si>
    <t xml:space="preserve">PM   </t>
  </si>
  <si>
    <t>Praktijklokaal minimaal - harde vloeren (basis)</t>
  </si>
  <si>
    <t>PMHV</t>
  </si>
  <si>
    <t>Praktijklokaal minimaal - harde vloeren (volledig)</t>
  </si>
  <si>
    <t>PMZB</t>
  </si>
  <si>
    <t>Praktijklokaal minimaal - zachte vloeren (basis)</t>
  </si>
  <si>
    <t>PMZV</t>
  </si>
  <si>
    <t>Praktijklokaal minimaal - zachte vloeren (volledig)</t>
  </si>
  <si>
    <t>PUHB</t>
  </si>
  <si>
    <t xml:space="preserve">PU   </t>
  </si>
  <si>
    <t>Praktijklokaal uitgebreid - harde vloeren (basis)</t>
  </si>
  <si>
    <t>PUHV</t>
  </si>
  <si>
    <t>Praktijklokaal uitgebreid - harde vloeren (volledig)</t>
  </si>
  <si>
    <t>DHB</t>
  </si>
  <si>
    <t xml:space="preserve">S    </t>
  </si>
  <si>
    <t>Douche/wasruimte - harde vloeren (basis)</t>
  </si>
  <si>
    <t>DHV</t>
  </si>
  <si>
    <t>Douche/wasruimte - harde vloeren (volledig)</t>
  </si>
  <si>
    <t>KHB</t>
  </si>
  <si>
    <t>Kleedruimte - harde vloeren (basis)</t>
  </si>
  <si>
    <t>KHV</t>
  </si>
  <si>
    <t>Kleedruimte - harde vloeren (volledig)</t>
  </si>
  <si>
    <t>SHB</t>
  </si>
  <si>
    <t>Sanitaire ruimte/toiletgroep - harde vloeren (basis)</t>
  </si>
  <si>
    <t>SHV</t>
  </si>
  <si>
    <t>Sanitaire ruimte/toiletgroep - harde vloeren (volledig)</t>
  </si>
  <si>
    <t>AHB</t>
  </si>
  <si>
    <t xml:space="preserve">V    </t>
  </si>
  <si>
    <t>Aula/pauzeruimte - harde vloeren (basis)</t>
  </si>
  <si>
    <t>AHV</t>
  </si>
  <si>
    <t>Aula/pauzeruimte - harde vloeren (volledig)</t>
  </si>
  <si>
    <t>EHB</t>
  </si>
  <si>
    <t>Entree - harde vloeren (basis)</t>
  </si>
  <si>
    <t>EHV</t>
  </si>
  <si>
    <t>Entree - harde vloeren (volledig)</t>
  </si>
  <si>
    <t>EZB</t>
  </si>
  <si>
    <t>Entree - zachte vloeren (basis)</t>
  </si>
  <si>
    <t>EZV</t>
  </si>
  <si>
    <t>Entree - zachte vloeren (volledig)</t>
  </si>
  <si>
    <t>GHB</t>
  </si>
  <si>
    <t>Gym-/speelzaal/multifunc ruimte - harde vloeren (basis)</t>
  </si>
  <si>
    <t>GHV</t>
  </si>
  <si>
    <t>Gym-/speelzaal/multifunc ruimte - harde vloeren (volledig)</t>
  </si>
  <si>
    <t>IHB</t>
  </si>
  <si>
    <t>Lift - harde vloeren (basis)</t>
  </si>
  <si>
    <t>IHV</t>
  </si>
  <si>
    <t>Lift - harde vloeren (volledig)</t>
  </si>
  <si>
    <t>PHB</t>
  </si>
  <si>
    <t>Pantry/keuken - harde vloeren (basis)</t>
  </si>
  <si>
    <t>PHV</t>
  </si>
  <si>
    <t>Pantry/keuken - harde vloeren (volledig)</t>
  </si>
  <si>
    <t>THB</t>
  </si>
  <si>
    <t>Trap - harde vloeren (basis)</t>
  </si>
  <si>
    <t>THV</t>
  </si>
  <si>
    <t>Trap - harde vloeren (volledig)</t>
  </si>
  <si>
    <t>VHB</t>
  </si>
  <si>
    <t>Verkeersruimte/garderobe/reprografie - harde vloeren (basis)</t>
  </si>
  <si>
    <t>VHV</t>
  </si>
  <si>
    <t>Verkeersruimte/garderobe/reprografie - harde vloeren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</si>
  <si>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</si>
  <si>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</si>
  <si>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</si>
  <si>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</si>
  <si>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</si>
  <si>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</si>
  <si>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</si>
  <si>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</si>
  <si>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</si>
  <si>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</si>
  <si>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- harde vloeren</t>
  </si>
  <si>
    <t>BH</t>
  </si>
  <si>
    <t>Kantoor/personeels-/vergaderrruimte - harde vloeren</t>
  </si>
  <si>
    <t>BZ</t>
  </si>
  <si>
    <t>Kantoor/personeels-/vergaderrruimte - zachte vloeren</t>
  </si>
  <si>
    <t>CH</t>
  </si>
  <si>
    <t>Computerlokaal - harde vloeren</t>
  </si>
  <si>
    <t>DH</t>
  </si>
  <si>
    <t>Douche/wasruimte - harde vloeren</t>
  </si>
  <si>
    <t>EH</t>
  </si>
  <si>
    <t>Entree - harde vloeren</t>
  </si>
  <si>
    <t>EZ</t>
  </si>
  <si>
    <t>Entree - zachte vloeren</t>
  </si>
  <si>
    <t>GH</t>
  </si>
  <si>
    <t>Gymzaal/sportruimte/toestelberging - harde vloeren</t>
  </si>
  <si>
    <t>IH</t>
  </si>
  <si>
    <t>Lift - harde vloeren</t>
  </si>
  <si>
    <t>KLH</t>
  </si>
  <si>
    <t>Kleedruimte - harde vloeren</t>
  </si>
  <si>
    <t>LH</t>
  </si>
  <si>
    <t>Leslokaal/studieruimte - harde vloeren</t>
  </si>
  <si>
    <t>MZ</t>
  </si>
  <si>
    <t>Mediatheek - zachte vloeren</t>
  </si>
  <si>
    <t>OLH</t>
  </si>
  <si>
    <t>Open lesruimte - harde vloeren</t>
  </si>
  <si>
    <t>PH</t>
  </si>
  <si>
    <t>Pantry/keuken - harde vloeren</t>
  </si>
  <si>
    <t>PMH</t>
  </si>
  <si>
    <t>Praktijklokaal minimaal - harde vloeren</t>
  </si>
  <si>
    <t>PMZ</t>
  </si>
  <si>
    <t>Praktijklokaal minimaal - zachte vloeren</t>
  </si>
  <si>
    <t>PUH</t>
  </si>
  <si>
    <t>Praktijklokaal uitgebreid - harde vloeren</t>
  </si>
  <si>
    <t>SH</t>
  </si>
  <si>
    <t>Sanitaire ruimte/toiletten - harde vloeren</t>
  </si>
  <si>
    <t>TH</t>
  </si>
  <si>
    <t>Trap - harde vloeren</t>
  </si>
  <si>
    <t>VH</t>
  </si>
  <si>
    <t>Verkeersruimte/garderobe/reprografie - harde vloeren</t>
  </si>
  <si>
    <t>Z002</t>
  </si>
  <si>
    <t>extra</t>
  </si>
  <si>
    <t>Prullenbakken ledigen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</si>
  <si>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</si>
  <si>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</si>
  <si>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</si>
  <si>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</si>
  <si>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</si>
  <si>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</si>
  <si>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</si>
  <si>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</si>
  <si>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</si>
  <si>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</si>
  <si>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0001 - Fons Vitae Lyceum, Reijnier Vinkeleskade 53, Amsterdam</t>
  </si>
  <si>
    <t>0001</t>
  </si>
  <si>
    <t>A</t>
  </si>
  <si>
    <t>-1</t>
  </si>
  <si>
    <t>A-1.05</t>
  </si>
  <si>
    <t>dramalokaal</t>
  </si>
  <si>
    <t>linoleum</t>
  </si>
  <si>
    <t>00</t>
  </si>
  <si>
    <t>A0.01</t>
  </si>
  <si>
    <t>Hoofdentree</t>
  </si>
  <si>
    <t>vloerbedekking</t>
  </si>
  <si>
    <t>A0.02</t>
  </si>
  <si>
    <t>Hal</t>
  </si>
  <si>
    <t>tegels</t>
  </si>
  <si>
    <t>A0.03</t>
  </si>
  <si>
    <t>Lokaal A001</t>
  </si>
  <si>
    <t>A0.04</t>
  </si>
  <si>
    <t>afdelingsleider K01</t>
  </si>
  <si>
    <t>A0.05</t>
  </si>
  <si>
    <t>afdelingsleider K02</t>
  </si>
  <si>
    <t>A0.06</t>
  </si>
  <si>
    <t>gang</t>
  </si>
  <si>
    <t>A0.07</t>
  </si>
  <si>
    <t>toilet</t>
  </si>
  <si>
    <t>A0.08A</t>
  </si>
  <si>
    <t>BPS</t>
  </si>
  <si>
    <t>A0.08B</t>
  </si>
  <si>
    <t>orthopedagoog/oka</t>
  </si>
  <si>
    <t>A0.08C</t>
  </si>
  <si>
    <t>Hoofdfacilitair/directiesecr.</t>
  </si>
  <si>
    <t>A0.08D</t>
  </si>
  <si>
    <t>brandweer entree</t>
  </si>
  <si>
    <t>A0.09</t>
  </si>
  <si>
    <t>Hoofdtrappenhuis</t>
  </si>
  <si>
    <t>A0.10</t>
  </si>
  <si>
    <t>koffiekamer A003</t>
  </si>
  <si>
    <t>A0.11</t>
  </si>
  <si>
    <t>lokaal A004</t>
  </si>
  <si>
    <t>A0.12</t>
  </si>
  <si>
    <t>A0.14a</t>
  </si>
  <si>
    <t>A0.14b</t>
  </si>
  <si>
    <t>A0.15A</t>
  </si>
  <si>
    <t>lokaal A002</t>
  </si>
  <si>
    <t>A0.15B</t>
  </si>
  <si>
    <t>rector K06</t>
  </si>
  <si>
    <t>A0.16</t>
  </si>
  <si>
    <t>lokaal A005</t>
  </si>
  <si>
    <t>A0.17</t>
  </si>
  <si>
    <t>Leerlingenadministratie</t>
  </si>
  <si>
    <t>A0.18</t>
  </si>
  <si>
    <t>vleugeltrap</t>
  </si>
  <si>
    <t>A0.19</t>
  </si>
  <si>
    <t>studieruimte</t>
  </si>
  <si>
    <t>A0.20</t>
  </si>
  <si>
    <t>lokaal A006</t>
  </si>
  <si>
    <t>A0.21</t>
  </si>
  <si>
    <t>entree kleine trappenhuis</t>
  </si>
  <si>
    <t>A0.22</t>
  </si>
  <si>
    <t>A0.23</t>
  </si>
  <si>
    <t>pleinentree</t>
  </si>
  <si>
    <t>A0.25</t>
  </si>
  <si>
    <t>concierge</t>
  </si>
  <si>
    <t>A0.26</t>
  </si>
  <si>
    <t>kantine</t>
  </si>
  <si>
    <t>A0.27</t>
  </si>
  <si>
    <t>Aula</t>
  </si>
  <si>
    <t>01</t>
  </si>
  <si>
    <t>A1.01</t>
  </si>
  <si>
    <t>A1.02</t>
  </si>
  <si>
    <t>entree studiezaal</t>
  </si>
  <si>
    <t>A1.03</t>
  </si>
  <si>
    <t>studiezaal</t>
  </si>
  <si>
    <t>A1.04</t>
  </si>
  <si>
    <t>kantoor ICT</t>
  </si>
  <si>
    <t>hout</t>
  </si>
  <si>
    <t>A1.05</t>
  </si>
  <si>
    <t>kantoor roostermaker</t>
  </si>
  <si>
    <t>A1.06</t>
  </si>
  <si>
    <t>lokaal A101</t>
  </si>
  <si>
    <t>A1.07</t>
  </si>
  <si>
    <t>kantoor afdelingsleider</t>
  </si>
  <si>
    <t>A1.08</t>
  </si>
  <si>
    <t>A1.09</t>
  </si>
  <si>
    <t>A1.10</t>
  </si>
  <si>
    <t>lokaal A102</t>
  </si>
  <si>
    <t>A1.11</t>
  </si>
  <si>
    <t>kantoor plv. rector</t>
  </si>
  <si>
    <t>A1.12</t>
  </si>
  <si>
    <t>lift</t>
  </si>
  <si>
    <t>A1.13</t>
  </si>
  <si>
    <t>A1.14</t>
  </si>
  <si>
    <t>hoofdtrappenhuis</t>
  </si>
  <si>
    <t>A1.15A</t>
  </si>
  <si>
    <t>lokaal A103</t>
  </si>
  <si>
    <t>A1.15B</t>
  </si>
  <si>
    <t>A1.17</t>
  </si>
  <si>
    <t>A1.18</t>
  </si>
  <si>
    <t>lokaal A104</t>
  </si>
  <si>
    <t>A1.19</t>
  </si>
  <si>
    <t>lokaal A105</t>
  </si>
  <si>
    <t>A1.20</t>
  </si>
  <si>
    <t>lokaal A106</t>
  </si>
  <si>
    <t>A1.21a</t>
  </si>
  <si>
    <t>A1.21b</t>
  </si>
  <si>
    <t>A1.22A</t>
  </si>
  <si>
    <t>lokaal A107</t>
  </si>
  <si>
    <t>A1.22B</t>
  </si>
  <si>
    <t>A1.23</t>
  </si>
  <si>
    <t>lokaal A108</t>
  </si>
  <si>
    <t>A1.24</t>
  </si>
  <si>
    <t>A1.25</t>
  </si>
  <si>
    <t>A1.26</t>
  </si>
  <si>
    <t>lokaal A109</t>
  </si>
  <si>
    <t>02</t>
  </si>
  <si>
    <t>A2.01</t>
  </si>
  <si>
    <t>lokaal A201</t>
  </si>
  <si>
    <t>A2.02</t>
  </si>
  <si>
    <t>A2.03</t>
  </si>
  <si>
    <t>A2.04</t>
  </si>
  <si>
    <t>personeelsruimte</t>
  </si>
  <si>
    <t>A2.06</t>
  </si>
  <si>
    <t>lokaal A202</t>
  </si>
  <si>
    <t>A2.07</t>
  </si>
  <si>
    <t>lokaal  A203</t>
  </si>
  <si>
    <t>A2.08</t>
  </si>
  <si>
    <t>remedial teacher K21</t>
  </si>
  <si>
    <t>A2.10A</t>
  </si>
  <si>
    <t>A2.11</t>
  </si>
  <si>
    <t>A2.12</t>
  </si>
  <si>
    <t>lokaal A204</t>
  </si>
  <si>
    <t>A2.13</t>
  </si>
  <si>
    <t>lokaal A205</t>
  </si>
  <si>
    <t>A2.14</t>
  </si>
  <si>
    <t>A2.15A</t>
  </si>
  <si>
    <t>lokaal A206</t>
  </si>
  <si>
    <t>A2.15B</t>
  </si>
  <si>
    <t>A2.16</t>
  </si>
  <si>
    <t>lokaal A207</t>
  </si>
  <si>
    <t>A2.17a</t>
  </si>
  <si>
    <t>A2.17b</t>
  </si>
  <si>
    <t>A2.18</t>
  </si>
  <si>
    <t>Lokaal A208</t>
  </si>
  <si>
    <t>A2.19</t>
  </si>
  <si>
    <t>studie / overleg K23 /K24</t>
  </si>
  <si>
    <t>A2.20</t>
  </si>
  <si>
    <t>lokaal A209</t>
  </si>
  <si>
    <t>A2.21</t>
  </si>
  <si>
    <t>A2.22</t>
  </si>
  <si>
    <t>A2.23</t>
  </si>
  <si>
    <t>lokaal A210</t>
  </si>
  <si>
    <t>03</t>
  </si>
  <si>
    <t>A3.01</t>
  </si>
  <si>
    <t>lokaal A301</t>
  </si>
  <si>
    <t>A3.02</t>
  </si>
  <si>
    <t>lokaal A302</t>
  </si>
  <si>
    <t>A3.03</t>
  </si>
  <si>
    <t>A3.04</t>
  </si>
  <si>
    <t>lokaal A303</t>
  </si>
  <si>
    <t>A3.05</t>
  </si>
  <si>
    <t>Decanen K31</t>
  </si>
  <si>
    <t>A3.06</t>
  </si>
  <si>
    <t>zorg K32</t>
  </si>
  <si>
    <t>A3.08</t>
  </si>
  <si>
    <t>A3.09</t>
  </si>
  <si>
    <t>A3.10</t>
  </si>
  <si>
    <t>lokaal A305</t>
  </si>
  <si>
    <t>A3.11</t>
  </si>
  <si>
    <t>A3.12</t>
  </si>
  <si>
    <t>A3.13</t>
  </si>
  <si>
    <t>lokaal A306</t>
  </si>
  <si>
    <t>A3.14</t>
  </si>
  <si>
    <t>lokaal A307</t>
  </si>
  <si>
    <t>A3.15A</t>
  </si>
  <si>
    <t>A3.16</t>
  </si>
  <si>
    <t>lokaal A308</t>
  </si>
  <si>
    <t>A3.17</t>
  </si>
  <si>
    <t>A3.18</t>
  </si>
  <si>
    <t>lokaal A309</t>
  </si>
  <si>
    <t>A3.20</t>
  </si>
  <si>
    <t>A3.22</t>
  </si>
  <si>
    <t>lokaal A310</t>
  </si>
  <si>
    <t>04</t>
  </si>
  <si>
    <t>A4.01</t>
  </si>
  <si>
    <t>lokaal A401</t>
  </si>
  <si>
    <t>A4.02</t>
  </si>
  <si>
    <t>A4.03</t>
  </si>
  <si>
    <t>lokaal A402</t>
  </si>
  <si>
    <t>A4.04</t>
  </si>
  <si>
    <t>lokaal A403</t>
  </si>
  <si>
    <t>A4.05</t>
  </si>
  <si>
    <t>A4.06</t>
  </si>
  <si>
    <t>lokaal A404</t>
  </si>
  <si>
    <t>B</t>
  </si>
  <si>
    <t>B0.01</t>
  </si>
  <si>
    <t>Entree</t>
  </si>
  <si>
    <t>B0.02</t>
  </si>
  <si>
    <t>B0.04</t>
  </si>
  <si>
    <t>lokaal B11</t>
  </si>
  <si>
    <t>B0.05</t>
  </si>
  <si>
    <t>lokaal B12</t>
  </si>
  <si>
    <t>B0.08</t>
  </si>
  <si>
    <t>lokaal B13</t>
  </si>
  <si>
    <t>B0.08B</t>
  </si>
  <si>
    <t>Studieruimte</t>
  </si>
  <si>
    <t>B0.09</t>
  </si>
  <si>
    <t>lokaal B14</t>
  </si>
  <si>
    <t>B0.10</t>
  </si>
  <si>
    <t>B0.10A</t>
  </si>
  <si>
    <t>B0.12</t>
  </si>
  <si>
    <t>kabinet biologie</t>
  </si>
  <si>
    <t>B0.13</t>
  </si>
  <si>
    <t>B0.14</t>
  </si>
  <si>
    <t>Noodtrappenhuis</t>
  </si>
  <si>
    <t>B1.02</t>
  </si>
  <si>
    <t>B1.03</t>
  </si>
  <si>
    <t>werkruimte docenten</t>
  </si>
  <si>
    <t>B1.04</t>
  </si>
  <si>
    <t>lokaal B21</t>
  </si>
  <si>
    <t>B1.05</t>
  </si>
  <si>
    <t>lokaal B22</t>
  </si>
  <si>
    <t>B1.06</t>
  </si>
  <si>
    <t>lokaal B24</t>
  </si>
  <si>
    <t>B1.07</t>
  </si>
  <si>
    <t>lokaal B23</t>
  </si>
  <si>
    <t>B1.08</t>
  </si>
  <si>
    <t>B1.08B</t>
  </si>
  <si>
    <t>B1.10</t>
  </si>
  <si>
    <t>kabinet natuurkunde</t>
  </si>
  <si>
    <t>B1.12</t>
  </si>
  <si>
    <t>kabinet scheikunde</t>
  </si>
  <si>
    <t>B1.14</t>
  </si>
  <si>
    <t>noodtrappenhuis</t>
  </si>
  <si>
    <t>B1.17</t>
  </si>
  <si>
    <t>B1.18</t>
  </si>
  <si>
    <t>C</t>
  </si>
  <si>
    <t>K01</t>
  </si>
  <si>
    <t>gymzaal C01</t>
  </si>
  <si>
    <t>pulastic</t>
  </si>
  <si>
    <t>K02</t>
  </si>
  <si>
    <t>gymzaal C02</t>
  </si>
  <si>
    <t>K04</t>
  </si>
  <si>
    <t>K05</t>
  </si>
  <si>
    <t>hal</t>
  </si>
  <si>
    <t>K06</t>
  </si>
  <si>
    <t>K09</t>
  </si>
  <si>
    <t>K10</t>
  </si>
  <si>
    <t>K11</t>
  </si>
  <si>
    <t>K12</t>
  </si>
  <si>
    <t>doucheruimte</t>
  </si>
  <si>
    <t>K13</t>
  </si>
  <si>
    <t>kleedkamer</t>
  </si>
  <si>
    <t>K14</t>
  </si>
  <si>
    <t>K15</t>
  </si>
  <si>
    <t>K16</t>
  </si>
  <si>
    <t>K18</t>
  </si>
  <si>
    <t>K20</t>
  </si>
  <si>
    <t>K21</t>
  </si>
  <si>
    <t>K22</t>
  </si>
  <si>
    <t>K23</t>
  </si>
  <si>
    <t>K24</t>
  </si>
  <si>
    <t>K25</t>
  </si>
  <si>
    <t>K26</t>
  </si>
  <si>
    <t>C0.01</t>
  </si>
  <si>
    <t>C0.02</t>
  </si>
  <si>
    <t>C0.03</t>
  </si>
  <si>
    <t>C1.11</t>
  </si>
  <si>
    <t>C1.12</t>
  </si>
  <si>
    <t>Fitness</t>
  </si>
  <si>
    <t>C1.13</t>
  </si>
  <si>
    <t>C1.14</t>
  </si>
  <si>
    <t>C1.15</t>
  </si>
  <si>
    <t>C1.16</t>
  </si>
  <si>
    <t>C1.18</t>
  </si>
  <si>
    <t>C1.19</t>
  </si>
  <si>
    <t>C1.21</t>
  </si>
  <si>
    <t>C1.22</t>
  </si>
  <si>
    <t>C1.24</t>
  </si>
  <si>
    <t>C1.25</t>
  </si>
  <si>
    <t>docentenruimte</t>
  </si>
  <si>
    <t>C1.26</t>
  </si>
  <si>
    <t>gymzaal C22</t>
  </si>
  <si>
    <t>C2.01</t>
  </si>
  <si>
    <t>C2.03</t>
  </si>
  <si>
    <t>lokaal C32</t>
  </si>
  <si>
    <t>C2.04</t>
  </si>
  <si>
    <t>lokaal C33</t>
  </si>
  <si>
    <t>C2.05</t>
  </si>
  <si>
    <t>C2.07</t>
  </si>
  <si>
    <t>C2.08</t>
  </si>
  <si>
    <t>geluidsstudio 1</t>
  </si>
  <si>
    <t>C2.09</t>
  </si>
  <si>
    <t>geluidsstudio 2</t>
  </si>
  <si>
    <t>C2.10</t>
  </si>
  <si>
    <t>geluidsstudio 3</t>
  </si>
  <si>
    <t>C2.11</t>
  </si>
  <si>
    <t>geluidsstudio 4</t>
  </si>
  <si>
    <t>C2.12</t>
  </si>
  <si>
    <t>geluidsstudio 5</t>
  </si>
  <si>
    <t>Totaal werkdag</t>
  </si>
  <si>
    <t>0002 - St. Ignatiusgymnasium, Jan van Eijckstraat 47, Amsterdam</t>
  </si>
  <si>
    <t>0002</t>
  </si>
  <si>
    <t>A01</t>
  </si>
  <si>
    <t>kantoor</t>
  </si>
  <si>
    <t>gietvloer</t>
  </si>
  <si>
    <t>A02</t>
  </si>
  <si>
    <t>Kantoor</t>
  </si>
  <si>
    <t>A05</t>
  </si>
  <si>
    <t>Gang container ruimte</t>
  </si>
  <si>
    <t>tarkett</t>
  </si>
  <si>
    <t>A06</t>
  </si>
  <si>
    <t>A07</t>
  </si>
  <si>
    <t>tapijt</t>
  </si>
  <si>
    <t>A08</t>
  </si>
  <si>
    <t>A09a</t>
  </si>
  <si>
    <t>Verkeersruimtes</t>
  </si>
  <si>
    <t>A09b</t>
  </si>
  <si>
    <t>A09c</t>
  </si>
  <si>
    <t>A09d</t>
  </si>
  <si>
    <t>X06</t>
  </si>
  <si>
    <t>Lift</t>
  </si>
  <si>
    <t>parket</t>
  </si>
  <si>
    <t>X07</t>
  </si>
  <si>
    <t>Concierge ruimte</t>
  </si>
  <si>
    <t>X08</t>
  </si>
  <si>
    <t>Toiletgroep D</t>
  </si>
  <si>
    <t>X09</t>
  </si>
  <si>
    <t>Toiletgroep H</t>
  </si>
  <si>
    <t>X10</t>
  </si>
  <si>
    <t>Docentenruimte</t>
  </si>
  <si>
    <t>X11</t>
  </si>
  <si>
    <t>Keuken doc.ruimte</t>
  </si>
  <si>
    <t>X42</t>
  </si>
  <si>
    <t>Achtertrappenhuis</t>
  </si>
  <si>
    <t>X43</t>
  </si>
  <si>
    <t>Hoofdtrappenhuis inc</t>
  </si>
  <si>
    <t>zandcement</t>
  </si>
  <si>
    <t>A10</t>
  </si>
  <si>
    <t>Kabinet</t>
  </si>
  <si>
    <t>A11</t>
  </si>
  <si>
    <t>Praktijklokaal</t>
  </si>
  <si>
    <t>A12</t>
  </si>
  <si>
    <t>A13</t>
  </si>
  <si>
    <t>A14</t>
  </si>
  <si>
    <t>A15</t>
  </si>
  <si>
    <t>A16</t>
  </si>
  <si>
    <t>A17</t>
  </si>
  <si>
    <t>A19</t>
  </si>
  <si>
    <t>Tekenlokaal</t>
  </si>
  <si>
    <t>A19a</t>
  </si>
  <si>
    <t>Tekenlokaal vide</t>
  </si>
  <si>
    <t>marmoleum</t>
  </si>
  <si>
    <t>X12</t>
  </si>
  <si>
    <t>Verkeersruimte</t>
  </si>
  <si>
    <t>X13</t>
  </si>
  <si>
    <t>Toiletgroep heren</t>
  </si>
  <si>
    <t>X14</t>
  </si>
  <si>
    <t>Toiletgroep dames</t>
  </si>
  <si>
    <t>X40</t>
  </si>
  <si>
    <t>Trap tekenlokaal</t>
  </si>
  <si>
    <t>X41</t>
  </si>
  <si>
    <t>Trap vide tekenlokaal</t>
  </si>
  <si>
    <t>A20</t>
  </si>
  <si>
    <t>A21</t>
  </si>
  <si>
    <t>A22</t>
  </si>
  <si>
    <t>A23</t>
  </si>
  <si>
    <t>A24</t>
  </si>
  <si>
    <t>Lokaal</t>
  </si>
  <si>
    <t>A25</t>
  </si>
  <si>
    <t>X17</t>
  </si>
  <si>
    <t>X18</t>
  </si>
  <si>
    <t>X19</t>
  </si>
  <si>
    <t>A30</t>
  </si>
  <si>
    <t>Spreekkamer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</si>
  <si>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</si>
  <si>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</si>
  <si>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</si>
  <si>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</si>
  <si>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</si>
  <si>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</si>
  <si>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</si>
  <si>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</si>
  <si>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</si>
  <si>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X22</t>
  </si>
  <si>
    <t>X23</t>
  </si>
  <si>
    <t>X24</t>
  </si>
  <si>
    <t>X25</t>
  </si>
  <si>
    <t>Invalidentoilet</t>
  </si>
  <si>
    <t>A40</t>
  </si>
  <si>
    <t>A41</t>
  </si>
  <si>
    <t>A42</t>
  </si>
  <si>
    <t>A50</t>
  </si>
  <si>
    <t>Leesruimte</t>
  </si>
  <si>
    <t>A51</t>
  </si>
  <si>
    <t>X28</t>
  </si>
  <si>
    <t>Mediatheek</t>
  </si>
  <si>
    <t>X29</t>
  </si>
  <si>
    <t>Heren toiletten</t>
  </si>
  <si>
    <t>X30</t>
  </si>
  <si>
    <t>Dames toiletten</t>
  </si>
  <si>
    <t>X31</t>
  </si>
  <si>
    <t>Overloopt hoofdtrappenhuis</t>
  </si>
  <si>
    <t>X38</t>
  </si>
  <si>
    <t>Voor entree lokaal</t>
  </si>
  <si>
    <t>X39</t>
  </si>
  <si>
    <t>X33</t>
  </si>
  <si>
    <t>Achtertrap</t>
  </si>
  <si>
    <t>beton</t>
  </si>
  <si>
    <t>-2</t>
  </si>
  <si>
    <t>X32</t>
  </si>
  <si>
    <t>X03</t>
  </si>
  <si>
    <t>Keuken</t>
  </si>
  <si>
    <t>X04</t>
  </si>
  <si>
    <t>Kantine/aula</t>
  </si>
  <si>
    <t>X05</t>
  </si>
  <si>
    <t>X34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</si>
  <si>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</si>
  <si>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</si>
  <si>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</si>
  <si>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</si>
  <si>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</si>
  <si>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</si>
  <si>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</si>
  <si>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</si>
  <si>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</si>
  <si>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X15</t>
  </si>
  <si>
    <t>X35</t>
  </si>
  <si>
    <t>B20</t>
  </si>
  <si>
    <t>B21</t>
  </si>
  <si>
    <t>Kopieerruimte</t>
  </si>
  <si>
    <t>B22</t>
  </si>
  <si>
    <t>Computerlokaal</t>
  </si>
  <si>
    <t>B23</t>
  </si>
  <si>
    <t>B24</t>
  </si>
  <si>
    <t>B25</t>
  </si>
  <si>
    <t>B26</t>
  </si>
  <si>
    <t>B27</t>
  </si>
  <si>
    <t>B28</t>
  </si>
  <si>
    <t>B29</t>
  </si>
  <si>
    <t>X20</t>
  </si>
  <si>
    <t>X36</t>
  </si>
  <si>
    <t>B30</t>
  </si>
  <si>
    <t>B32</t>
  </si>
  <si>
    <t>B33</t>
  </si>
  <si>
    <t>B34</t>
  </si>
  <si>
    <t>B35</t>
  </si>
  <si>
    <t>B36</t>
  </si>
  <si>
    <t>B37</t>
  </si>
  <si>
    <t>B38</t>
  </si>
  <si>
    <t>B39</t>
  </si>
  <si>
    <t>X26</t>
  </si>
  <si>
    <t>X37</t>
  </si>
  <si>
    <t>C06</t>
  </si>
  <si>
    <t>Trap stalling</t>
  </si>
  <si>
    <t>C07</t>
  </si>
  <si>
    <t>Trap Gym/muziek</t>
  </si>
  <si>
    <t>C08</t>
  </si>
  <si>
    <t>Stalling entree</t>
  </si>
  <si>
    <t>C09</t>
  </si>
  <si>
    <t>C10</t>
  </si>
  <si>
    <t>Muzieklokaal</t>
  </si>
  <si>
    <t>C11</t>
  </si>
  <si>
    <t>C12</t>
  </si>
  <si>
    <t>C13</t>
  </si>
  <si>
    <t>C14</t>
  </si>
  <si>
    <t>Toilet</t>
  </si>
  <si>
    <t>C15</t>
  </si>
  <si>
    <t>C16</t>
  </si>
  <si>
    <t>C17</t>
  </si>
  <si>
    <t>Docenten douche</t>
  </si>
  <si>
    <t>keramische tegels</t>
  </si>
  <si>
    <t>C18a</t>
  </si>
  <si>
    <t>Kleedkamer dames</t>
  </si>
  <si>
    <t>C18b</t>
  </si>
  <si>
    <t>Leerling douche</t>
  </si>
  <si>
    <t>C19a</t>
  </si>
  <si>
    <t>Kleedkamer heren</t>
  </si>
  <si>
    <t>C19b</t>
  </si>
  <si>
    <t>C20</t>
  </si>
  <si>
    <t>Gymzaal</t>
  </si>
  <si>
    <t>pulastic gymvloer</t>
  </si>
  <si>
    <t>C21</t>
  </si>
  <si>
    <t>Kleine gymzaal</t>
  </si>
  <si>
    <t>rubber</t>
  </si>
  <si>
    <t>C21a</t>
  </si>
  <si>
    <t>C22</t>
  </si>
  <si>
    <t>Gymbergruimte</t>
  </si>
  <si>
    <t>C23</t>
  </si>
  <si>
    <t>Mindervaliden toilet</t>
  </si>
  <si>
    <t>C24</t>
  </si>
  <si>
    <t>C25</t>
  </si>
  <si>
    <t>C26</t>
  </si>
  <si>
    <t>Trap Gymzaal</t>
  </si>
  <si>
    <t>X01</t>
  </si>
  <si>
    <t>Inloopmat hoofdentree</t>
  </si>
  <si>
    <t>X02</t>
  </si>
  <si>
    <t>Hoofd entree</t>
  </si>
  <si>
    <t>X16</t>
  </si>
  <si>
    <t>X21</t>
  </si>
  <si>
    <t>Overloop</t>
  </si>
  <si>
    <t>X27</t>
  </si>
  <si>
    <t>0003 - St. Nicolaaslyceum, Beethovenplein 2, Amsterdam</t>
  </si>
  <si>
    <t>0003</t>
  </si>
  <si>
    <t/>
  </si>
  <si>
    <t>-1.01</t>
  </si>
  <si>
    <t>restaurant</t>
  </si>
  <si>
    <t>-1.03</t>
  </si>
  <si>
    <t>theorie lokaal S04</t>
  </si>
  <si>
    <t>-1.04</t>
  </si>
  <si>
    <t>klein theater</t>
  </si>
  <si>
    <t>-1.05</t>
  </si>
  <si>
    <t>theorie lokaal S05</t>
  </si>
  <si>
    <t>-1.09</t>
  </si>
  <si>
    <t>trapopgang</t>
  </si>
  <si>
    <t>-1.10</t>
  </si>
  <si>
    <t>-1.11</t>
  </si>
  <si>
    <t>trappenhuis 1</t>
  </si>
  <si>
    <t>-1.12</t>
  </si>
  <si>
    <t>toiletten</t>
  </si>
  <si>
    <t>-1.13</t>
  </si>
  <si>
    <t>-1.16</t>
  </si>
  <si>
    <t>trappenhuis 2</t>
  </si>
  <si>
    <t>-1.17</t>
  </si>
  <si>
    <t>-1.18</t>
  </si>
  <si>
    <t>MIVA toilet</t>
  </si>
  <si>
    <t>-1.28</t>
  </si>
  <si>
    <t>entree sport (via -2)</t>
  </si>
  <si>
    <t>-2.01</t>
  </si>
  <si>
    <t>sportzaal</t>
  </si>
  <si>
    <t>sportvloer</t>
  </si>
  <si>
    <t>-2.02</t>
  </si>
  <si>
    <t>berging sport</t>
  </si>
  <si>
    <t>-2.04</t>
  </si>
  <si>
    <t>kleedkamer K01</t>
  </si>
  <si>
    <t>-2.05</t>
  </si>
  <si>
    <t>-2.06</t>
  </si>
  <si>
    <t>kleedkamer K02</t>
  </si>
  <si>
    <t>-2.07</t>
  </si>
  <si>
    <t>-2.08</t>
  </si>
  <si>
    <t>kleedkamer K03</t>
  </si>
  <si>
    <t>-2.09</t>
  </si>
  <si>
    <t>-2.12a</t>
  </si>
  <si>
    <t>docenten werkruimte</t>
  </si>
  <si>
    <t>-2.12b</t>
  </si>
  <si>
    <t>-2.16</t>
  </si>
  <si>
    <t>kleedruimte docenten</t>
  </si>
  <si>
    <t>-2.17</t>
  </si>
  <si>
    <t>-2.18</t>
  </si>
  <si>
    <t>fitness</t>
  </si>
  <si>
    <t>-2.27</t>
  </si>
  <si>
    <t>gang/hal</t>
  </si>
  <si>
    <t>-2.28</t>
  </si>
  <si>
    <t>-2.29</t>
  </si>
  <si>
    <t>-2.31</t>
  </si>
  <si>
    <t>bergruimte sport</t>
  </si>
  <si>
    <t>-2.32</t>
  </si>
  <si>
    <t>containerruimte</t>
  </si>
  <si>
    <t>0.01</t>
  </si>
  <si>
    <t>0.02</t>
  </si>
  <si>
    <t>0.03</t>
  </si>
  <si>
    <t>0.04</t>
  </si>
  <si>
    <t>0.05</t>
  </si>
  <si>
    <t>0.06</t>
  </si>
  <si>
    <t>0.07</t>
  </si>
  <si>
    <t>0.08</t>
  </si>
  <si>
    <t>theorie lokaal</t>
  </si>
  <si>
    <t>pvc</t>
  </si>
  <si>
    <t>0.09</t>
  </si>
  <si>
    <t>repro/opslagruimte</t>
  </si>
  <si>
    <t>0.11</t>
  </si>
  <si>
    <t>receptie</t>
  </si>
  <si>
    <t>0.12</t>
  </si>
  <si>
    <t>0.13A</t>
  </si>
  <si>
    <t>0.13B</t>
  </si>
  <si>
    <t>0.15</t>
  </si>
  <si>
    <t>overleg/spreekruimte</t>
  </si>
  <si>
    <t>0.16</t>
  </si>
  <si>
    <t>0.17</t>
  </si>
  <si>
    <t>centrale hal/groot theater</t>
  </si>
  <si>
    <t>0.18</t>
  </si>
  <si>
    <t>tribune trap</t>
  </si>
  <si>
    <t>0.19</t>
  </si>
  <si>
    <t>entree sluis</t>
  </si>
  <si>
    <t>schoonloop mat</t>
  </si>
  <si>
    <t>0.20</t>
  </si>
  <si>
    <t>trappenhuis</t>
  </si>
  <si>
    <t>0.21</t>
  </si>
  <si>
    <t>0.22</t>
  </si>
  <si>
    <t>0.23</t>
  </si>
  <si>
    <t>0.25</t>
  </si>
  <si>
    <t>lino</t>
  </si>
  <si>
    <t>0.28</t>
  </si>
  <si>
    <t>0.30</t>
  </si>
  <si>
    <t>0.31</t>
  </si>
  <si>
    <t>0.34</t>
  </si>
  <si>
    <t>entree</t>
  </si>
  <si>
    <t>0.36</t>
  </si>
  <si>
    <t>1.01</t>
  </si>
  <si>
    <t>vaklokaal podiumkunsten</t>
  </si>
  <si>
    <t>1.04</t>
  </si>
  <si>
    <t>vak/theorie lokaal</t>
  </si>
  <si>
    <t>1.05</t>
  </si>
  <si>
    <t>vaklokaal beeldende vorming</t>
  </si>
  <si>
    <t>1.06</t>
  </si>
  <si>
    <t>kabinet beeldende vorming</t>
  </si>
  <si>
    <t>1.07</t>
  </si>
  <si>
    <t>1.08</t>
  </si>
  <si>
    <t>werkruimte</t>
  </si>
  <si>
    <t>1.09</t>
  </si>
  <si>
    <t>1.10</t>
  </si>
  <si>
    <t>mediatheek</t>
  </si>
  <si>
    <t>1.10a</t>
  </si>
  <si>
    <t>1.11</t>
  </si>
  <si>
    <t>1.12</t>
  </si>
  <si>
    <t>1.13</t>
  </si>
  <si>
    <t>1.14</t>
  </si>
  <si>
    <t>oefenruimte</t>
  </si>
  <si>
    <t>1.15</t>
  </si>
  <si>
    <t>1.16</t>
  </si>
  <si>
    <t>1.17</t>
  </si>
  <si>
    <t>regie</t>
  </si>
  <si>
    <t>1.18</t>
  </si>
  <si>
    <t>1.19</t>
  </si>
  <si>
    <t>gang/werkplekken</t>
  </si>
  <si>
    <t>1.20</t>
  </si>
  <si>
    <t>1.21</t>
  </si>
  <si>
    <t>1.22</t>
  </si>
  <si>
    <t>1.23</t>
  </si>
  <si>
    <t>1.27</t>
  </si>
  <si>
    <t>1.28</t>
  </si>
  <si>
    <t>1.29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</si>
  <si>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</si>
  <si>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</si>
  <si>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</si>
  <si>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</si>
  <si>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</si>
  <si>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</si>
  <si>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</si>
  <si>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</si>
  <si>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</si>
  <si>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</si>
  <si>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</si>
  <si>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</si>
  <si>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</si>
  <si>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2.15</t>
  </si>
  <si>
    <t>2.16</t>
  </si>
  <si>
    <t>stilte ruimte</t>
  </si>
  <si>
    <t>2.17</t>
  </si>
  <si>
    <t>2.18</t>
  </si>
  <si>
    <t>2.19</t>
  </si>
  <si>
    <t>2.20</t>
  </si>
  <si>
    <t>2.21</t>
  </si>
  <si>
    <t>2.22</t>
  </si>
  <si>
    <t>2.27</t>
  </si>
  <si>
    <t>2.28</t>
  </si>
  <si>
    <t>2.29</t>
  </si>
  <si>
    <t>3.01</t>
  </si>
  <si>
    <t>3.02</t>
  </si>
  <si>
    <t>3.03</t>
  </si>
  <si>
    <t>3.04</t>
  </si>
  <si>
    <t>3.05</t>
  </si>
  <si>
    <t>3.06</t>
  </si>
  <si>
    <t>3.07</t>
  </si>
  <si>
    <t>3.07a</t>
  </si>
  <si>
    <t>3.08</t>
  </si>
  <si>
    <t>3.09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</si>
  <si>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</si>
  <si>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</si>
  <si>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</si>
  <si>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</si>
  <si>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</si>
  <si>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</si>
  <si>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</si>
  <si>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</si>
  <si>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</si>
  <si>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</si>
  <si>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werkplekken</t>
  </si>
  <si>
    <t>3.19A</t>
  </si>
  <si>
    <t>3.19B</t>
  </si>
  <si>
    <t>3.20</t>
  </si>
  <si>
    <t>3.21</t>
  </si>
  <si>
    <t>3.22</t>
  </si>
  <si>
    <t>3.23</t>
  </si>
  <si>
    <t>3.24</t>
  </si>
  <si>
    <t>3.25</t>
  </si>
  <si>
    <t>3.30</t>
  </si>
  <si>
    <t>3.31</t>
  </si>
  <si>
    <t>3.32</t>
  </si>
  <si>
    <t>4.01</t>
  </si>
  <si>
    <t>4.02</t>
  </si>
  <si>
    <t>4.03</t>
  </si>
  <si>
    <t>vaklokaal scheikunde</t>
  </si>
  <si>
    <t>4.04</t>
  </si>
  <si>
    <t>4.05</t>
  </si>
  <si>
    <t>4.06</t>
  </si>
  <si>
    <t>4.07</t>
  </si>
  <si>
    <t>4.08</t>
  </si>
  <si>
    <t>4.09</t>
  </si>
  <si>
    <t>4.10</t>
  </si>
  <si>
    <t>4.11</t>
  </si>
  <si>
    <t>4.12</t>
  </si>
  <si>
    <t>4.13</t>
  </si>
  <si>
    <t>4.14</t>
  </si>
  <si>
    <t>4.15</t>
  </si>
  <si>
    <t>4.16</t>
  </si>
  <si>
    <t>4.17</t>
  </si>
  <si>
    <t>4.19</t>
  </si>
  <si>
    <t>4.20</t>
  </si>
  <si>
    <t>4.21</t>
  </si>
  <si>
    <t>4.22</t>
  </si>
  <si>
    <t>4.23</t>
  </si>
  <si>
    <t>4.24</t>
  </si>
  <si>
    <t>4.25</t>
  </si>
  <si>
    <t>4.30</t>
  </si>
  <si>
    <t>4.31</t>
  </si>
  <si>
    <t>4.32</t>
  </si>
  <si>
    <t>05</t>
  </si>
  <si>
    <t>5.01</t>
  </si>
  <si>
    <t>5.02</t>
  </si>
  <si>
    <t>5.03</t>
  </si>
  <si>
    <t>5.05</t>
  </si>
  <si>
    <t>pantry</t>
  </si>
  <si>
    <t>5.06</t>
  </si>
  <si>
    <t>5.07</t>
  </si>
  <si>
    <t>5.08</t>
  </si>
  <si>
    <t>5.09</t>
  </si>
  <si>
    <t>5.10</t>
  </si>
  <si>
    <t>5.11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</si>
  <si>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</si>
  <si>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</si>
  <si>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</si>
  <si>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</si>
  <si>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</si>
  <si>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</si>
  <si>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</si>
  <si>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0001</t>
  </si>
  <si>
    <t xml:space="preserve">    0002</t>
  </si>
  <si>
    <t xml:space="preserve">    0003</t>
  </si>
  <si>
    <t>werkdag</t>
  </si>
  <si>
    <t>NAAM</t>
  </si>
  <si>
    <t>ADRES</t>
  </si>
  <si>
    <t>PLAATS</t>
  </si>
  <si>
    <t>BASIS UUR- TARIEF</t>
  </si>
  <si>
    <t>UREN/ UITVOERING</t>
  </si>
  <si>
    <t>UREN SUPPLETIE/ UITVOERING</t>
  </si>
  <si>
    <t>UREN TOTAAL/ UITVOERING</t>
  </si>
  <si>
    <t>PRIJS/ UITVOERING</t>
  </si>
  <si>
    <t>PRIJS SUPPLETIE/ UITVOERING</t>
  </si>
  <si>
    <t>PRIJS TOTAAL/ UITVOERING</t>
  </si>
  <si>
    <t>PRIJS/ MAAND (EURO)</t>
  </si>
  <si>
    <t>Fons Vitae Lyceum</t>
  </si>
  <si>
    <t>Reijnier Vinkeleskade 53</t>
  </si>
  <si>
    <t>Amsterdam</t>
  </si>
  <si>
    <t>St. Ignatiusgymnasium</t>
  </si>
  <si>
    <t>Jan van Eijckstraat 47</t>
  </si>
  <si>
    <t>St. Nicolaaslyceum</t>
  </si>
  <si>
    <t>Beethovenplein 2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</si>
  <si>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</si>
  <si>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</si>
  <si>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</si>
  <si>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</si>
  <si>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</si>
  <si>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</si>
  <si>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</si>
  <si>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</si>
  <si>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</si>
  <si>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 (euro)</t>
  </si>
  <si>
    <t>PRIJS/ MAAND  (euro)</t>
  </si>
  <si>
    <t>&lt;invullen functie afh. van uren uitvoering per jaar&gt;</t>
  </si>
  <si>
    <t>&lt;invullen functie met vaste uren per dag&gt;</t>
  </si>
  <si>
    <t>Totaal 0001 - Fons Vitae Lyceum, Reijnier Vinkeleskade 53, Amsterdam</t>
  </si>
  <si>
    <t>Totaal 0002 - St. Ignatiusgymnasium, Jan van Eijckstraat 47, Amsterdam</t>
  </si>
  <si>
    <t>Totaal 0003 - St. Nicolaaslyceum, Beethovenplein 2, Amsterdam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</si>
  <si>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</si>
  <si>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</si>
  <si>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</si>
  <si>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</si>
  <si>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</si>
  <si>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</si>
  <si>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</si>
  <si>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</si>
  <si>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</si>
  <si>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</si>
  <si>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</si>
  <si>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</si>
  <si>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</si>
  <si>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</si>
  <si>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</si>
  <si>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</si>
  <si>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</si>
  <si>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vloeronderhoud strippen en polymeren</t>
  </si>
  <si>
    <t>tijdsnorm in vloer m²/uur</t>
  </si>
  <si>
    <t>Totaal additioneel werk excl. BTW</t>
  </si>
  <si>
    <t>9000</t>
  </si>
  <si>
    <t>Medewerker regiewerkzaamheden</t>
  </si>
  <si>
    <t>prijs per uur</t>
  </si>
  <si>
    <t>9010</t>
  </si>
  <si>
    <t>Medewerker specialistische werkzaamheden</t>
  </si>
  <si>
    <t>9020</t>
  </si>
  <si>
    <t>Medewerker glasbewassing</t>
  </si>
  <si>
    <t>9030</t>
  </si>
  <si>
    <t>Medewerker bouwschoonmaak</t>
  </si>
  <si>
    <t>9040</t>
  </si>
  <si>
    <t>Medewerker specialitisch bouwschoonmaak</t>
  </si>
  <si>
    <t>9050</t>
  </si>
  <si>
    <t>Medewerker kauwgom verwijderen buitenterrein</t>
  </si>
  <si>
    <t>9060</t>
  </si>
  <si>
    <t>Medewerker calamiteiten werkzaamheden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</si>
  <si>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</si>
  <si>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</si>
  <si>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</si>
  <si>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</si>
  <si>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</si>
  <si>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</si>
  <si>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</si>
  <si>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</si>
  <si>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</si>
  <si>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</si>
  <si>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</si>
  <si>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</si>
  <si>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</si>
  <si>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</si>
  <si>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</si>
  <si>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</si>
  <si>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</si>
  <si>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</si>
  <si>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</si>
  <si>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</si>
  <si>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</si>
  <si>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</si>
  <si>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</si>
  <si>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</si>
  <si>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</si>
  <si>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</si>
  <si>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</si>
  <si>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</si>
  <si>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</si>
  <si>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</si>
  <si>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</si>
  <si>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</si>
  <si>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</si>
  <si>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</si>
  <si>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</si>
  <si>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</si>
  <si>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</si>
  <si>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</si>
  <si>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</si>
  <si>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</si>
  <si>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</si>
  <si>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</si>
  <si>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</si>
  <si>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</si>
  <si>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</si>
  <si>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</si>
  <si>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</si>
  <si>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</si>
  <si>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</si>
  <si>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</si>
  <si>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</si>
  <si>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</si>
  <si>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</si>
  <si>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</si>
  <si>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</si>
  <si>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</si>
  <si>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</si>
  <si>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</si>
  <si>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</si>
  <si>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</si>
  <si>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</si>
  <si>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</si>
  <si>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3040A</t>
  </si>
  <si>
    <t>Stoel (kunststof) reinigen</t>
  </si>
  <si>
    <t>3040B</t>
  </si>
  <si>
    <t>3040C</t>
  </si>
  <si>
    <t>3040D</t>
  </si>
  <si>
    <t>3050A</t>
  </si>
  <si>
    <t>Stoel (stoffen bekleding) reinigen</t>
  </si>
  <si>
    <t>3050B</t>
  </si>
  <si>
    <t>3050C</t>
  </si>
  <si>
    <t>3050D</t>
  </si>
  <si>
    <t>3200A</t>
  </si>
  <si>
    <t>Trespa/gevelbeplating reinigen</t>
  </si>
  <si>
    <t>&lt; 500 m²</t>
  </si>
  <si>
    <t>3200B</t>
  </si>
  <si>
    <t>500 &lt; 1000 m²</t>
  </si>
  <si>
    <t>3200C</t>
  </si>
  <si>
    <t>1000 &lt; 2000 m²</t>
  </si>
  <si>
    <t>3200D</t>
  </si>
  <si>
    <t>&gt;= 2000 m²</t>
  </si>
  <si>
    <t>4000A</t>
  </si>
  <si>
    <t>Vloer schrobben/waterzuigen</t>
  </si>
  <si>
    <t>4000B</t>
  </si>
  <si>
    <t>4000C</t>
  </si>
  <si>
    <t>4000D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</si>
  <si>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</si>
  <si>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</si>
  <si>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</si>
  <si>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</si>
  <si>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</si>
  <si>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</si>
  <si>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</si>
  <si>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</si>
  <si>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</si>
  <si>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</si>
  <si>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</si>
  <si>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</si>
  <si>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</si>
  <si>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</si>
  <si>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</si>
  <si>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</si>
  <si>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</si>
  <si>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</si>
  <si>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</si>
  <si>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</si>
  <si>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</si>
  <si>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</si>
  <si>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</si>
  <si>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</si>
  <si>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</si>
  <si>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</si>
  <si>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</si>
  <si>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</si>
  <si>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</si>
  <si>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</si>
  <si>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</si>
  <si>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</si>
  <si>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</si>
  <si>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</si>
  <si>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</si>
  <si>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</si>
  <si>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</si>
  <si>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</si>
  <si>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</si>
  <si>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</si>
  <si>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Totaal afroep incidenteel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</si>
  <si>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</si>
  <si>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</si>
  <si>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</si>
  <si>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</si>
  <si>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</si>
  <si>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</si>
  <si>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8030</t>
  </si>
  <si>
    <t>Dakglas buitenzijde</t>
  </si>
  <si>
    <t>8031</t>
  </si>
  <si>
    <t>Dakglas binnenzijde</t>
  </si>
  <si>
    <t>8032</t>
  </si>
  <si>
    <t>Dakglas binnenzijde (alpinisten)</t>
  </si>
  <si>
    <t>8040</t>
  </si>
  <si>
    <t>Glas in lood buiitenzijde</t>
  </si>
  <si>
    <t>8041</t>
  </si>
  <si>
    <t>Glas in lood binnenzijde</t>
  </si>
  <si>
    <t>8060</t>
  </si>
  <si>
    <t>Liftglas buitenzijde</t>
  </si>
  <si>
    <t>8061</t>
  </si>
  <si>
    <t>Liftglas binnenzijde</t>
  </si>
  <si>
    <t>8070</t>
  </si>
  <si>
    <t>Gevelbeplating afnemen wit (bereikbaarheid hoogwerker)</t>
  </si>
  <si>
    <t>8071</t>
  </si>
  <si>
    <t>Gevelbeplating (groen) reinigen met gepaste hogedruk (bereikbaarheid h</t>
  </si>
  <si>
    <t>8072</t>
  </si>
  <si>
    <t>Gevelbeplating reinigen</t>
  </si>
  <si>
    <t>8080</t>
  </si>
  <si>
    <t>Zonnepanelen reinigen</t>
  </si>
  <si>
    <t>8090</t>
  </si>
  <si>
    <t>Dakglas atrium binnenzijde (alpinisten)</t>
  </si>
  <si>
    <t>8095</t>
  </si>
  <si>
    <t>Gevelglas nabij toiletten dubbelzijdig (achter witte beplating)</t>
  </si>
  <si>
    <t>8100</t>
  </si>
  <si>
    <t>Mast / éénpersoons</t>
  </si>
  <si>
    <t>prijs per dag</t>
  </si>
  <si>
    <t>8110</t>
  </si>
  <si>
    <t>Schaarhoogwerker</t>
  </si>
  <si>
    <t>8120</t>
  </si>
  <si>
    <t>Autohoogwerkers</t>
  </si>
  <si>
    <t>8130</t>
  </si>
  <si>
    <t>Spinhoogwerker</t>
  </si>
  <si>
    <t>8140</t>
  </si>
  <si>
    <t>Zelfrijdende telescoop</t>
  </si>
  <si>
    <t>Totaal glas excl. BTW</t>
  </si>
  <si>
    <t>TAAK OMSCHRIJVING</t>
  </si>
  <si>
    <t>GLAS</t>
  </si>
  <si>
    <t>Glassbew gebouw kantine</t>
  </si>
  <si>
    <t>beurt</t>
  </si>
  <si>
    <t>tarief/m²/uitvoering</t>
  </si>
  <si>
    <t>n.v.t.</t>
  </si>
  <si>
    <t>Glassbew algemeen</t>
  </si>
  <si>
    <t>dag</t>
  </si>
  <si>
    <t>Glassbew gebouw A + Kapel (Hoogwerker)</t>
  </si>
  <si>
    <t>Glassbew gebouw A + Kapel</t>
  </si>
  <si>
    <t>Glassbew lift</t>
  </si>
  <si>
    <t>Glassbew gebouw B  (Hoogwerker)</t>
  </si>
  <si>
    <t>Glassbew gebouw B</t>
  </si>
  <si>
    <t>Glassbew gebouw C  (Hoogwerker)</t>
  </si>
  <si>
    <t>Glassbew gebouw C</t>
  </si>
  <si>
    <t>Glasbewassing</t>
  </si>
  <si>
    <t>Glasbew bij toilet ach. witte beplating</t>
  </si>
  <si>
    <t>Soort werk</t>
  </si>
  <si>
    <t>Uren per jaar uitvoering</t>
  </si>
  <si>
    <t>Uren per jaar leiding</t>
  </si>
  <si>
    <t>Bedrag per jaar excl. BTW (euro)</t>
  </si>
  <si>
    <t>Bedrag per jaar incl. BTW (euro)</t>
  </si>
  <si>
    <t xml:space="preserve">Regulier werk </t>
  </si>
  <si>
    <t xml:space="preserve">Objectleiding </t>
  </si>
  <si>
    <t>Additioneel werk</t>
  </si>
  <si>
    <t>Afroepwerk (geschatte frequenties)</t>
  </si>
  <si>
    <t>Glas (geschat)</t>
  </si>
  <si>
    <t>Totaal generaal</t>
  </si>
  <si>
    <t>Percentage objectleiding</t>
  </si>
  <si>
    <t>BEGROOT BEDRAG REGULIERE WERKZAAMHEDEN (NIET HOGER DAN BUDGET)</t>
  </si>
  <si>
    <t>VERGELIJKINGSBEDRAG ADITIONEEL/AFROEP/REGIE WERK/GLASBEWASSING (GESCHAT) VOOR PRIJSCRITERIUM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</si>
</sst>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5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6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0" fontId="0" fillId="3" borderId="18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9" xfId="0" applyFill="1" applyBorder="1"/>
    <xf numFmtId="49" fontId="0" fillId="3" borderId="20" xfId="0" applyNumberFormat="1" applyFill="1" applyBorder="1" applyAlignment="1">
      <alignment wrapText="1"/>
    </xf>
    <xf numFmtId="49" fontId="0" fillId="3" borderId="17" xfId="0" applyNumberFormat="1" applyFill="1" applyBorder="1" applyAlignment="1">
      <alignment wrapText="1"/>
    </xf>
    <xf numFmtId="0" fontId="0" fillId="3" borderId="21" xfId="0" applyFill="1" applyBorder="1"/>
    <xf numFmtId="49" fontId="0" fillId="2" borderId="23" xfId="0" applyNumberFormat="1" applyFill="1" applyBorder="1"/>
    <xf numFmtId="49" fontId="0" fillId="2" borderId="24" xfId="0" applyNumberFormat="1" applyFill="1" applyBorder="1"/>
    <xf numFmtId="49" fontId="0" fillId="2" borderId="24" xfId="0" applyNumberFormat="1" applyFill="1" applyBorder="1" applyAlignment="1">
      <alignment wrapText="1"/>
    </xf>
    <xf numFmtId="4" fontId="0" fillId="2" borderId="24" xfId="0" applyNumberFormat="1" applyFill="1" applyBorder="1"/>
    <xf numFmtId="165" fontId="0" fillId="2" borderId="24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49" fontId="0" fillId="2" borderId="26" xfId="0" applyNumberFormat="1" applyFill="1" applyBorder="1"/>
    <xf numFmtId="49" fontId="0" fillId="2" borderId="27" xfId="0" applyNumberFormat="1" applyFill="1" applyBorder="1"/>
    <xf numFmtId="49" fontId="0" fillId="2" borderId="27" xfId="0" applyNumberFormat="1" applyFill="1" applyBorder="1" applyAlignment="1">
      <alignment wrapText="1"/>
    </xf>
    <xf numFmtId="4" fontId="0" fillId="2" borderId="27" xfId="0" applyNumberFormat="1" applyFill="1" applyBorder="1"/>
    <xf numFmtId="165" fontId="0" fillId="2" borderId="27" xfId="0" applyNumberForma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49" fontId="0" fillId="2" borderId="30" xfId="0" applyNumberFormat="1" applyFill="1" applyBorder="1" applyAlignment="1">
      <alignment wrapText="1"/>
    </xf>
    <xf numFmtId="4" fontId="0" fillId="2" borderId="30" xfId="0" applyNumberFormat="1" applyFill="1" applyBorder="1"/>
    <xf numFmtId="165" fontId="0" fillId="2" borderId="30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22" xfId="0" applyFill="1" applyBorder="1"/>
    <xf numFmtId="49" fontId="0" fillId="3" borderId="22" xfId="0" applyNumberFormat="1" applyFill="1" applyBorder="1"/>
    <xf numFmtId="0" fontId="0" fillId="3" borderId="6" xfId="0" applyFill="1" applyBorder="1"/>
    <xf numFmtId="49" fontId="0" fillId="4" borderId="14" xfId="0" applyNumberFormat="1" applyFill="1" applyBorder="1" applyProtection="1">
      <protection locked="0"/>
    </xf>
    <xf numFmtId="164" fontId="0" fillId="4" borderId="14" xfId="0" applyNumberFormat="1" applyFill="1" applyBorder="1" applyProtection="1">
      <protection locked="0"/>
    </xf>
    <xf numFmtId="49" fontId="0" fillId="4" borderId="15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49" fontId="0" fillId="4" borderId="16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4" fontId="0" fillId="3" borderId="15" xfId="0" applyNumberFormat="1" applyFill="1" applyBorder="1"/>
    <xf numFmtId="49" fontId="0" fillId="3" borderId="10" xfId="0" applyNumberFormat="1" applyFill="1" applyBorder="1" applyAlignment="1"/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0" borderId="6" xfId="0" applyNumberFormat="1" applyBorder="1" applyProtection="1">
      <protection locked="0"/>
    </xf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4" fontId="0" fillId="2" borderId="6" xfId="0" applyNumberFormat="1" applyFill="1" applyBorder="1"/>
    <xf numFmtId="164" fontId="0" fillId="3" borderId="11" xfId="0" applyNumberFormat="1" applyFill="1" applyBorder="1"/>
    <xf numFmtId="0" fontId="0" fillId="3" borderId="10" xfId="0" applyFill="1" applyBorder="1" applyAlignment="1"/>
    <xf numFmtId="0" fontId="0" fillId="3" borderId="12" xfId="0" applyFill="1" applyBorder="1"/>
    <xf numFmtId="164" fontId="0" fillId="2" borderId="6" xfId="0" applyNumberFormat="1" applyFill="1" applyBorder="1" applyProtection="1"/>
    <xf numFmtId="4" fontId="0" fillId="2" borderId="6" xfId="0" applyNumberFormat="1" applyFill="1" applyBorder="1" applyProtection="1"/>
    <xf numFmtId="164" fontId="0" fillId="3" borderId="12" xfId="0" applyNumberFormat="1" applyFill="1" applyBorder="1"/>
    <xf numFmtId="4" fontId="0" fillId="4" borderId="14" xfId="0" applyNumberFormat="1" applyFill="1" applyBorder="1"/>
    <xf numFmtId="4" fontId="0" fillId="3" borderId="14" xfId="0" applyNumberFormat="1" applyFill="1" applyBorder="1" applyProtection="1"/>
    <xf numFmtId="4" fontId="0" fillId="4" borderId="15" xfId="0" applyNumberFormat="1" applyFill="1" applyBorder="1"/>
    <xf numFmtId="4" fontId="0" fillId="3" borderId="15" xfId="0" applyNumberFormat="1" applyFill="1" applyBorder="1" applyProtection="1"/>
    <xf numFmtId="4" fontId="0" fillId="4" borderId="16" xfId="0" applyNumberFormat="1" applyFill="1" applyBorder="1"/>
    <xf numFmtId="4" fontId="0" fillId="3" borderId="16" xfId="0" applyNumberFormat="1" applyFill="1" applyBorder="1" applyProtection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  <xf numFmtId="0" fontId="3" fillId="5" borderId="20" xfId="1" applyFont="1" applyFill="1" applyBorder="1"/>
    <xf numFmtId="0" fontId="4" fillId="5" borderId="20" xfId="1" applyFont="1" applyFill="1" applyBorder="1"/>
    <xf numFmtId="164" fontId="3" fillId="6" borderId="20" xfId="1" applyNumberFormat="1" applyFont="1" applyFill="1" applyBorder="1"/>
    <xf numFmtId="1" fontId="0" fillId="0" borderId="14" xfId="0" applyNumberFormat="1" applyBorder="1" applyProtection="1">
      <protection locked="0"/>
    </xf>
    <xf numFmtId="49" fontId="0" fillId="0" borderId="14" xfId="0" applyNumberFormat="1" applyBorder="1" applyProtection="1">
      <protection locked="0"/>
    </xf>
    <xf numFmtId="1" fontId="0" fillId="0" borderId="15" xfId="0" applyNumberFormat="1" applyBorder="1" applyProtection="1">
      <protection locked="0"/>
    </xf>
    <xf numFmtId="49" fontId="0" fillId="0" borderId="15" xfId="0" applyNumberFormat="1" applyBorder="1" applyProtection="1">
      <protection locked="0"/>
    </xf>
    <xf numFmtId="1" fontId="0" fillId="0" borderId="16" xfId="0" applyNumberFormat="1" applyBorder="1" applyProtection="1">
      <protection locked="0"/>
    </xf>
    <xf numFmtId="49" fontId="0" fillId="0" borderId="16" xfId="0" applyNumberFormat="1" applyBorder="1" applyProtection="1">
      <protection locked="0"/>
    </xf>
    <xf numFmtId="10" fontId="0" fillId="3" borderId="15" xfId="0" applyNumberFormat="1" applyFill="1" applyBorder="1" applyProtection="1"/>
    <xf numFmtId="10" fontId="0" fillId="3" borderId="16" xfId="0" applyNumberFormat="1" applyFill="1" applyBorder="1" applyProtection="1"/>
  </cellXfs>
  <cellStyles count="2">
    <cellStyle name="Standaard" xfId="0" builtinId="0"/>
    <cellStyle name="Standaard 2" xfId="1" xr:uid="{126BA072-1764-4403-AB61-4B915F3E4D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6BAD-6CFC-406D-B8E5-0F5ED224ADC6}">
  <dimension ref="A1:H30"/>
  <sheetViews>
    <sheetView workbookViewId="0"/>
  </sheetViews>
  <sheetFormatPr defaultRowHeight="12.75" x14ac:dyDescent="0.2"/>
  <sheetData>
    <row r="1" spans="1:8" x14ac:dyDescent="0.2">
      <c r="A1" s="1" t="s">
        <v>0</v>
      </c>
    </row>
    <row r="3" spans="1:8" x14ac:dyDescent="0.2">
      <c r="A3" t="s">
        <v>1</v>
      </c>
    </row>
    <row r="5" spans="1:8" x14ac:dyDescent="0.2">
      <c r="A5" t="s">
        <v>2</v>
      </c>
      <c r="B5" t="s">
        <v>3</v>
      </c>
    </row>
    <row r="7" spans="1:8" x14ac:dyDescent="0.2">
      <c r="A7" s="4" t="s">
        <v>4</v>
      </c>
      <c r="B7" s="5"/>
      <c r="D7" s="4" t="s">
        <v>27</v>
      </c>
      <c r="E7" s="5"/>
      <c r="G7" s="4" t="s">
        <v>28</v>
      </c>
      <c r="H7" s="5"/>
    </row>
    <row r="8" spans="1:8" x14ac:dyDescent="0.2">
      <c r="A8" s="2"/>
      <c r="B8" s="3"/>
      <c r="D8" s="2"/>
      <c r="E8" s="3"/>
      <c r="G8" s="2"/>
      <c r="H8" s="3"/>
    </row>
    <row r="9" spans="1:8" x14ac:dyDescent="0.2">
      <c r="A9" s="2" t="s">
        <v>5</v>
      </c>
      <c r="B9" s="3">
        <v>255</v>
      </c>
      <c r="D9" s="2" t="s">
        <v>5</v>
      </c>
      <c r="E9" s="3">
        <v>8</v>
      </c>
      <c r="G9" s="2" t="s">
        <v>5</v>
      </c>
      <c r="H9" s="3">
        <v>102</v>
      </c>
    </row>
    <row r="10" spans="1:8" x14ac:dyDescent="0.2">
      <c r="A10" s="2" t="s">
        <v>6</v>
      </c>
      <c r="B10" s="3">
        <v>5</v>
      </c>
      <c r="D10" s="2" t="s">
        <v>6</v>
      </c>
      <c r="E10" s="3">
        <v>1</v>
      </c>
      <c r="G10" s="2" t="s">
        <v>6</v>
      </c>
      <c r="H10" s="3">
        <v>2</v>
      </c>
    </row>
    <row r="11" spans="1:8" x14ac:dyDescent="0.2">
      <c r="A11" s="2"/>
      <c r="B11" s="3"/>
      <c r="D11" s="2"/>
      <c r="E11" s="3"/>
      <c r="G11" s="2"/>
      <c r="H11" s="3"/>
    </row>
    <row r="12" spans="1:8" x14ac:dyDescent="0.2">
      <c r="A12" s="2" t="s">
        <v>7</v>
      </c>
      <c r="B12" s="3" t="s">
        <v>8</v>
      </c>
      <c r="D12" s="2" t="s">
        <v>7</v>
      </c>
      <c r="E12" s="3" t="s">
        <v>8</v>
      </c>
      <c r="G12" s="2" t="s">
        <v>7</v>
      </c>
      <c r="H12" s="3" t="s">
        <v>8</v>
      </c>
    </row>
    <row r="13" spans="1:8" x14ac:dyDescent="0.2">
      <c r="A13" s="2" t="s">
        <v>9</v>
      </c>
      <c r="B13" s="3">
        <f t="shared" ref="B13:B30" si="0">IF(A13="2½W",2.5/dagenperweek1,IF(RIGHT(A13,1)="W",VALUE(LEFT(A13,LEN(A13)-1))/dagenperweek1,IF(RIGHT(A13,1)="J",VALUE(LEFT(A13,LEN(A13)-1))/dagenperjaar1,"handmatig!")))</f>
        <v>1</v>
      </c>
      <c r="D13" s="2" t="s">
        <v>9</v>
      </c>
      <c r="E13" s="3">
        <f t="shared" ref="E13:E24" si="1">IF(D13="2½W",2.5/dagenperweek2,IF(RIGHT(D13,1)="W",VALUE(LEFT(D13,LEN(D13)-1))/dagenperweek2,IF(RIGHT(D13,1)="J",VALUE(LEFT(D13,LEN(D13)-1))/dagenperjaar2,"handmatig!")))</f>
        <v>5</v>
      </c>
      <c r="G13" s="2" t="s">
        <v>15</v>
      </c>
      <c r="H13" s="3">
        <f>IF(G13="2½W",2.5/dagenperweek3,IF(RIGHT(G13,1)="W",VALUE(LEFT(G13,LEN(G13)-1))/dagenperweek3,IF(RIGHT(G13,1)="J",VALUE(LEFT(G13,LEN(G13)-1))/dagenperjaar3,"handmatig!")))</f>
        <v>1</v>
      </c>
    </row>
    <row r="14" spans="1:8" x14ac:dyDescent="0.2">
      <c r="A14" s="2" t="s">
        <v>10</v>
      </c>
      <c r="B14" s="3">
        <f t="shared" si="0"/>
        <v>0.8</v>
      </c>
      <c r="D14" s="2" t="s">
        <v>10</v>
      </c>
      <c r="E14" s="3">
        <f t="shared" si="1"/>
        <v>4</v>
      </c>
      <c r="G14" s="2" t="s">
        <v>17</v>
      </c>
      <c r="H14" s="3">
        <f>IF(G14="2½W",2.5/dagenperweek3,IF(RIGHT(G14,1)="W",VALUE(LEFT(G14,LEN(G14)-1))/dagenperweek3,IF(RIGHT(G14,1)="J",VALUE(LEFT(G14,LEN(G14)-1))/dagenperjaar3,"handmatig!")))</f>
        <v>0.5</v>
      </c>
    </row>
    <row r="15" spans="1:8" x14ac:dyDescent="0.2">
      <c r="A15" s="2" t="s">
        <v>11</v>
      </c>
      <c r="B15" s="3">
        <f t="shared" si="0"/>
        <v>0.78431372549019607</v>
      </c>
      <c r="D15" s="2" t="s">
        <v>13</v>
      </c>
      <c r="E15" s="3">
        <f t="shared" si="1"/>
        <v>3</v>
      </c>
      <c r="G15" s="6" t="s">
        <v>26</v>
      </c>
      <c r="H15" s="7">
        <f>IF(G15="2½W",2.5/dagenperweek3,IF(RIGHT(G15,1)="W",VALUE(LEFT(G15,LEN(G15)-1))/dagenperweek3,IF(RIGHT(G15,1)="J",VALUE(LEFT(G15,LEN(G15)-1))/dagenperjaar3,"handmatig!")))</f>
        <v>9.8039215686274508E-3</v>
      </c>
    </row>
    <row r="16" spans="1:8" x14ac:dyDescent="0.2">
      <c r="A16" s="2" t="s">
        <v>12</v>
      </c>
      <c r="B16" s="3">
        <f t="shared" si="0"/>
        <v>0.62745098039215685</v>
      </c>
      <c r="D16" s="2" t="s">
        <v>15</v>
      </c>
      <c r="E16" s="3">
        <f t="shared" si="1"/>
        <v>2</v>
      </c>
    </row>
    <row r="17" spans="1:5" x14ac:dyDescent="0.2">
      <c r="A17" s="2" t="s">
        <v>13</v>
      </c>
      <c r="B17" s="3">
        <f t="shared" si="0"/>
        <v>0.6</v>
      </c>
      <c r="D17" s="2" t="s">
        <v>17</v>
      </c>
      <c r="E17" s="3">
        <f t="shared" si="1"/>
        <v>1</v>
      </c>
    </row>
    <row r="18" spans="1:5" x14ac:dyDescent="0.2">
      <c r="A18" s="2" t="s">
        <v>14</v>
      </c>
      <c r="B18" s="3">
        <f t="shared" si="0"/>
        <v>0.47058823529411764</v>
      </c>
      <c r="D18" s="2" t="s">
        <v>19</v>
      </c>
      <c r="E18" s="3">
        <f t="shared" si="1"/>
        <v>3.25</v>
      </c>
    </row>
    <row r="19" spans="1:5" x14ac:dyDescent="0.2">
      <c r="A19" s="2" t="s">
        <v>15</v>
      </c>
      <c r="B19" s="3">
        <f t="shared" si="0"/>
        <v>0.4</v>
      </c>
      <c r="D19" s="2" t="s">
        <v>20</v>
      </c>
      <c r="E19" s="3">
        <f t="shared" si="1"/>
        <v>1.5</v>
      </c>
    </row>
    <row r="20" spans="1:5" x14ac:dyDescent="0.2">
      <c r="A20" s="2" t="s">
        <v>16</v>
      </c>
      <c r="B20" s="3">
        <f t="shared" si="0"/>
        <v>0.31372549019607843</v>
      </c>
      <c r="D20" s="2" t="s">
        <v>22</v>
      </c>
      <c r="E20" s="3">
        <f t="shared" si="1"/>
        <v>0.75</v>
      </c>
    </row>
    <row r="21" spans="1:5" x14ac:dyDescent="0.2">
      <c r="A21" s="2" t="s">
        <v>17</v>
      </c>
      <c r="B21" s="3">
        <f t="shared" si="0"/>
        <v>0.2</v>
      </c>
      <c r="D21" s="2" t="s">
        <v>23</v>
      </c>
      <c r="E21" s="3">
        <f t="shared" si="1"/>
        <v>0.5</v>
      </c>
    </row>
    <row r="22" spans="1:5" x14ac:dyDescent="0.2">
      <c r="A22" s="2" t="s">
        <v>18</v>
      </c>
      <c r="B22" s="3">
        <f t="shared" si="0"/>
        <v>0.15686274509803921</v>
      </c>
      <c r="D22" s="2" t="s">
        <v>24</v>
      </c>
      <c r="E22" s="3">
        <f t="shared" si="1"/>
        <v>0.375</v>
      </c>
    </row>
    <row r="23" spans="1:5" x14ac:dyDescent="0.2">
      <c r="A23" s="2" t="s">
        <v>19</v>
      </c>
      <c r="B23" s="3">
        <f t="shared" si="0"/>
        <v>0.10196078431372549</v>
      </c>
      <c r="D23" s="2" t="s">
        <v>25</v>
      </c>
      <c r="E23" s="3">
        <f t="shared" si="1"/>
        <v>0.25</v>
      </c>
    </row>
    <row r="24" spans="1:5" x14ac:dyDescent="0.2">
      <c r="A24" s="2" t="s">
        <v>20</v>
      </c>
      <c r="B24" s="3">
        <f t="shared" si="0"/>
        <v>4.7058823529411764E-2</v>
      </c>
      <c r="D24" s="6" t="s">
        <v>26</v>
      </c>
      <c r="E24" s="7">
        <f t="shared" si="1"/>
        <v>0.125</v>
      </c>
    </row>
    <row r="25" spans="1:5" x14ac:dyDescent="0.2">
      <c r="A25" s="2" t="s">
        <v>21</v>
      </c>
      <c r="B25" s="3">
        <f t="shared" si="0"/>
        <v>3.9215686274509803E-2</v>
      </c>
    </row>
    <row r="26" spans="1:5" x14ac:dyDescent="0.2">
      <c r="A26" s="2" t="s">
        <v>22</v>
      </c>
      <c r="B26" s="3">
        <f t="shared" si="0"/>
        <v>2.3529411764705882E-2</v>
      </c>
    </row>
    <row r="27" spans="1:5" x14ac:dyDescent="0.2">
      <c r="A27" s="2" t="s">
        <v>23</v>
      </c>
      <c r="B27" s="3">
        <f t="shared" si="0"/>
        <v>1.5686274509803921E-2</v>
      </c>
    </row>
    <row r="28" spans="1:5" x14ac:dyDescent="0.2">
      <c r="A28" s="2" t="s">
        <v>24</v>
      </c>
      <c r="B28" s="3">
        <f t="shared" si="0"/>
        <v>1.1764705882352941E-2</v>
      </c>
    </row>
    <row r="29" spans="1:5" x14ac:dyDescent="0.2">
      <c r="A29" s="2" t="s">
        <v>25</v>
      </c>
      <c r="B29" s="3">
        <f t="shared" si="0"/>
        <v>7.8431372549019607E-3</v>
      </c>
    </row>
    <row r="30" spans="1:5" x14ac:dyDescent="0.2">
      <c r="A30" s="6" t="s">
        <v>26</v>
      </c>
      <c r="B30" s="7">
        <f t="shared" si="0"/>
        <v>3.9215686274509803E-3</v>
      </c>
    </row>
  </sheetData>
  <sheetProtection algorithmName="SHA-512" hashValue="jMUrjzdLYcG20yYE/w+g5q2b9ILboYMh+F9q8WdcK/ANrn7QUdV2s9X8Z/YX2IHWHT7s3fwVOnLXNoLDhosDzQ==" saltValue="Nb4Pf15ckyRqbw6LeBMMQg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284DF-2BED-4376-AEAC-59C4BB08F84E}">
  <dimension ref="A1:H4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H.1: ",tabeltype," categorienormen")</f>
        <v>Bijlage H.1: Invultabel categorienormen</v>
      </c>
    </row>
    <row r="3" spans="1:8" ht="38.25" x14ac:dyDescent="0.2">
      <c r="A3" s="8" t="s">
        <v>29</v>
      </c>
      <c r="B3" s="8" t="s">
        <v>30</v>
      </c>
      <c r="C3" s="8" t="s">
        <v>31</v>
      </c>
      <c r="D3" s="8" t="s">
        <v>32</v>
      </c>
      <c r="E3" s="8" t="s">
        <v>33</v>
      </c>
      <c r="F3" s="8" t="s">
        <v>34</v>
      </c>
      <c r="G3" s="8" t="s">
        <v>35</v>
      </c>
      <c r="H3" s="8" t="s">
        <v>36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37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38</v>
      </c>
      <c r="B6" s="16" t="s">
        <v>39</v>
      </c>
      <c r="C6" s="15">
        <v>1</v>
      </c>
      <c r="D6" s="15" t="s">
        <v>40</v>
      </c>
      <c r="E6" s="17"/>
      <c r="F6" s="18"/>
      <c r="G6" s="15" t="s">
        <v>41</v>
      </c>
      <c r="H6" s="19"/>
    </row>
    <row r="7" spans="1:8" x14ac:dyDescent="0.2">
      <c r="A7" s="20" t="s">
        <v>42</v>
      </c>
      <c r="B7" s="21" t="s">
        <v>39</v>
      </c>
      <c r="C7" s="20">
        <v>40</v>
      </c>
      <c r="D7" s="20" t="s">
        <v>43</v>
      </c>
      <c r="E7" s="22"/>
      <c r="F7" s="23"/>
      <c r="G7" s="20" t="s">
        <v>41</v>
      </c>
      <c r="H7" s="24"/>
    </row>
    <row r="8" spans="1:8" x14ac:dyDescent="0.2">
      <c r="A8" s="20" t="s">
        <v>44</v>
      </c>
      <c r="B8" s="21" t="s">
        <v>39</v>
      </c>
      <c r="C8" s="20">
        <v>1</v>
      </c>
      <c r="D8" s="20" t="s">
        <v>45</v>
      </c>
      <c r="E8" s="22"/>
      <c r="F8" s="23"/>
      <c r="G8" s="20" t="s">
        <v>41</v>
      </c>
      <c r="H8" s="24"/>
    </row>
    <row r="9" spans="1:8" x14ac:dyDescent="0.2">
      <c r="A9" s="20" t="s">
        <v>46</v>
      </c>
      <c r="B9" s="21" t="s">
        <v>39</v>
      </c>
      <c r="C9" s="20">
        <v>40</v>
      </c>
      <c r="D9" s="20" t="s">
        <v>47</v>
      </c>
      <c r="E9" s="22"/>
      <c r="F9" s="23"/>
      <c r="G9" s="20" t="s">
        <v>41</v>
      </c>
      <c r="H9" s="24"/>
    </row>
    <row r="10" spans="1:8" x14ac:dyDescent="0.2">
      <c r="A10" s="20" t="s">
        <v>48</v>
      </c>
      <c r="B10" s="21" t="s">
        <v>39</v>
      </c>
      <c r="C10" s="20">
        <v>1</v>
      </c>
      <c r="D10" s="20" t="s">
        <v>49</v>
      </c>
      <c r="E10" s="22"/>
      <c r="F10" s="23"/>
      <c r="G10" s="20" t="s">
        <v>41</v>
      </c>
      <c r="H10" s="24"/>
    </row>
    <row r="11" spans="1:8" x14ac:dyDescent="0.2">
      <c r="A11" s="20" t="s">
        <v>50</v>
      </c>
      <c r="B11" s="21" t="s">
        <v>39</v>
      </c>
      <c r="C11" s="20">
        <v>40</v>
      </c>
      <c r="D11" s="20" t="s">
        <v>51</v>
      </c>
      <c r="E11" s="22"/>
      <c r="F11" s="23"/>
      <c r="G11" s="20" t="s">
        <v>41</v>
      </c>
      <c r="H11" s="24"/>
    </row>
    <row r="12" spans="1:8" x14ac:dyDescent="0.2">
      <c r="A12" s="20" t="s">
        <v>52</v>
      </c>
      <c r="B12" s="21" t="s">
        <v>39</v>
      </c>
      <c r="C12" s="20">
        <v>1</v>
      </c>
      <c r="D12" s="20" t="s">
        <v>53</v>
      </c>
      <c r="E12" s="22"/>
      <c r="F12" s="23"/>
      <c r="G12" s="20" t="s">
        <v>41</v>
      </c>
      <c r="H12" s="24"/>
    </row>
    <row r="13" spans="1:8" x14ac:dyDescent="0.2">
      <c r="A13" s="20" t="s">
        <v>54</v>
      </c>
      <c r="B13" s="21" t="s">
        <v>39</v>
      </c>
      <c r="C13" s="20">
        <v>40</v>
      </c>
      <c r="D13" s="20" t="s">
        <v>55</v>
      </c>
      <c r="E13" s="22"/>
      <c r="F13" s="23"/>
      <c r="G13" s="20" t="s">
        <v>41</v>
      </c>
      <c r="H13" s="24"/>
    </row>
    <row r="14" spans="1:8" x14ac:dyDescent="0.2">
      <c r="A14" s="20" t="s">
        <v>56</v>
      </c>
      <c r="B14" s="21" t="s">
        <v>39</v>
      </c>
      <c r="C14" s="20">
        <v>1</v>
      </c>
      <c r="D14" s="20" t="s">
        <v>57</v>
      </c>
      <c r="E14" s="22"/>
      <c r="F14" s="23"/>
      <c r="G14" s="20" t="s">
        <v>41</v>
      </c>
      <c r="H14" s="24"/>
    </row>
    <row r="15" spans="1:8" x14ac:dyDescent="0.2">
      <c r="A15" s="20" t="s">
        <v>58</v>
      </c>
      <c r="B15" s="21" t="s">
        <v>39</v>
      </c>
      <c r="C15" s="20">
        <v>40</v>
      </c>
      <c r="D15" s="20" t="s">
        <v>59</v>
      </c>
      <c r="E15" s="22"/>
      <c r="F15" s="23"/>
      <c r="G15" s="20" t="s">
        <v>41</v>
      </c>
      <c r="H15" s="24"/>
    </row>
    <row r="16" spans="1:8" x14ac:dyDescent="0.2">
      <c r="A16" s="20" t="s">
        <v>60</v>
      </c>
      <c r="B16" s="21" t="s">
        <v>39</v>
      </c>
      <c r="C16" s="20">
        <v>1</v>
      </c>
      <c r="D16" s="20" t="s">
        <v>61</v>
      </c>
      <c r="E16" s="22"/>
      <c r="F16" s="23"/>
      <c r="G16" s="20" t="s">
        <v>41</v>
      </c>
      <c r="H16" s="24"/>
    </row>
    <row r="17" spans="1:8" x14ac:dyDescent="0.2">
      <c r="A17" s="20" t="s">
        <v>62</v>
      </c>
      <c r="B17" s="21" t="s">
        <v>39</v>
      </c>
      <c r="C17" s="20">
        <v>40</v>
      </c>
      <c r="D17" s="20" t="s">
        <v>63</v>
      </c>
      <c r="E17" s="22"/>
      <c r="F17" s="23"/>
      <c r="G17" s="20" t="s">
        <v>41</v>
      </c>
      <c r="H17" s="24"/>
    </row>
    <row r="18" spans="1:8" x14ac:dyDescent="0.2">
      <c r="A18" s="20" t="s">
        <v>64</v>
      </c>
      <c r="B18" s="21" t="s">
        <v>65</v>
      </c>
      <c r="C18" s="20">
        <v>1</v>
      </c>
      <c r="D18" s="20" t="s">
        <v>66</v>
      </c>
      <c r="E18" s="22"/>
      <c r="F18" s="23"/>
      <c r="G18" s="20" t="s">
        <v>41</v>
      </c>
      <c r="H18" s="24"/>
    </row>
    <row r="19" spans="1:8" x14ac:dyDescent="0.2">
      <c r="A19" s="20" t="s">
        <v>67</v>
      </c>
      <c r="B19" s="21" t="s">
        <v>65</v>
      </c>
      <c r="C19" s="20">
        <v>40</v>
      </c>
      <c r="D19" s="20" t="s">
        <v>68</v>
      </c>
      <c r="E19" s="22"/>
      <c r="F19" s="23"/>
      <c r="G19" s="20" t="s">
        <v>41</v>
      </c>
      <c r="H19" s="24"/>
    </row>
    <row r="20" spans="1:8" x14ac:dyDescent="0.2">
      <c r="A20" s="20" t="s">
        <v>69</v>
      </c>
      <c r="B20" s="21" t="s">
        <v>65</v>
      </c>
      <c r="C20" s="20">
        <v>1</v>
      </c>
      <c r="D20" s="20" t="s">
        <v>70</v>
      </c>
      <c r="E20" s="22"/>
      <c r="F20" s="23"/>
      <c r="G20" s="20" t="s">
        <v>41</v>
      </c>
      <c r="H20" s="24"/>
    </row>
    <row r="21" spans="1:8" x14ac:dyDescent="0.2">
      <c r="A21" s="20" t="s">
        <v>71</v>
      </c>
      <c r="B21" s="21" t="s">
        <v>65</v>
      </c>
      <c r="C21" s="20">
        <v>40</v>
      </c>
      <c r="D21" s="20" t="s">
        <v>72</v>
      </c>
      <c r="E21" s="22"/>
      <c r="F21" s="23"/>
      <c r="G21" s="20" t="s">
        <v>41</v>
      </c>
      <c r="H21" s="24"/>
    </row>
    <row r="22" spans="1:8" x14ac:dyDescent="0.2">
      <c r="A22" s="20" t="s">
        <v>73</v>
      </c>
      <c r="B22" s="21" t="s">
        <v>74</v>
      </c>
      <c r="C22" s="20">
        <v>1</v>
      </c>
      <c r="D22" s="20" t="s">
        <v>75</v>
      </c>
      <c r="E22" s="22"/>
      <c r="F22" s="23"/>
      <c r="G22" s="20" t="s">
        <v>41</v>
      </c>
      <c r="H22" s="24"/>
    </row>
    <row r="23" spans="1:8" x14ac:dyDescent="0.2">
      <c r="A23" s="20" t="s">
        <v>76</v>
      </c>
      <c r="B23" s="21" t="s">
        <v>74</v>
      </c>
      <c r="C23" s="20">
        <v>40</v>
      </c>
      <c r="D23" s="20" t="s">
        <v>77</v>
      </c>
      <c r="E23" s="22"/>
      <c r="F23" s="23"/>
      <c r="G23" s="20" t="s">
        <v>41</v>
      </c>
      <c r="H23" s="24"/>
    </row>
    <row r="24" spans="1:8" x14ac:dyDescent="0.2">
      <c r="A24" s="20" t="s">
        <v>78</v>
      </c>
      <c r="B24" s="21" t="s">
        <v>79</v>
      </c>
      <c r="C24" s="20">
        <v>1</v>
      </c>
      <c r="D24" s="20" t="s">
        <v>80</v>
      </c>
      <c r="E24" s="22"/>
      <c r="F24" s="23"/>
      <c r="G24" s="20" t="s">
        <v>41</v>
      </c>
      <c r="H24" s="24"/>
    </row>
    <row r="25" spans="1:8" x14ac:dyDescent="0.2">
      <c r="A25" s="20" t="s">
        <v>81</v>
      </c>
      <c r="B25" s="21" t="s">
        <v>79</v>
      </c>
      <c r="C25" s="20">
        <v>40</v>
      </c>
      <c r="D25" s="20" t="s">
        <v>82</v>
      </c>
      <c r="E25" s="22"/>
      <c r="F25" s="23"/>
      <c r="G25" s="20" t="s">
        <v>41</v>
      </c>
      <c r="H25" s="24"/>
    </row>
    <row r="26" spans="1:8" x14ac:dyDescent="0.2">
      <c r="A26" s="20" t="s">
        <v>83</v>
      </c>
      <c r="B26" s="21" t="s">
        <v>79</v>
      </c>
      <c r="C26" s="20">
        <v>1</v>
      </c>
      <c r="D26" s="20" t="s">
        <v>84</v>
      </c>
      <c r="E26" s="22"/>
      <c r="F26" s="23"/>
      <c r="G26" s="20" t="s">
        <v>41</v>
      </c>
      <c r="H26" s="24"/>
    </row>
    <row r="27" spans="1:8" x14ac:dyDescent="0.2">
      <c r="A27" s="20" t="s">
        <v>85</v>
      </c>
      <c r="B27" s="21" t="s">
        <v>79</v>
      </c>
      <c r="C27" s="20">
        <v>40</v>
      </c>
      <c r="D27" s="20" t="s">
        <v>86</v>
      </c>
      <c r="E27" s="22"/>
      <c r="F27" s="23"/>
      <c r="G27" s="20" t="s">
        <v>41</v>
      </c>
      <c r="H27" s="24"/>
    </row>
    <row r="28" spans="1:8" x14ac:dyDescent="0.2">
      <c r="A28" s="20" t="s">
        <v>87</v>
      </c>
      <c r="B28" s="21" t="s">
        <v>79</v>
      </c>
      <c r="C28" s="20">
        <v>1</v>
      </c>
      <c r="D28" s="20" t="s">
        <v>88</v>
      </c>
      <c r="E28" s="22"/>
      <c r="F28" s="23"/>
      <c r="G28" s="20" t="s">
        <v>41</v>
      </c>
      <c r="H28" s="24"/>
    </row>
    <row r="29" spans="1:8" x14ac:dyDescent="0.2">
      <c r="A29" s="20" t="s">
        <v>89</v>
      </c>
      <c r="B29" s="21" t="s">
        <v>79</v>
      </c>
      <c r="C29" s="20">
        <v>40</v>
      </c>
      <c r="D29" s="20" t="s">
        <v>90</v>
      </c>
      <c r="E29" s="22"/>
      <c r="F29" s="23"/>
      <c r="G29" s="20" t="s">
        <v>41</v>
      </c>
      <c r="H29" s="24"/>
    </row>
    <row r="30" spans="1:8" x14ac:dyDescent="0.2">
      <c r="A30" s="20" t="s">
        <v>91</v>
      </c>
      <c r="B30" s="21" t="s">
        <v>92</v>
      </c>
      <c r="C30" s="20">
        <v>1</v>
      </c>
      <c r="D30" s="20" t="s">
        <v>93</v>
      </c>
      <c r="E30" s="22"/>
      <c r="F30" s="23"/>
      <c r="G30" s="20" t="s">
        <v>41</v>
      </c>
      <c r="H30" s="24"/>
    </row>
    <row r="31" spans="1:8" x14ac:dyDescent="0.2">
      <c r="A31" s="20" t="s">
        <v>94</v>
      </c>
      <c r="B31" s="21" t="s">
        <v>92</v>
      </c>
      <c r="C31" s="20">
        <v>40</v>
      </c>
      <c r="D31" s="20" t="s">
        <v>95</v>
      </c>
      <c r="E31" s="22"/>
      <c r="F31" s="23"/>
      <c r="G31" s="20" t="s">
        <v>41</v>
      </c>
      <c r="H31" s="24"/>
    </row>
    <row r="32" spans="1:8" x14ac:dyDescent="0.2">
      <c r="A32" s="20" t="s">
        <v>96</v>
      </c>
      <c r="B32" s="21" t="s">
        <v>92</v>
      </c>
      <c r="C32" s="20">
        <v>1</v>
      </c>
      <c r="D32" s="20" t="s">
        <v>97</v>
      </c>
      <c r="E32" s="22"/>
      <c r="F32" s="23"/>
      <c r="G32" s="20" t="s">
        <v>41</v>
      </c>
      <c r="H32" s="24"/>
    </row>
    <row r="33" spans="1:8" x14ac:dyDescent="0.2">
      <c r="A33" s="20" t="s">
        <v>98</v>
      </c>
      <c r="B33" s="21" t="s">
        <v>92</v>
      </c>
      <c r="C33" s="20">
        <v>40</v>
      </c>
      <c r="D33" s="20" t="s">
        <v>99</v>
      </c>
      <c r="E33" s="22"/>
      <c r="F33" s="23"/>
      <c r="G33" s="20" t="s">
        <v>41</v>
      </c>
      <c r="H33" s="24"/>
    </row>
    <row r="34" spans="1:8" x14ac:dyDescent="0.2">
      <c r="A34" s="20" t="s">
        <v>100</v>
      </c>
      <c r="B34" s="21" t="s">
        <v>92</v>
      </c>
      <c r="C34" s="20">
        <v>1</v>
      </c>
      <c r="D34" s="20" t="s">
        <v>101</v>
      </c>
      <c r="E34" s="22"/>
      <c r="F34" s="23"/>
      <c r="G34" s="20" t="s">
        <v>41</v>
      </c>
      <c r="H34" s="24"/>
    </row>
    <row r="35" spans="1:8" x14ac:dyDescent="0.2">
      <c r="A35" s="20" t="s">
        <v>102</v>
      </c>
      <c r="B35" s="21" t="s">
        <v>92</v>
      </c>
      <c r="C35" s="20">
        <v>40</v>
      </c>
      <c r="D35" s="20" t="s">
        <v>103</v>
      </c>
      <c r="E35" s="22"/>
      <c r="F35" s="23"/>
      <c r="G35" s="20" t="s">
        <v>41</v>
      </c>
      <c r="H35" s="24"/>
    </row>
    <row r="36" spans="1:8" x14ac:dyDescent="0.2">
      <c r="A36" s="20" t="s">
        <v>104</v>
      </c>
      <c r="B36" s="21" t="s">
        <v>92</v>
      </c>
      <c r="C36" s="20">
        <v>1</v>
      </c>
      <c r="D36" s="20" t="s">
        <v>105</v>
      </c>
      <c r="E36" s="22"/>
      <c r="F36" s="23"/>
      <c r="G36" s="20" t="s">
        <v>41</v>
      </c>
      <c r="H36" s="24"/>
    </row>
    <row r="37" spans="1:8" x14ac:dyDescent="0.2">
      <c r="A37" s="20" t="s">
        <v>106</v>
      </c>
      <c r="B37" s="21" t="s">
        <v>92</v>
      </c>
      <c r="C37" s="20">
        <v>10</v>
      </c>
      <c r="D37" s="20" t="s">
        <v>107</v>
      </c>
      <c r="E37" s="22"/>
      <c r="F37" s="23"/>
      <c r="G37" s="20" t="s">
        <v>41</v>
      </c>
      <c r="H37" s="24"/>
    </row>
    <row r="38" spans="1:8" x14ac:dyDescent="0.2">
      <c r="A38" s="20" t="s">
        <v>106</v>
      </c>
      <c r="B38" s="21" t="s">
        <v>92</v>
      </c>
      <c r="C38" s="20">
        <v>40</v>
      </c>
      <c r="D38" s="20" t="s">
        <v>107</v>
      </c>
      <c r="E38" s="22"/>
      <c r="F38" s="23"/>
      <c r="G38" s="20" t="s">
        <v>41</v>
      </c>
      <c r="H38" s="24"/>
    </row>
    <row r="39" spans="1:8" x14ac:dyDescent="0.2">
      <c r="A39" s="20" t="s">
        <v>108</v>
      </c>
      <c r="B39" s="21" t="s">
        <v>92</v>
      </c>
      <c r="C39" s="20">
        <v>1</v>
      </c>
      <c r="D39" s="20" t="s">
        <v>109</v>
      </c>
      <c r="E39" s="22"/>
      <c r="F39" s="23"/>
      <c r="G39" s="20" t="s">
        <v>41</v>
      </c>
      <c r="H39" s="24"/>
    </row>
    <row r="40" spans="1:8" x14ac:dyDescent="0.2">
      <c r="A40" s="20" t="s">
        <v>110</v>
      </c>
      <c r="B40" s="21" t="s">
        <v>92</v>
      </c>
      <c r="C40" s="20">
        <v>40</v>
      </c>
      <c r="D40" s="20" t="s">
        <v>111</v>
      </c>
      <c r="E40" s="22"/>
      <c r="F40" s="23"/>
      <c r="G40" s="20" t="s">
        <v>41</v>
      </c>
      <c r="H40" s="24"/>
    </row>
    <row r="41" spans="1:8" x14ac:dyDescent="0.2">
      <c r="A41" s="20" t="s">
        <v>112</v>
      </c>
      <c r="B41" s="21" t="s">
        <v>92</v>
      </c>
      <c r="C41" s="20">
        <v>1</v>
      </c>
      <c r="D41" s="20" t="s">
        <v>113</v>
      </c>
      <c r="E41" s="22"/>
      <c r="F41" s="23"/>
      <c r="G41" s="20" t="s">
        <v>41</v>
      </c>
      <c r="H41" s="24"/>
    </row>
    <row r="42" spans="1:8" x14ac:dyDescent="0.2">
      <c r="A42" s="20" t="s">
        <v>114</v>
      </c>
      <c r="B42" s="21" t="s">
        <v>92</v>
      </c>
      <c r="C42" s="20">
        <v>40</v>
      </c>
      <c r="D42" s="20" t="s">
        <v>115</v>
      </c>
      <c r="E42" s="22"/>
      <c r="F42" s="23"/>
      <c r="G42" s="20" t="s">
        <v>41</v>
      </c>
      <c r="H42" s="24"/>
    </row>
    <row r="43" spans="1:8" x14ac:dyDescent="0.2">
      <c r="A43" s="20" t="s">
        <v>116</v>
      </c>
      <c r="B43" s="21" t="s">
        <v>92</v>
      </c>
      <c r="C43" s="20">
        <v>1</v>
      </c>
      <c r="D43" s="20" t="s">
        <v>117</v>
      </c>
      <c r="E43" s="22"/>
      <c r="F43" s="23"/>
      <c r="G43" s="20" t="s">
        <v>41</v>
      </c>
      <c r="H43" s="24"/>
    </row>
    <row r="44" spans="1:8" x14ac:dyDescent="0.2">
      <c r="A44" s="20" t="s">
        <v>118</v>
      </c>
      <c r="B44" s="21" t="s">
        <v>92</v>
      </c>
      <c r="C44" s="20">
        <v>40</v>
      </c>
      <c r="D44" s="20" t="s">
        <v>119</v>
      </c>
      <c r="E44" s="22"/>
      <c r="F44" s="23"/>
      <c r="G44" s="20" t="s">
        <v>41</v>
      </c>
      <c r="H44" s="24"/>
    </row>
    <row r="45" spans="1:8" x14ac:dyDescent="0.2">
      <c r="A45" s="20" t="s">
        <v>120</v>
      </c>
      <c r="B45" s="21" t="s">
        <v>92</v>
      </c>
      <c r="C45" s="20">
        <v>1</v>
      </c>
      <c r="D45" s="20" t="s">
        <v>121</v>
      </c>
      <c r="E45" s="22"/>
      <c r="F45" s="23"/>
      <c r="G45" s="20" t="s">
        <v>41</v>
      </c>
      <c r="H45" s="24"/>
    </row>
    <row r="46" spans="1:8" x14ac:dyDescent="0.2">
      <c r="A46" s="25" t="s">
        <v>122</v>
      </c>
      <c r="B46" s="26" t="s">
        <v>92</v>
      </c>
      <c r="C46" s="25">
        <v>40</v>
      </c>
      <c r="D46" s="25" t="s">
        <v>123</v>
      </c>
      <c r="E46" s="27"/>
      <c r="F46" s="28"/>
      <c r="G46" s="25" t="s">
        <v>41</v>
      </c>
      <c r="H46" s="29"/>
    </row>
  </sheetData>
  <sheetProtection algorithmName="SHA-512" hashValue="zl6JdQz1hnBTxZcb0jB0FhafZ2uCCaefEpT8fxeuUOK09ke2AodlAF4J4dKqNLYMB798uoYB7HdZ+G+jIESGuA==" saltValue="P6a2rpgVvEDLuCaiwDaiBA==" spinCount="100000" sheet="1" objects="1" scenarios="1" autoFilter="0"/>
  <pageMargins left="0.7" right="0.7" top="0.75" bottom="0.75" header="0.3" footer="0.3"/>
  <pageSetup scale="70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4E091-FA0D-4E17-903E-F86F86495522}">
  <dimension ref="A1:M3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7" width="11.625" customWidth="1"/>
    <col min="8" max="8" width="9.625" customWidth="1"/>
    <col min="9" max="11" width="11.625" customWidth="1"/>
    <col min="12" max="12" width="12.625" customWidth="1"/>
    <col min="13" max="13" width="14.625" customWidth="1"/>
  </cols>
  <sheetData>
    <row r="1" spans="1:13" x14ac:dyDescent="0.2">
      <c r="A1" s="1" t="str">
        <f>CONCATENATE("Bijlage H.2: ",tabeltype," regulier werk")</f>
        <v>Bijlage H.2: Invultabel regulier werk</v>
      </c>
    </row>
    <row r="3" spans="1:13" ht="38.25" x14ac:dyDescent="0.2">
      <c r="A3" s="8" t="s">
        <v>124</v>
      </c>
      <c r="B3" s="8" t="s">
        <v>7</v>
      </c>
      <c r="C3" s="8" t="s">
        <v>125</v>
      </c>
      <c r="D3" s="8" t="s">
        <v>32</v>
      </c>
      <c r="E3" s="8" t="s">
        <v>126</v>
      </c>
      <c r="F3" s="8" t="s">
        <v>127</v>
      </c>
      <c r="G3" s="8" t="s">
        <v>33</v>
      </c>
      <c r="H3" s="8" t="s">
        <v>35</v>
      </c>
      <c r="I3" s="8" t="s">
        <v>36</v>
      </c>
      <c r="J3" s="8" t="s">
        <v>128</v>
      </c>
      <c r="K3" s="8" t="s">
        <v>129</v>
      </c>
      <c r="L3" s="8" t="s">
        <v>130</v>
      </c>
      <c r="M3" s="8" t="s">
        <v>131</v>
      </c>
    </row>
    <row r="4" spans="1:13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2">
      <c r="A6" s="15" t="s">
        <v>132</v>
      </c>
      <c r="B6" s="15" t="s">
        <v>11</v>
      </c>
      <c r="C6" s="15" t="s">
        <v>133</v>
      </c>
      <c r="D6" s="15" t="s">
        <v>134</v>
      </c>
      <c r="E6" s="30">
        <v>1387.6</v>
      </c>
      <c r="F6" s="30">
        <f t="shared" ref="F6:F30" si="0">E6*VLOOKUP(B6,dagsoorttabel1,2,FALSE)</f>
        <v>1088.313725490196</v>
      </c>
      <c r="G6" s="31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15" t="s">
        <v>41</v>
      </c>
      <c r="I6" s="32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30">
        <f t="shared" ref="J6:J30" si="1">IF(OR(ISBLANK(G6),G6=0),0,F6/ROUND(G6,4))</f>
        <v>0</v>
      </c>
      <c r="K6" s="32">
        <f t="shared" ref="K6:K30" si="2">ROUND(I6,2)*J6</f>
        <v>0</v>
      </c>
      <c r="L6" s="30">
        <f t="shared" ref="L6:L30" si="3">J6*dagenperjaar1</f>
        <v>0</v>
      </c>
      <c r="M6" s="32">
        <f t="shared" ref="M6:M30" si="4">L6*ROUND(I6,2)</f>
        <v>0</v>
      </c>
    </row>
    <row r="7" spans="1:13" x14ac:dyDescent="0.2">
      <c r="A7" s="20" t="s">
        <v>135</v>
      </c>
      <c r="B7" s="20" t="s">
        <v>11</v>
      </c>
      <c r="C7" s="20" t="s">
        <v>133</v>
      </c>
      <c r="D7" s="20" t="s">
        <v>136</v>
      </c>
      <c r="E7" s="33">
        <v>443</v>
      </c>
      <c r="F7" s="33">
        <f t="shared" si="0"/>
        <v>347.45098039215685</v>
      </c>
      <c r="G7" s="34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20" t="s">
        <v>41</v>
      </c>
      <c r="I7" s="35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33">
        <f t="shared" si="1"/>
        <v>0</v>
      </c>
      <c r="K7" s="35">
        <f t="shared" si="2"/>
        <v>0</v>
      </c>
      <c r="L7" s="33">
        <f t="shared" si="3"/>
        <v>0</v>
      </c>
      <c r="M7" s="35">
        <f t="shared" si="4"/>
        <v>0</v>
      </c>
    </row>
    <row r="8" spans="1:13" x14ac:dyDescent="0.2">
      <c r="A8" s="20" t="s">
        <v>135</v>
      </c>
      <c r="B8" s="20" t="s">
        <v>18</v>
      </c>
      <c r="C8" s="20" t="s">
        <v>133</v>
      </c>
      <c r="D8" s="20" t="s">
        <v>136</v>
      </c>
      <c r="E8" s="33">
        <v>1101.8200000000002</v>
      </c>
      <c r="F8" s="33">
        <f t="shared" si="0"/>
        <v>172.83450980392161</v>
      </c>
      <c r="G8" s="34">
        <f>IF(AND(catpn_1_BHB_1&gt;0,catpn_1_BHV_40&gt;0),(dagenperjaar1*VLOOKUP(B8,dagsoorttabel1,2,FALSE))/(((dagenperjaar1*VLOOKUP(B8,dagsoorttabel1,2,FALSE))-catfd_1_BHV_40)/catpn_1_BHB_1+catfd_1_BHV_40/catpn_1_BHV_40),0)</f>
        <v>0</v>
      </c>
      <c r="H8" s="20" t="s">
        <v>41</v>
      </c>
      <c r="I8" s="35">
        <f>IF(AND(catpn_1_BHB_1&gt;0,catpn_1_BHV_40&gt;0),(cattf_1_BHB_1*((dagenperjaar1*VLOOKUP(B8,dagsoorttabel1,2,FALSE))-catfd_1_BHV_40)/catpn_1_BHB_1+cattf_1_BHV_40*catfd_1_BHV_40/catpn_1_BHV_40)/(((dagenperjaar1*VLOOKUP(B8,dagsoorttabel1,2,FALSE))-catfd_1_BHV_40)/catpn_1_BHB_1+catfd_1_BHV_40/catpn_1_BHV_40),0)</f>
        <v>0</v>
      </c>
      <c r="J8" s="33">
        <f t="shared" si="1"/>
        <v>0</v>
      </c>
      <c r="K8" s="35">
        <f t="shared" si="2"/>
        <v>0</v>
      </c>
      <c r="L8" s="33">
        <f t="shared" si="3"/>
        <v>0</v>
      </c>
      <c r="M8" s="35">
        <f t="shared" si="4"/>
        <v>0</v>
      </c>
    </row>
    <row r="9" spans="1:13" x14ac:dyDescent="0.2">
      <c r="A9" s="20" t="s">
        <v>137</v>
      </c>
      <c r="B9" s="20" t="s">
        <v>11</v>
      </c>
      <c r="C9" s="20" t="s">
        <v>133</v>
      </c>
      <c r="D9" s="20" t="s">
        <v>138</v>
      </c>
      <c r="E9" s="33">
        <v>120</v>
      </c>
      <c r="F9" s="33">
        <f t="shared" si="0"/>
        <v>94.117647058823522</v>
      </c>
      <c r="G9" s="34">
        <f>IF(AND(catpn_1_BZB_1&gt;0,catpn_1_BZV_40&gt;0),(dagenperjaar1*VLOOKUP(B9,dagsoorttabel1,2,FALSE))/(((dagenperjaar1*VLOOKUP(B9,dagsoorttabel1,2,FALSE))-catfd_1_BZV_40)/catpn_1_BZB_1+catfd_1_BZV_40/catpn_1_BZV_40),0)</f>
        <v>0</v>
      </c>
      <c r="H9" s="20" t="s">
        <v>41</v>
      </c>
      <c r="I9" s="35">
        <f>IF(AND(catpn_1_BZB_1&gt;0,catpn_1_BZV_40&gt;0),(cattf_1_BZB_1*((dagenperjaar1*VLOOKUP(B9,dagsoorttabel1,2,FALSE))-catfd_1_BZV_40)/catpn_1_BZB_1+cattf_1_BZV_40*catfd_1_BZV_40/catpn_1_BZV_40)/(((dagenperjaar1*VLOOKUP(B9,dagsoorttabel1,2,FALSE))-catfd_1_BZV_40)/catpn_1_BZB_1+catfd_1_BZV_40/catpn_1_BZV_40),0)</f>
        <v>0</v>
      </c>
      <c r="J9" s="33">
        <f t="shared" si="1"/>
        <v>0</v>
      </c>
      <c r="K9" s="35">
        <f t="shared" si="2"/>
        <v>0</v>
      </c>
      <c r="L9" s="33">
        <f t="shared" si="3"/>
        <v>0</v>
      </c>
      <c r="M9" s="35">
        <f t="shared" si="4"/>
        <v>0</v>
      </c>
    </row>
    <row r="10" spans="1:13" x14ac:dyDescent="0.2">
      <c r="A10" s="20" t="s">
        <v>137</v>
      </c>
      <c r="B10" s="20" t="s">
        <v>18</v>
      </c>
      <c r="C10" s="20" t="s">
        <v>133</v>
      </c>
      <c r="D10" s="20" t="s">
        <v>138</v>
      </c>
      <c r="E10" s="33">
        <v>574.4</v>
      </c>
      <c r="F10" s="33">
        <f t="shared" si="0"/>
        <v>90.101960784313718</v>
      </c>
      <c r="G10" s="34">
        <f>IF(AND(catpn_1_BZB_1&gt;0,catpn_1_BZV_40&gt;0),(dagenperjaar1*VLOOKUP(B10,dagsoorttabel1,2,FALSE))/(((dagenperjaar1*VLOOKUP(B10,dagsoorttabel1,2,FALSE))-catfd_1_BZV_40)/catpn_1_BZB_1+catfd_1_BZV_40/catpn_1_BZV_40),0)</f>
        <v>0</v>
      </c>
      <c r="H10" s="20" t="s">
        <v>41</v>
      </c>
      <c r="I10" s="35">
        <f>IF(AND(catpn_1_BZB_1&gt;0,catpn_1_BZV_40&gt;0),(cattf_1_BZB_1*((dagenperjaar1*VLOOKUP(B10,dagsoorttabel1,2,FALSE))-catfd_1_BZV_40)/catpn_1_BZB_1+cattf_1_BZV_40*catfd_1_BZV_40/catpn_1_BZV_40)/(((dagenperjaar1*VLOOKUP(B10,dagsoorttabel1,2,FALSE))-catfd_1_BZV_40)/catpn_1_BZB_1+catfd_1_BZV_40/catpn_1_BZV_40),0)</f>
        <v>0</v>
      </c>
      <c r="J10" s="33">
        <f t="shared" si="1"/>
        <v>0</v>
      </c>
      <c r="K10" s="35">
        <f t="shared" si="2"/>
        <v>0</v>
      </c>
      <c r="L10" s="33">
        <f t="shared" si="3"/>
        <v>0</v>
      </c>
      <c r="M10" s="35">
        <f t="shared" si="4"/>
        <v>0</v>
      </c>
    </row>
    <row r="11" spans="1:13" x14ac:dyDescent="0.2">
      <c r="A11" s="20" t="s">
        <v>139</v>
      </c>
      <c r="B11" s="20" t="s">
        <v>11</v>
      </c>
      <c r="C11" s="20" t="s">
        <v>133</v>
      </c>
      <c r="D11" s="20" t="s">
        <v>140</v>
      </c>
      <c r="E11" s="33">
        <v>110</v>
      </c>
      <c r="F11" s="33">
        <f t="shared" si="0"/>
        <v>86.274509803921561</v>
      </c>
      <c r="G11" s="34">
        <f>IF(AND(catpn_1_CHB_1&gt;0,catpn_1_CHV_40&gt;0),(dagenperjaar1*VLOOKUP(B11,dagsoorttabel1,2,FALSE))/(((dagenperjaar1*VLOOKUP(B11,dagsoorttabel1,2,FALSE))-catfd_1_CHV_40)/catpn_1_CHB_1+catfd_1_CHV_40/catpn_1_CHV_40),0)</f>
        <v>0</v>
      </c>
      <c r="H11" s="20" t="s">
        <v>41</v>
      </c>
      <c r="I11" s="35">
        <f>IF(AND(catpn_1_CHB_1&gt;0,catpn_1_CHV_40&gt;0),(cattf_1_CHB_1*((dagenperjaar1*VLOOKUP(B11,dagsoorttabel1,2,FALSE))-catfd_1_CHV_40)/catpn_1_CHB_1+cattf_1_CHV_40*catfd_1_CHV_40/catpn_1_CHV_40)/(((dagenperjaar1*VLOOKUP(B11,dagsoorttabel1,2,FALSE))-catfd_1_CHV_40)/catpn_1_CHB_1+catfd_1_CHV_40/catpn_1_CHV_40),0)</f>
        <v>0</v>
      </c>
      <c r="J11" s="33">
        <f t="shared" si="1"/>
        <v>0</v>
      </c>
      <c r="K11" s="35">
        <f t="shared" si="2"/>
        <v>0</v>
      </c>
      <c r="L11" s="33">
        <f t="shared" si="3"/>
        <v>0</v>
      </c>
      <c r="M11" s="35">
        <f t="shared" si="4"/>
        <v>0</v>
      </c>
    </row>
    <row r="12" spans="1:13" x14ac:dyDescent="0.2">
      <c r="A12" s="20" t="s">
        <v>141</v>
      </c>
      <c r="B12" s="20" t="s">
        <v>11</v>
      </c>
      <c r="C12" s="20" t="s">
        <v>133</v>
      </c>
      <c r="D12" s="20" t="s">
        <v>142</v>
      </c>
      <c r="E12" s="33">
        <v>94</v>
      </c>
      <c r="F12" s="33">
        <f t="shared" si="0"/>
        <v>73.725490196078425</v>
      </c>
      <c r="G12" s="34">
        <f>IF(AND(catpn_1_DHB_1&gt;0,catpn_1_DHV_40&gt;0),(dagenperjaar1*VLOOKUP(B12,dagsoorttabel1,2,FALSE))/(((dagenperjaar1*VLOOKUP(B12,dagsoorttabel1,2,FALSE))-catfd_1_DHV_40)/catpn_1_DHB_1+catfd_1_DHV_40/catpn_1_DHV_40),0)</f>
        <v>0</v>
      </c>
      <c r="H12" s="20" t="s">
        <v>41</v>
      </c>
      <c r="I12" s="35">
        <f>IF(AND(catpn_1_DHB_1&gt;0,catpn_1_DHV_40&gt;0),(cattf_1_DHB_1*((dagenperjaar1*VLOOKUP(B12,dagsoorttabel1,2,FALSE))-catfd_1_DHV_40)/catpn_1_DHB_1+cattf_1_DHV_40*catfd_1_DHV_40/catpn_1_DHV_40)/(((dagenperjaar1*VLOOKUP(B12,dagsoorttabel1,2,FALSE))-catfd_1_DHV_40)/catpn_1_DHB_1+catfd_1_DHV_40/catpn_1_DHV_40),0)</f>
        <v>0</v>
      </c>
      <c r="J12" s="33">
        <f t="shared" si="1"/>
        <v>0</v>
      </c>
      <c r="K12" s="35">
        <f t="shared" si="2"/>
        <v>0</v>
      </c>
      <c r="L12" s="33">
        <f t="shared" si="3"/>
        <v>0</v>
      </c>
      <c r="M12" s="35">
        <f t="shared" si="4"/>
        <v>0</v>
      </c>
    </row>
    <row r="13" spans="1:13" x14ac:dyDescent="0.2">
      <c r="A13" s="20" t="s">
        <v>143</v>
      </c>
      <c r="B13" s="20" t="s">
        <v>11</v>
      </c>
      <c r="C13" s="20" t="s">
        <v>133</v>
      </c>
      <c r="D13" s="20" t="s">
        <v>144</v>
      </c>
      <c r="E13" s="33">
        <v>276</v>
      </c>
      <c r="F13" s="33">
        <f t="shared" si="0"/>
        <v>216.47058823529412</v>
      </c>
      <c r="G13" s="34">
        <f>IF(AND(catpn_1_EHB_1&gt;0,catpn_1_EHV_40&gt;0),(dagenperjaar1*VLOOKUP(B13,dagsoorttabel1,2,FALSE))/(((dagenperjaar1*VLOOKUP(B13,dagsoorttabel1,2,FALSE))-catfd_1_EHV_40)/catpn_1_EHB_1+catfd_1_EHV_40/catpn_1_EHV_40),0)</f>
        <v>0</v>
      </c>
      <c r="H13" s="20" t="s">
        <v>41</v>
      </c>
      <c r="I13" s="35">
        <f>IF(AND(catpn_1_EHB_1&gt;0,catpn_1_EHV_40&gt;0),(cattf_1_EHB_1*((dagenperjaar1*VLOOKUP(B13,dagsoorttabel1,2,FALSE))-catfd_1_EHV_40)/catpn_1_EHB_1+cattf_1_EHV_40*catfd_1_EHV_40/catpn_1_EHV_40)/(((dagenperjaar1*VLOOKUP(B13,dagsoorttabel1,2,FALSE))-catfd_1_EHV_40)/catpn_1_EHB_1+catfd_1_EHV_40/catpn_1_EHV_40),0)</f>
        <v>0</v>
      </c>
      <c r="J13" s="33">
        <f t="shared" si="1"/>
        <v>0</v>
      </c>
      <c r="K13" s="35">
        <f t="shared" si="2"/>
        <v>0</v>
      </c>
      <c r="L13" s="33">
        <f t="shared" si="3"/>
        <v>0</v>
      </c>
      <c r="M13" s="35">
        <f t="shared" si="4"/>
        <v>0</v>
      </c>
    </row>
    <row r="14" spans="1:13" x14ac:dyDescent="0.2">
      <c r="A14" s="20" t="s">
        <v>145</v>
      </c>
      <c r="B14" s="20" t="s">
        <v>11</v>
      </c>
      <c r="C14" s="20" t="s">
        <v>133</v>
      </c>
      <c r="D14" s="20" t="s">
        <v>146</v>
      </c>
      <c r="E14" s="33">
        <v>59</v>
      </c>
      <c r="F14" s="33">
        <f t="shared" si="0"/>
        <v>46.274509803921568</v>
      </c>
      <c r="G14" s="34">
        <f>IF(AND(catpn_1_EZB_1&gt;0,catpn_1_EZV_40&gt;0),(dagenperjaar1*VLOOKUP(B14,dagsoorttabel1,2,FALSE))/(((dagenperjaar1*VLOOKUP(B14,dagsoorttabel1,2,FALSE))-catfd_1_EZV_40)/catpn_1_EZB_1+catfd_1_EZV_40/catpn_1_EZV_40),0)</f>
        <v>0</v>
      </c>
      <c r="H14" s="20" t="s">
        <v>41</v>
      </c>
      <c r="I14" s="35">
        <f>IF(AND(catpn_1_EZB_1&gt;0,catpn_1_EZV_40&gt;0),(cattf_1_EZB_1*((dagenperjaar1*VLOOKUP(B14,dagsoorttabel1,2,FALSE))-catfd_1_EZV_40)/catpn_1_EZB_1+cattf_1_EZV_40*catfd_1_EZV_40/catpn_1_EZV_40)/(((dagenperjaar1*VLOOKUP(B14,dagsoorttabel1,2,FALSE))-catfd_1_EZV_40)/catpn_1_EZB_1+catfd_1_EZV_40/catpn_1_EZV_40),0)</f>
        <v>0</v>
      </c>
      <c r="J14" s="33">
        <f t="shared" si="1"/>
        <v>0</v>
      </c>
      <c r="K14" s="35">
        <f t="shared" si="2"/>
        <v>0</v>
      </c>
      <c r="L14" s="33">
        <f t="shared" si="3"/>
        <v>0</v>
      </c>
      <c r="M14" s="35">
        <f t="shared" si="4"/>
        <v>0</v>
      </c>
    </row>
    <row r="15" spans="1:13" x14ac:dyDescent="0.2">
      <c r="A15" s="20" t="s">
        <v>147</v>
      </c>
      <c r="B15" s="20" t="s">
        <v>21</v>
      </c>
      <c r="C15" s="20" t="s">
        <v>133</v>
      </c>
      <c r="D15" s="20" t="s">
        <v>148</v>
      </c>
      <c r="E15" s="33">
        <v>157</v>
      </c>
      <c r="F15" s="33">
        <f t="shared" si="0"/>
        <v>6.1568627450980395</v>
      </c>
      <c r="G15" s="34">
        <f>catpn_1_GHV_10</f>
        <v>0</v>
      </c>
      <c r="H15" s="20" t="s">
        <v>41</v>
      </c>
      <c r="I15" s="35">
        <f>cattf_1_GHV_10</f>
        <v>0</v>
      </c>
      <c r="J15" s="33">
        <f t="shared" si="1"/>
        <v>0</v>
      </c>
      <c r="K15" s="35">
        <f t="shared" si="2"/>
        <v>0</v>
      </c>
      <c r="L15" s="33">
        <f t="shared" si="3"/>
        <v>0</v>
      </c>
      <c r="M15" s="35">
        <f t="shared" si="4"/>
        <v>0</v>
      </c>
    </row>
    <row r="16" spans="1:13" x14ac:dyDescent="0.2">
      <c r="A16" s="20" t="s">
        <v>147</v>
      </c>
      <c r="B16" s="20" t="s">
        <v>11</v>
      </c>
      <c r="C16" s="20" t="s">
        <v>133</v>
      </c>
      <c r="D16" s="20" t="s">
        <v>148</v>
      </c>
      <c r="E16" s="33">
        <v>2161.16</v>
      </c>
      <c r="F16" s="33">
        <f t="shared" si="0"/>
        <v>1695.0274509803921</v>
      </c>
      <c r="G16" s="34">
        <f>IF(AND(catpn_1_GHB_1&gt;0,catpn_1_GHV_40&gt;0),(dagenperjaar1*VLOOKUP(B16,dagsoorttabel1,2,FALSE))/(((dagenperjaar1*VLOOKUP(B16,dagsoorttabel1,2,FALSE))-catfd_1_GHV_40)/catpn_1_GHB_1+catfd_1_GHV_40/catpn_1_GHV_40),0)</f>
        <v>0</v>
      </c>
      <c r="H16" s="20" t="s">
        <v>41</v>
      </c>
      <c r="I16" s="35">
        <f>IF(AND(catpn_1_GHB_1&gt;0,catpn_1_GHV_40&gt;0),(cattf_1_GHB_1*((dagenperjaar1*VLOOKUP(B16,dagsoorttabel1,2,FALSE))-catfd_1_GHV_40)/catpn_1_GHB_1+cattf_1_GHV_40*catfd_1_GHV_40/catpn_1_GHV_40)/(((dagenperjaar1*VLOOKUP(B16,dagsoorttabel1,2,FALSE))-catfd_1_GHV_40)/catpn_1_GHB_1+catfd_1_GHV_40/catpn_1_GHV_40),0)</f>
        <v>0</v>
      </c>
      <c r="J16" s="33">
        <f t="shared" si="1"/>
        <v>0</v>
      </c>
      <c r="K16" s="35">
        <f t="shared" si="2"/>
        <v>0</v>
      </c>
      <c r="L16" s="33">
        <f t="shared" si="3"/>
        <v>0</v>
      </c>
      <c r="M16" s="35">
        <f t="shared" si="4"/>
        <v>0</v>
      </c>
    </row>
    <row r="17" spans="1:13" x14ac:dyDescent="0.2">
      <c r="A17" s="20" t="s">
        <v>149</v>
      </c>
      <c r="B17" s="20" t="s">
        <v>11</v>
      </c>
      <c r="C17" s="20" t="s">
        <v>133</v>
      </c>
      <c r="D17" s="20" t="s">
        <v>150</v>
      </c>
      <c r="E17" s="33">
        <v>14</v>
      </c>
      <c r="F17" s="33">
        <f t="shared" si="0"/>
        <v>10.980392156862745</v>
      </c>
      <c r="G17" s="34">
        <f>IF(AND(catpn_1_IHB_1&gt;0,catpn_1_IHV_40&gt;0),(dagenperjaar1*VLOOKUP(B17,dagsoorttabel1,2,FALSE))/(((dagenperjaar1*VLOOKUP(B17,dagsoorttabel1,2,FALSE))-catfd_1_IHV_40)/catpn_1_IHB_1+catfd_1_IHV_40/catpn_1_IHV_40),0)</f>
        <v>0</v>
      </c>
      <c r="H17" s="20" t="s">
        <v>41</v>
      </c>
      <c r="I17" s="35">
        <f>IF(AND(catpn_1_IHB_1&gt;0,catpn_1_IHV_40&gt;0),(cattf_1_IHB_1*((dagenperjaar1*VLOOKUP(B17,dagsoorttabel1,2,FALSE))-catfd_1_IHV_40)/catpn_1_IHB_1+cattf_1_IHV_40*catfd_1_IHV_40/catpn_1_IHV_40)/(((dagenperjaar1*VLOOKUP(B17,dagsoorttabel1,2,FALSE))-catfd_1_IHV_40)/catpn_1_IHB_1+catfd_1_IHV_40/catpn_1_IHV_40),0)</f>
        <v>0</v>
      </c>
      <c r="J17" s="33">
        <f t="shared" si="1"/>
        <v>0</v>
      </c>
      <c r="K17" s="35">
        <f t="shared" si="2"/>
        <v>0</v>
      </c>
      <c r="L17" s="33">
        <f t="shared" si="3"/>
        <v>0</v>
      </c>
      <c r="M17" s="35">
        <f t="shared" si="4"/>
        <v>0</v>
      </c>
    </row>
    <row r="18" spans="1:13" x14ac:dyDescent="0.2">
      <c r="A18" s="20" t="s">
        <v>151</v>
      </c>
      <c r="B18" s="20" t="s">
        <v>14</v>
      </c>
      <c r="C18" s="20" t="s">
        <v>133</v>
      </c>
      <c r="D18" s="20" t="s">
        <v>152</v>
      </c>
      <c r="E18" s="33">
        <v>129.19999999999999</v>
      </c>
      <c r="F18" s="33">
        <f t="shared" si="0"/>
        <v>60.8</v>
      </c>
      <c r="G18" s="34">
        <f>IF(AND(catpn_1_KHB_1&gt;0,catpn_1_KHV_40&gt;0),(dagenperjaar1*VLOOKUP(B18,dagsoorttabel1,2,FALSE))/(((dagenperjaar1*VLOOKUP(B18,dagsoorttabel1,2,FALSE))-catfd_1_KHV_40)/catpn_1_KHB_1+catfd_1_KHV_40/catpn_1_KHV_40),0)</f>
        <v>0</v>
      </c>
      <c r="H18" s="20" t="s">
        <v>41</v>
      </c>
      <c r="I18" s="35">
        <f>IF(AND(catpn_1_KHB_1&gt;0,catpn_1_KHV_40&gt;0),(cattf_1_KHB_1*((dagenperjaar1*VLOOKUP(B18,dagsoorttabel1,2,FALSE))-catfd_1_KHV_40)/catpn_1_KHB_1+cattf_1_KHV_40*catfd_1_KHV_40/catpn_1_KHV_40)/(((dagenperjaar1*VLOOKUP(B18,dagsoorttabel1,2,FALSE))-catfd_1_KHV_40)/catpn_1_KHB_1+catfd_1_KHV_40/catpn_1_KHV_40),0)</f>
        <v>0</v>
      </c>
      <c r="J18" s="33">
        <f t="shared" si="1"/>
        <v>0</v>
      </c>
      <c r="K18" s="35">
        <f t="shared" si="2"/>
        <v>0</v>
      </c>
      <c r="L18" s="33">
        <f t="shared" si="3"/>
        <v>0</v>
      </c>
      <c r="M18" s="35">
        <f t="shared" si="4"/>
        <v>0</v>
      </c>
    </row>
    <row r="19" spans="1:13" x14ac:dyDescent="0.2">
      <c r="A19" s="20" t="s">
        <v>151</v>
      </c>
      <c r="B19" s="20" t="s">
        <v>11</v>
      </c>
      <c r="C19" s="20" t="s">
        <v>133</v>
      </c>
      <c r="D19" s="20" t="s">
        <v>152</v>
      </c>
      <c r="E19" s="33">
        <v>254</v>
      </c>
      <c r="F19" s="33">
        <f t="shared" si="0"/>
        <v>199.21568627450981</v>
      </c>
      <c r="G19" s="34">
        <f>IF(AND(catpn_1_KHB_1&gt;0,catpn_1_KHV_40&gt;0),(dagenperjaar1*VLOOKUP(B19,dagsoorttabel1,2,FALSE))/(((dagenperjaar1*VLOOKUP(B19,dagsoorttabel1,2,FALSE))-catfd_1_KHV_40)/catpn_1_KHB_1+catfd_1_KHV_40/catpn_1_KHV_40),0)</f>
        <v>0</v>
      </c>
      <c r="H19" s="20" t="s">
        <v>41</v>
      </c>
      <c r="I19" s="35">
        <f>IF(AND(catpn_1_KHB_1&gt;0,catpn_1_KHV_40&gt;0),(cattf_1_KHB_1*((dagenperjaar1*VLOOKUP(B19,dagsoorttabel1,2,FALSE))-catfd_1_KHV_40)/catpn_1_KHB_1+cattf_1_KHV_40*catfd_1_KHV_40/catpn_1_KHV_40)/(((dagenperjaar1*VLOOKUP(B19,dagsoorttabel1,2,FALSE))-catfd_1_KHV_40)/catpn_1_KHB_1+catfd_1_KHV_40/catpn_1_KHV_40),0)</f>
        <v>0</v>
      </c>
      <c r="J19" s="33">
        <f t="shared" si="1"/>
        <v>0</v>
      </c>
      <c r="K19" s="35">
        <f t="shared" si="2"/>
        <v>0</v>
      </c>
      <c r="L19" s="33">
        <f t="shared" si="3"/>
        <v>0</v>
      </c>
      <c r="M19" s="35">
        <f t="shared" si="4"/>
        <v>0</v>
      </c>
    </row>
    <row r="20" spans="1:13" x14ac:dyDescent="0.2">
      <c r="A20" s="20" t="s">
        <v>153</v>
      </c>
      <c r="B20" s="20" t="s">
        <v>11</v>
      </c>
      <c r="C20" s="20" t="s">
        <v>133</v>
      </c>
      <c r="D20" s="20" t="s">
        <v>154</v>
      </c>
      <c r="E20" s="33">
        <v>7206.8600000000006</v>
      </c>
      <c r="F20" s="33">
        <f t="shared" si="0"/>
        <v>5652.439215686275</v>
      </c>
      <c r="G20" s="34">
        <f>IF(AND(catpn_1_LHB_1&gt;0,catpn_1_LHV_40&gt;0),(dagenperjaar1*VLOOKUP(B20,dagsoorttabel1,2,FALSE))/(((dagenperjaar1*VLOOKUP(B20,dagsoorttabel1,2,FALSE))-catfd_1_LHV_40)/catpn_1_LHB_1+catfd_1_LHV_40/catpn_1_LHV_40),0)</f>
        <v>0</v>
      </c>
      <c r="H20" s="20" t="s">
        <v>41</v>
      </c>
      <c r="I20" s="35">
        <f>IF(AND(catpn_1_LHB_1&gt;0,catpn_1_LHV_40&gt;0),(cattf_1_LHB_1*((dagenperjaar1*VLOOKUP(B20,dagsoorttabel1,2,FALSE))-catfd_1_LHV_40)/catpn_1_LHB_1+cattf_1_LHV_40*catfd_1_LHV_40/catpn_1_LHV_40)/(((dagenperjaar1*VLOOKUP(B20,dagsoorttabel1,2,FALSE))-catfd_1_LHV_40)/catpn_1_LHB_1+catfd_1_LHV_40/catpn_1_LHV_40),0)</f>
        <v>0</v>
      </c>
      <c r="J20" s="33">
        <f t="shared" si="1"/>
        <v>0</v>
      </c>
      <c r="K20" s="35">
        <f t="shared" si="2"/>
        <v>0</v>
      </c>
      <c r="L20" s="33">
        <f t="shared" si="3"/>
        <v>0</v>
      </c>
      <c r="M20" s="35">
        <f t="shared" si="4"/>
        <v>0</v>
      </c>
    </row>
    <row r="21" spans="1:13" x14ac:dyDescent="0.2">
      <c r="A21" s="20" t="s">
        <v>155</v>
      </c>
      <c r="B21" s="20" t="s">
        <v>11</v>
      </c>
      <c r="C21" s="20" t="s">
        <v>133</v>
      </c>
      <c r="D21" s="20" t="s">
        <v>156</v>
      </c>
      <c r="E21" s="33">
        <v>267</v>
      </c>
      <c r="F21" s="33">
        <f t="shared" si="0"/>
        <v>209.41176470588235</v>
      </c>
      <c r="G21" s="34">
        <f>IF(AND(catpn_1_MZB_1&gt;0,catpn_1_MZV_40&gt;0),(dagenperjaar1*VLOOKUP(B21,dagsoorttabel1,2,FALSE))/(((dagenperjaar1*VLOOKUP(B21,dagsoorttabel1,2,FALSE))-catfd_1_MZV_40)/catpn_1_MZB_1+catfd_1_MZV_40/catpn_1_MZV_40),0)</f>
        <v>0</v>
      </c>
      <c r="H21" s="20" t="s">
        <v>41</v>
      </c>
      <c r="I21" s="35">
        <f>IF(AND(catpn_1_MZB_1&gt;0,catpn_1_MZV_40&gt;0),(cattf_1_MZB_1*((dagenperjaar1*VLOOKUP(B21,dagsoorttabel1,2,FALSE))-catfd_1_MZV_40)/catpn_1_MZB_1+cattf_1_MZV_40*catfd_1_MZV_40/catpn_1_MZV_40)/(((dagenperjaar1*VLOOKUP(B21,dagsoorttabel1,2,FALSE))-catfd_1_MZV_40)/catpn_1_MZB_1+catfd_1_MZV_40/catpn_1_MZV_40),0)</f>
        <v>0</v>
      </c>
      <c r="J21" s="33">
        <f t="shared" si="1"/>
        <v>0</v>
      </c>
      <c r="K21" s="35">
        <f t="shared" si="2"/>
        <v>0</v>
      </c>
      <c r="L21" s="33">
        <f t="shared" si="3"/>
        <v>0</v>
      </c>
      <c r="M21" s="35">
        <f t="shared" si="4"/>
        <v>0</v>
      </c>
    </row>
    <row r="22" spans="1:13" x14ac:dyDescent="0.2">
      <c r="A22" s="20" t="s">
        <v>157</v>
      </c>
      <c r="B22" s="20" t="s">
        <v>11</v>
      </c>
      <c r="C22" s="20" t="s">
        <v>133</v>
      </c>
      <c r="D22" s="20" t="s">
        <v>158</v>
      </c>
      <c r="E22" s="33">
        <v>974</v>
      </c>
      <c r="F22" s="33">
        <f t="shared" si="0"/>
        <v>763.92156862745094</v>
      </c>
      <c r="G22" s="34">
        <f>IF(AND(catpn_1_OLHB_1&gt;0,catpn_1_OLHV_40&gt;0),(dagenperjaar1*VLOOKUP(B22,dagsoorttabel1,2,FALSE))/(((dagenperjaar1*VLOOKUP(B22,dagsoorttabel1,2,FALSE))-catfd_1_OLHV_40)/catpn_1_OLHB_1+catfd_1_OLHV_40/catpn_1_OLHV_40),0)</f>
        <v>0</v>
      </c>
      <c r="H22" s="20" t="s">
        <v>41</v>
      </c>
      <c r="I22" s="35">
        <f>IF(AND(catpn_1_OLHB_1&gt;0,catpn_1_OLHV_40&gt;0),(cattf_1_OLHB_1*((dagenperjaar1*VLOOKUP(B22,dagsoorttabel1,2,FALSE))-catfd_1_OLHV_40)/catpn_1_OLHB_1+cattf_1_OLHV_40*catfd_1_OLHV_40/catpn_1_OLHV_40)/(((dagenperjaar1*VLOOKUP(B22,dagsoorttabel1,2,FALSE))-catfd_1_OLHV_40)/catpn_1_OLHB_1+catfd_1_OLHV_40/catpn_1_OLHV_40),0)</f>
        <v>0</v>
      </c>
      <c r="J22" s="33">
        <f t="shared" si="1"/>
        <v>0</v>
      </c>
      <c r="K22" s="35">
        <f t="shared" si="2"/>
        <v>0</v>
      </c>
      <c r="L22" s="33">
        <f t="shared" si="3"/>
        <v>0</v>
      </c>
      <c r="M22" s="35">
        <f t="shared" si="4"/>
        <v>0</v>
      </c>
    </row>
    <row r="23" spans="1:13" x14ac:dyDescent="0.2">
      <c r="A23" s="20" t="s">
        <v>159</v>
      </c>
      <c r="B23" s="20" t="s">
        <v>11</v>
      </c>
      <c r="C23" s="20" t="s">
        <v>133</v>
      </c>
      <c r="D23" s="20" t="s">
        <v>160</v>
      </c>
      <c r="E23" s="33">
        <v>72</v>
      </c>
      <c r="F23" s="33">
        <f t="shared" si="0"/>
        <v>56.470588235294116</v>
      </c>
      <c r="G23" s="34">
        <f>IF(AND(catpn_1_PHB_1&gt;0,catpn_1_PHV_40&gt;0),(dagenperjaar1*VLOOKUP(B23,dagsoorttabel1,2,FALSE))/(((dagenperjaar1*VLOOKUP(B23,dagsoorttabel1,2,FALSE))-catfd_1_PHV_40)/catpn_1_PHB_1+catfd_1_PHV_40/catpn_1_PHV_40),0)</f>
        <v>0</v>
      </c>
      <c r="H23" s="20" t="s">
        <v>41</v>
      </c>
      <c r="I23" s="35">
        <f>IF(AND(catpn_1_PHB_1&gt;0,catpn_1_PHV_40&gt;0),(cattf_1_PHB_1*((dagenperjaar1*VLOOKUP(B23,dagsoorttabel1,2,FALSE))-catfd_1_PHV_40)/catpn_1_PHB_1+cattf_1_PHV_40*catfd_1_PHV_40/catpn_1_PHV_40)/(((dagenperjaar1*VLOOKUP(B23,dagsoorttabel1,2,FALSE))-catfd_1_PHV_40)/catpn_1_PHB_1+catfd_1_PHV_40/catpn_1_PHV_40),0)</f>
        <v>0</v>
      </c>
      <c r="J23" s="33">
        <f t="shared" si="1"/>
        <v>0</v>
      </c>
      <c r="K23" s="35">
        <f t="shared" si="2"/>
        <v>0</v>
      </c>
      <c r="L23" s="33">
        <f t="shared" si="3"/>
        <v>0</v>
      </c>
      <c r="M23" s="35">
        <f t="shared" si="4"/>
        <v>0</v>
      </c>
    </row>
    <row r="24" spans="1:13" x14ac:dyDescent="0.2">
      <c r="A24" s="20" t="s">
        <v>161</v>
      </c>
      <c r="B24" s="20" t="s">
        <v>11</v>
      </c>
      <c r="C24" s="20" t="s">
        <v>133</v>
      </c>
      <c r="D24" s="20" t="s">
        <v>162</v>
      </c>
      <c r="E24" s="33">
        <v>217</v>
      </c>
      <c r="F24" s="33">
        <f t="shared" si="0"/>
        <v>170.19607843137254</v>
      </c>
      <c r="G24" s="34">
        <f>IF(AND(catpn_1_PMHB_1&gt;0,catpn_1_PMHV_40&gt;0),(dagenperjaar1*VLOOKUP(B24,dagsoorttabel1,2,FALSE))/(((dagenperjaar1*VLOOKUP(B24,dagsoorttabel1,2,FALSE))-catfd_1_PMHV_40)/catpn_1_PMHB_1+catfd_1_PMHV_40/catpn_1_PMHV_40),0)</f>
        <v>0</v>
      </c>
      <c r="H24" s="20" t="s">
        <v>41</v>
      </c>
      <c r="I24" s="35">
        <f>IF(AND(catpn_1_PMHB_1&gt;0,catpn_1_PMHV_40&gt;0),(cattf_1_PMHB_1*((dagenperjaar1*VLOOKUP(B24,dagsoorttabel1,2,FALSE))-catfd_1_PMHV_40)/catpn_1_PMHB_1+cattf_1_PMHV_40*catfd_1_PMHV_40/catpn_1_PMHV_40)/(((dagenperjaar1*VLOOKUP(B24,dagsoorttabel1,2,FALSE))-catfd_1_PMHV_40)/catpn_1_PMHB_1+catfd_1_PMHV_40/catpn_1_PMHV_40),0)</f>
        <v>0</v>
      </c>
      <c r="J24" s="33">
        <f t="shared" si="1"/>
        <v>0</v>
      </c>
      <c r="K24" s="35">
        <f t="shared" si="2"/>
        <v>0</v>
      </c>
      <c r="L24" s="33">
        <f t="shared" si="3"/>
        <v>0</v>
      </c>
      <c r="M24" s="35">
        <f t="shared" si="4"/>
        <v>0</v>
      </c>
    </row>
    <row r="25" spans="1:13" x14ac:dyDescent="0.2">
      <c r="A25" s="20" t="s">
        <v>163</v>
      </c>
      <c r="B25" s="20" t="s">
        <v>11</v>
      </c>
      <c r="C25" s="20" t="s">
        <v>133</v>
      </c>
      <c r="D25" s="20" t="s">
        <v>164</v>
      </c>
      <c r="E25" s="33">
        <v>131</v>
      </c>
      <c r="F25" s="33">
        <f t="shared" si="0"/>
        <v>102.74509803921569</v>
      </c>
      <c r="G25" s="34">
        <f>IF(AND(catpn_1_PMZB_1&gt;0,catpn_1_PMZV_40&gt;0),(dagenperjaar1*VLOOKUP(B25,dagsoorttabel1,2,FALSE))/(((dagenperjaar1*VLOOKUP(B25,dagsoorttabel1,2,FALSE))-catfd_1_PMZV_40)/catpn_1_PMZB_1+catfd_1_PMZV_40/catpn_1_PMZV_40),0)</f>
        <v>0</v>
      </c>
      <c r="H25" s="20" t="s">
        <v>41</v>
      </c>
      <c r="I25" s="35">
        <f>IF(AND(catpn_1_PMZB_1&gt;0,catpn_1_PMZV_40&gt;0),(cattf_1_PMZB_1*((dagenperjaar1*VLOOKUP(B25,dagsoorttabel1,2,FALSE))-catfd_1_PMZV_40)/catpn_1_PMZB_1+cattf_1_PMZV_40*catfd_1_PMZV_40/catpn_1_PMZV_40)/(((dagenperjaar1*VLOOKUP(B25,dagsoorttabel1,2,FALSE))-catfd_1_PMZV_40)/catpn_1_PMZB_1+catfd_1_PMZV_40/catpn_1_PMZV_40),0)</f>
        <v>0</v>
      </c>
      <c r="J25" s="33">
        <f t="shared" si="1"/>
        <v>0</v>
      </c>
      <c r="K25" s="35">
        <f t="shared" si="2"/>
        <v>0</v>
      </c>
      <c r="L25" s="33">
        <f t="shared" si="3"/>
        <v>0</v>
      </c>
      <c r="M25" s="35">
        <f t="shared" si="4"/>
        <v>0</v>
      </c>
    </row>
    <row r="26" spans="1:13" x14ac:dyDescent="0.2">
      <c r="A26" s="20" t="s">
        <v>165</v>
      </c>
      <c r="B26" s="20" t="s">
        <v>11</v>
      </c>
      <c r="C26" s="20" t="s">
        <v>133</v>
      </c>
      <c r="D26" s="20" t="s">
        <v>166</v>
      </c>
      <c r="E26" s="33">
        <v>663</v>
      </c>
      <c r="F26" s="33">
        <f t="shared" si="0"/>
        <v>520</v>
      </c>
      <c r="G26" s="34">
        <f>IF(AND(catpn_1_PUHB_1&gt;0,catpn_1_PUHV_40&gt;0),(dagenperjaar1*VLOOKUP(B26,dagsoorttabel1,2,FALSE))/(((dagenperjaar1*VLOOKUP(B26,dagsoorttabel1,2,FALSE))-catfd_1_PUHV_40)/catpn_1_PUHB_1+catfd_1_PUHV_40/catpn_1_PUHV_40),0)</f>
        <v>0</v>
      </c>
      <c r="H26" s="20" t="s">
        <v>41</v>
      </c>
      <c r="I26" s="35">
        <f>IF(AND(catpn_1_PUHB_1&gt;0,catpn_1_PUHV_40&gt;0),(cattf_1_PUHB_1*((dagenperjaar1*VLOOKUP(B26,dagsoorttabel1,2,FALSE))-catfd_1_PUHV_40)/catpn_1_PUHB_1+cattf_1_PUHV_40*catfd_1_PUHV_40/catpn_1_PUHV_40)/(((dagenperjaar1*VLOOKUP(B26,dagsoorttabel1,2,FALSE))-catfd_1_PUHV_40)/catpn_1_PUHB_1+catfd_1_PUHV_40/catpn_1_PUHV_40),0)</f>
        <v>0</v>
      </c>
      <c r="J26" s="33">
        <f t="shared" si="1"/>
        <v>0</v>
      </c>
      <c r="K26" s="35">
        <f t="shared" si="2"/>
        <v>0</v>
      </c>
      <c r="L26" s="33">
        <f t="shared" si="3"/>
        <v>0</v>
      </c>
      <c r="M26" s="35">
        <f t="shared" si="4"/>
        <v>0</v>
      </c>
    </row>
    <row r="27" spans="1:13" x14ac:dyDescent="0.2">
      <c r="A27" s="20" t="s">
        <v>167</v>
      </c>
      <c r="B27" s="20" t="s">
        <v>11</v>
      </c>
      <c r="C27" s="20" t="s">
        <v>133</v>
      </c>
      <c r="D27" s="20" t="s">
        <v>168</v>
      </c>
      <c r="E27" s="33">
        <v>647.98</v>
      </c>
      <c r="F27" s="33">
        <f t="shared" si="0"/>
        <v>508.21960784313728</v>
      </c>
      <c r="G27" s="34">
        <f>IF(AND(catpn_1_SHB_1&gt;0,catpn_1_SHV_40&gt;0),(dagenperjaar1*VLOOKUP(B27,dagsoorttabel1,2,FALSE))/(((dagenperjaar1*VLOOKUP(B27,dagsoorttabel1,2,FALSE))-catfd_1_SHV_40)/catpn_1_SHB_1+catfd_1_SHV_40/catpn_1_SHV_40),0)</f>
        <v>0</v>
      </c>
      <c r="H27" s="20" t="s">
        <v>41</v>
      </c>
      <c r="I27" s="35">
        <f>IF(AND(catpn_1_SHB_1&gt;0,catpn_1_SHV_40&gt;0),(cattf_1_SHB_1*((dagenperjaar1*VLOOKUP(B27,dagsoorttabel1,2,FALSE))-catfd_1_SHV_40)/catpn_1_SHB_1+cattf_1_SHV_40*catfd_1_SHV_40/catpn_1_SHV_40)/(((dagenperjaar1*VLOOKUP(B27,dagsoorttabel1,2,FALSE))-catfd_1_SHV_40)/catpn_1_SHB_1+catfd_1_SHV_40/catpn_1_SHV_40),0)</f>
        <v>0</v>
      </c>
      <c r="J27" s="33">
        <f t="shared" si="1"/>
        <v>0</v>
      </c>
      <c r="K27" s="35">
        <f t="shared" si="2"/>
        <v>0</v>
      </c>
      <c r="L27" s="33">
        <f t="shared" si="3"/>
        <v>0</v>
      </c>
      <c r="M27" s="35">
        <f t="shared" si="4"/>
        <v>0</v>
      </c>
    </row>
    <row r="28" spans="1:13" x14ac:dyDescent="0.2">
      <c r="A28" s="20" t="s">
        <v>169</v>
      </c>
      <c r="B28" s="20" t="s">
        <v>11</v>
      </c>
      <c r="C28" s="20" t="s">
        <v>133</v>
      </c>
      <c r="D28" s="20" t="s">
        <v>170</v>
      </c>
      <c r="E28" s="33">
        <v>1018.1399999999999</v>
      </c>
      <c r="F28" s="33">
        <f t="shared" si="0"/>
        <v>798.54117647058808</v>
      </c>
      <c r="G28" s="34">
        <f>IF(AND(catpn_1_THB_1&gt;0,catpn_1_THV_40&gt;0),(dagenperjaar1*VLOOKUP(B28,dagsoorttabel1,2,FALSE))/(((dagenperjaar1*VLOOKUP(B28,dagsoorttabel1,2,FALSE))-catfd_1_THV_40)/catpn_1_THB_1+catfd_1_THV_40/catpn_1_THV_40),0)</f>
        <v>0</v>
      </c>
      <c r="H28" s="20" t="s">
        <v>41</v>
      </c>
      <c r="I28" s="35">
        <f>IF(AND(catpn_1_THB_1&gt;0,catpn_1_THV_40&gt;0),(cattf_1_THB_1*((dagenperjaar1*VLOOKUP(B28,dagsoorttabel1,2,FALSE))-catfd_1_THV_40)/catpn_1_THB_1+cattf_1_THV_40*catfd_1_THV_40/catpn_1_THV_40)/(((dagenperjaar1*VLOOKUP(B28,dagsoorttabel1,2,FALSE))-catfd_1_THV_40)/catpn_1_THB_1+catfd_1_THV_40/catpn_1_THV_40),0)</f>
        <v>0</v>
      </c>
      <c r="J28" s="33">
        <f t="shared" si="1"/>
        <v>0</v>
      </c>
      <c r="K28" s="35">
        <f t="shared" si="2"/>
        <v>0</v>
      </c>
      <c r="L28" s="33">
        <f t="shared" si="3"/>
        <v>0</v>
      </c>
      <c r="M28" s="35">
        <f t="shared" si="4"/>
        <v>0</v>
      </c>
    </row>
    <row r="29" spans="1:13" x14ac:dyDescent="0.2">
      <c r="A29" s="20" t="s">
        <v>171</v>
      </c>
      <c r="B29" s="20" t="s">
        <v>11</v>
      </c>
      <c r="C29" s="20" t="s">
        <v>133</v>
      </c>
      <c r="D29" s="20" t="s">
        <v>172</v>
      </c>
      <c r="E29" s="33">
        <v>3931.6400000000003</v>
      </c>
      <c r="F29" s="33">
        <f t="shared" si="0"/>
        <v>3083.6392156862748</v>
      </c>
      <c r="G29" s="34">
        <f>IF(AND(catpn_1_VHB_1&gt;0,catpn_1_VHV_40&gt;0),(dagenperjaar1*VLOOKUP(B29,dagsoorttabel1,2,FALSE))/(((dagenperjaar1*VLOOKUP(B29,dagsoorttabel1,2,FALSE))-catfd_1_VHV_40)/catpn_1_VHB_1+catfd_1_VHV_40/catpn_1_VHV_40),0)</f>
        <v>0</v>
      </c>
      <c r="H29" s="20" t="s">
        <v>41</v>
      </c>
      <c r="I29" s="35">
        <f>IF(AND(catpn_1_VHB_1&gt;0,catpn_1_VHV_40&gt;0),(cattf_1_VHB_1*((dagenperjaar1*VLOOKUP(B29,dagsoorttabel1,2,FALSE))-catfd_1_VHV_40)/catpn_1_VHB_1+cattf_1_VHV_40*catfd_1_VHV_40/catpn_1_VHV_40)/(((dagenperjaar1*VLOOKUP(B29,dagsoorttabel1,2,FALSE))-catfd_1_VHV_40)/catpn_1_VHB_1+catfd_1_VHV_40/catpn_1_VHV_40),0)</f>
        <v>0</v>
      </c>
      <c r="J29" s="33">
        <f t="shared" si="1"/>
        <v>0</v>
      </c>
      <c r="K29" s="35">
        <f t="shared" si="2"/>
        <v>0</v>
      </c>
      <c r="L29" s="33">
        <f t="shared" si="3"/>
        <v>0</v>
      </c>
      <c r="M29" s="35">
        <f t="shared" si="4"/>
        <v>0</v>
      </c>
    </row>
    <row r="30" spans="1:13" x14ac:dyDescent="0.2">
      <c r="A30" s="25" t="s">
        <v>173</v>
      </c>
      <c r="B30" s="25" t="s">
        <v>12</v>
      </c>
      <c r="C30" s="25" t="s">
        <v>174</v>
      </c>
      <c r="D30" s="25" t="s">
        <v>175</v>
      </c>
      <c r="E30" s="36">
        <v>1599.8200000000002</v>
      </c>
      <c r="F30" s="36">
        <f t="shared" si="0"/>
        <v>1003.8086274509805</v>
      </c>
      <c r="G30" s="37"/>
      <c r="H30" s="25" t="s">
        <v>41</v>
      </c>
      <c r="I30" s="29"/>
      <c r="J30" s="36">
        <f t="shared" si="1"/>
        <v>0</v>
      </c>
      <c r="K30" s="38">
        <f t="shared" si="2"/>
        <v>0</v>
      </c>
      <c r="L30" s="36">
        <f t="shared" si="3"/>
        <v>0</v>
      </c>
      <c r="M30" s="38">
        <f t="shared" si="4"/>
        <v>0</v>
      </c>
    </row>
    <row r="31" spans="1:13" x14ac:dyDescent="0.2">
      <c r="A31" s="40" t="s">
        <v>176</v>
      </c>
      <c r="B31" s="41"/>
      <c r="C31" s="41"/>
      <c r="D31" s="41"/>
      <c r="E31" s="41"/>
      <c r="F31" s="41"/>
      <c r="G31" s="41"/>
      <c r="H31" s="41"/>
      <c r="I31" s="41"/>
      <c r="J31" s="42">
        <f>SUM(J6:J30)</f>
        <v>0</v>
      </c>
      <c r="K31" s="43">
        <f>SUM(K6:K30)</f>
        <v>0</v>
      </c>
      <c r="L31" s="42">
        <f>SUM(L6:L30)</f>
        <v>0</v>
      </c>
      <c r="M31" s="44">
        <f>SUM(M6:M30)</f>
        <v>0</v>
      </c>
    </row>
    <row r="32" spans="1:13" x14ac:dyDescent="0.2">
      <c r="A32" s="45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6"/>
    </row>
    <row r="33" spans="1:13" x14ac:dyDescent="0.2">
      <c r="A33" s="40" t="s">
        <v>177</v>
      </c>
      <c r="B33" s="41"/>
      <c r="C33" s="41"/>
      <c r="D33" s="41"/>
      <c r="E33" s="41"/>
      <c r="F33" s="41"/>
      <c r="G33" s="41"/>
      <c r="H33" s="41"/>
      <c r="I33" s="43">
        <f>IF(urenjaar1&gt;0,SUMIF(L6:L30,"&gt;0",M6:M30)/urenjaar1,0)</f>
        <v>0</v>
      </c>
      <c r="J33" s="41"/>
      <c r="K33" s="41"/>
      <c r="L33" s="41"/>
      <c r="M33" s="46"/>
    </row>
    <row r="34" spans="1:13" x14ac:dyDescent="0.2">
      <c r="A34" s="45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6"/>
    </row>
    <row r="36" spans="1:13" x14ac:dyDescent="0.2">
      <c r="A36" s="40" t="s">
        <v>178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2">
        <f>urenjaar1</f>
        <v>0</v>
      </c>
      <c r="M36" s="43">
        <f>prijsjaar1</f>
        <v>0</v>
      </c>
    </row>
  </sheetData>
  <sheetProtection algorithmName="SHA-512" hashValue="cy5unmp9/ZIsCOoYESIgGT0jAes3acwKuQEuI9tAe5APvx8jS+bIKIWeqEjhpPj/sUBQ7KFX6kjHcYvw17k8Xg==" saltValue="+dDqipI6jETsvYP4AcqDxg==" spinCount="100000" sheet="1" objects="1" scenarios="1" autoFilter="0"/>
  <pageMargins left="0.7" right="0.7" top="0.75" bottom="0.75" header="0.3" footer="0.3"/>
  <pageSetup scale="70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FFC5F-28E6-4D1B-A57F-B250DD38FD70}">
  <dimension ref="A1:R572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1" width="10.625" customWidth="1"/>
    <col min="12" max="12" width="11.625" customWidth="1"/>
    <col min="13" max="13" width="9.625" customWidth="1"/>
    <col min="14" max="16" width="11.625" customWidth="1"/>
    <col min="17" max="17" width="12.625" customWidth="1"/>
    <col min="18" max="18" width="14.625" customWidth="1"/>
  </cols>
  <sheetData>
    <row r="1" spans="1:18" x14ac:dyDescent="0.2">
      <c r="A1" s="1" t="str">
        <f>CONCATENATE("Bijlage H.3: ",tabeltype," ruimten werkdag")</f>
        <v>Bijlage H.3: Invultabel ruimten werkdag</v>
      </c>
    </row>
    <row r="3" spans="1:18" ht="38.25" x14ac:dyDescent="0.2">
      <c r="A3" s="47" t="s">
        <v>179</v>
      </c>
      <c r="B3" s="8" t="s">
        <v>180</v>
      </c>
      <c r="C3" s="8" t="s">
        <v>181</v>
      </c>
      <c r="D3" s="8" t="s">
        <v>182</v>
      </c>
      <c r="E3" s="8" t="s">
        <v>183</v>
      </c>
      <c r="F3" s="8" t="s">
        <v>184</v>
      </c>
      <c r="G3" s="8" t="s">
        <v>124</v>
      </c>
      <c r="H3" s="8" t="s">
        <v>7</v>
      </c>
      <c r="I3" s="8" t="s">
        <v>185</v>
      </c>
      <c r="J3" s="8" t="s">
        <v>126</v>
      </c>
      <c r="K3" s="8" t="s">
        <v>127</v>
      </c>
      <c r="L3" s="8" t="s">
        <v>33</v>
      </c>
      <c r="M3" s="8" t="s">
        <v>35</v>
      </c>
      <c r="N3" s="8" t="s">
        <v>36</v>
      </c>
      <c r="O3" s="8" t="s">
        <v>128</v>
      </c>
      <c r="P3" s="8" t="s">
        <v>129</v>
      </c>
      <c r="Q3" s="8" t="s">
        <v>130</v>
      </c>
      <c r="R3" s="48" t="s">
        <v>131</v>
      </c>
    </row>
    <row r="4" spans="1:18" x14ac:dyDescent="0.2">
      <c r="A4" s="49" t="s">
        <v>186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9"/>
    </row>
    <row r="5" spans="1:18" x14ac:dyDescent="0.2">
      <c r="A5" s="50" t="s">
        <v>187</v>
      </c>
      <c r="B5" s="51" t="s">
        <v>188</v>
      </c>
      <c r="C5" s="51" t="s">
        <v>189</v>
      </c>
      <c r="D5" s="51" t="s">
        <v>190</v>
      </c>
      <c r="E5" s="52" t="s">
        <v>191</v>
      </c>
      <c r="F5" s="51" t="s">
        <v>192</v>
      </c>
      <c r="G5" s="51" t="s">
        <v>163</v>
      </c>
      <c r="H5" s="51" t="s">
        <v>11</v>
      </c>
      <c r="I5" s="51" t="s">
        <v>133</v>
      </c>
      <c r="J5" s="53">
        <v>131</v>
      </c>
      <c r="K5" s="53">
        <f t="shared" ref="K5:K68" si="0">J5*VLOOKUP(H5,dagsoorttabel1,2,FALSE)</f>
        <v>102.74509803921569</v>
      </c>
      <c r="L5" s="54">
        <f>prodnorm41</f>
        <v>0</v>
      </c>
      <c r="M5" s="51" t="s">
        <v>41</v>
      </c>
      <c r="N5" s="55">
        <f>uurtarief41</f>
        <v>0</v>
      </c>
      <c r="O5" s="53" t="e">
        <f t="shared" ref="O5:O68" si="1">IF(ISBLANK(L5),0,K5/ROUND(L5,4))</f>
        <v>#DIV/0!</v>
      </c>
      <c r="P5" s="55" t="e">
        <f t="shared" ref="P5:P68" si="2">ROUND(N5,2)*O5</f>
        <v>#DIV/0!</v>
      </c>
      <c r="Q5" s="53" t="e">
        <f t="shared" ref="Q5:Q68" si="3">O5*dagenperjaar1</f>
        <v>#DIV/0!</v>
      </c>
      <c r="R5" s="56" t="e">
        <f t="shared" ref="R5:R68" si="4">Q5*ROUND(N5,2)</f>
        <v>#DIV/0!</v>
      </c>
    </row>
    <row r="6" spans="1:18" x14ac:dyDescent="0.2">
      <c r="A6" s="57" t="s">
        <v>187</v>
      </c>
      <c r="B6" s="58" t="s">
        <v>188</v>
      </c>
      <c r="C6" s="58" t="s">
        <v>193</v>
      </c>
      <c r="D6" s="58" t="s">
        <v>194</v>
      </c>
      <c r="E6" s="59" t="s">
        <v>195</v>
      </c>
      <c r="F6" s="58" t="s">
        <v>196</v>
      </c>
      <c r="G6" s="58" t="s">
        <v>143</v>
      </c>
      <c r="H6" s="58" t="s">
        <v>11</v>
      </c>
      <c r="I6" s="58" t="s">
        <v>133</v>
      </c>
      <c r="J6" s="60">
        <v>11</v>
      </c>
      <c r="K6" s="60">
        <f t="shared" si="0"/>
        <v>8.6274509803921564</v>
      </c>
      <c r="L6" s="61">
        <f>prodnorm29</f>
        <v>0</v>
      </c>
      <c r="M6" s="58" t="s">
        <v>41</v>
      </c>
      <c r="N6" s="62">
        <f>uurtarief29</f>
        <v>0</v>
      </c>
      <c r="O6" s="60" t="e">
        <f t="shared" si="1"/>
        <v>#DIV/0!</v>
      </c>
      <c r="P6" s="62" t="e">
        <f t="shared" si="2"/>
        <v>#DIV/0!</v>
      </c>
      <c r="Q6" s="60" t="e">
        <f t="shared" si="3"/>
        <v>#DIV/0!</v>
      </c>
      <c r="R6" s="63" t="e">
        <f t="shared" si="4"/>
        <v>#DIV/0!</v>
      </c>
    </row>
    <row r="7" spans="1:18" x14ac:dyDescent="0.2">
      <c r="A7" s="57" t="s">
        <v>187</v>
      </c>
      <c r="B7" s="58" t="s">
        <v>188</v>
      </c>
      <c r="C7" s="58" t="s">
        <v>193</v>
      </c>
      <c r="D7" s="58" t="s">
        <v>197</v>
      </c>
      <c r="E7" s="59" t="s">
        <v>198</v>
      </c>
      <c r="F7" s="58" t="s">
        <v>199</v>
      </c>
      <c r="G7" s="58" t="s">
        <v>171</v>
      </c>
      <c r="H7" s="58" t="s">
        <v>11</v>
      </c>
      <c r="I7" s="58" t="s">
        <v>133</v>
      </c>
      <c r="J7" s="60">
        <v>81</v>
      </c>
      <c r="K7" s="60">
        <f t="shared" si="0"/>
        <v>63.529411764705884</v>
      </c>
      <c r="L7" s="61">
        <f>prodnorm45</f>
        <v>0</v>
      </c>
      <c r="M7" s="58" t="s">
        <v>41</v>
      </c>
      <c r="N7" s="62">
        <f>uurtarief45</f>
        <v>0</v>
      </c>
      <c r="O7" s="60" t="e">
        <f t="shared" si="1"/>
        <v>#DIV/0!</v>
      </c>
      <c r="P7" s="62" t="e">
        <f t="shared" si="2"/>
        <v>#DIV/0!</v>
      </c>
      <c r="Q7" s="60" t="e">
        <f t="shared" si="3"/>
        <v>#DIV/0!</v>
      </c>
      <c r="R7" s="63" t="e">
        <f t="shared" si="4"/>
        <v>#DIV/0!</v>
      </c>
    </row>
    <row r="8" spans="1:18" x14ac:dyDescent="0.2">
      <c r="A8" s="57" t="s">
        <v>187</v>
      </c>
      <c r="B8" s="58" t="s">
        <v>188</v>
      </c>
      <c r="C8" s="58" t="s">
        <v>193</v>
      </c>
      <c r="D8" s="58" t="s">
        <v>200</v>
      </c>
      <c r="E8" s="59" t="s">
        <v>201</v>
      </c>
      <c r="F8" s="58" t="s">
        <v>192</v>
      </c>
      <c r="G8" s="58" t="s">
        <v>153</v>
      </c>
      <c r="H8" s="58" t="s">
        <v>11</v>
      </c>
      <c r="I8" s="58" t="s">
        <v>133</v>
      </c>
      <c r="J8" s="60">
        <v>62</v>
      </c>
      <c r="K8" s="60">
        <f t="shared" si="0"/>
        <v>48.627450980392155</v>
      </c>
      <c r="L8" s="61">
        <f>prodnorm36</f>
        <v>0</v>
      </c>
      <c r="M8" s="58" t="s">
        <v>41</v>
      </c>
      <c r="N8" s="62">
        <f>uurtarief36</f>
        <v>0</v>
      </c>
      <c r="O8" s="60" t="e">
        <f t="shared" si="1"/>
        <v>#DIV/0!</v>
      </c>
      <c r="P8" s="62" t="e">
        <f t="shared" si="2"/>
        <v>#DIV/0!</v>
      </c>
      <c r="Q8" s="60" t="e">
        <f t="shared" si="3"/>
        <v>#DIV/0!</v>
      </c>
      <c r="R8" s="63" t="e">
        <f t="shared" si="4"/>
        <v>#DIV/0!</v>
      </c>
    </row>
    <row r="9" spans="1:18" x14ac:dyDescent="0.2">
      <c r="A9" s="57" t="s">
        <v>187</v>
      </c>
      <c r="B9" s="58" t="s">
        <v>188</v>
      </c>
      <c r="C9" s="58" t="s">
        <v>193</v>
      </c>
      <c r="D9" s="58" t="s">
        <v>202</v>
      </c>
      <c r="E9" s="59" t="s">
        <v>203</v>
      </c>
      <c r="F9" s="58" t="s">
        <v>192</v>
      </c>
      <c r="G9" s="58" t="s">
        <v>173</v>
      </c>
      <c r="H9" s="58" t="s">
        <v>12</v>
      </c>
      <c r="I9" s="58" t="s">
        <v>174</v>
      </c>
      <c r="J9" s="60">
        <v>23</v>
      </c>
      <c r="K9" s="60">
        <f t="shared" si="0"/>
        <v>14.431372549019608</v>
      </c>
      <c r="L9" s="61">
        <f>prodnorm21</f>
        <v>0</v>
      </c>
      <c r="M9" s="58" t="s">
        <v>41</v>
      </c>
      <c r="N9" s="62">
        <f>uurtarief21</f>
        <v>0</v>
      </c>
      <c r="O9" s="60" t="e">
        <f t="shared" si="1"/>
        <v>#DIV/0!</v>
      </c>
      <c r="P9" s="62" t="e">
        <f t="shared" si="2"/>
        <v>#DIV/0!</v>
      </c>
      <c r="Q9" s="60" t="e">
        <f t="shared" si="3"/>
        <v>#DIV/0!</v>
      </c>
      <c r="R9" s="63" t="e">
        <f t="shared" si="4"/>
        <v>#DIV/0!</v>
      </c>
    </row>
    <row r="10" spans="1:18" x14ac:dyDescent="0.2">
      <c r="A10" s="57" t="s">
        <v>187</v>
      </c>
      <c r="B10" s="58" t="s">
        <v>188</v>
      </c>
      <c r="C10" s="58" t="s">
        <v>193</v>
      </c>
      <c r="D10" s="58" t="s">
        <v>202</v>
      </c>
      <c r="E10" s="59" t="s">
        <v>203</v>
      </c>
      <c r="F10" s="58" t="s">
        <v>192</v>
      </c>
      <c r="G10" s="58" t="s">
        <v>135</v>
      </c>
      <c r="H10" s="58" t="s">
        <v>18</v>
      </c>
      <c r="I10" s="58" t="s">
        <v>133</v>
      </c>
      <c r="J10" s="60">
        <v>23</v>
      </c>
      <c r="K10" s="60">
        <f t="shared" si="0"/>
        <v>3.607843137254902</v>
      </c>
      <c r="L10" s="61">
        <f>prodnorm24</f>
        <v>0</v>
      </c>
      <c r="M10" s="58" t="s">
        <v>41</v>
      </c>
      <c r="N10" s="62">
        <f>uurtarief24</f>
        <v>0</v>
      </c>
      <c r="O10" s="60" t="e">
        <f t="shared" si="1"/>
        <v>#DIV/0!</v>
      </c>
      <c r="P10" s="62" t="e">
        <f t="shared" si="2"/>
        <v>#DIV/0!</v>
      </c>
      <c r="Q10" s="60" t="e">
        <f t="shared" si="3"/>
        <v>#DIV/0!</v>
      </c>
      <c r="R10" s="63" t="e">
        <f t="shared" si="4"/>
        <v>#DIV/0!</v>
      </c>
    </row>
    <row r="11" spans="1:18" x14ac:dyDescent="0.2">
      <c r="A11" s="57" t="s">
        <v>187</v>
      </c>
      <c r="B11" s="58" t="s">
        <v>188</v>
      </c>
      <c r="C11" s="58" t="s">
        <v>193</v>
      </c>
      <c r="D11" s="58" t="s">
        <v>204</v>
      </c>
      <c r="E11" s="59" t="s">
        <v>205</v>
      </c>
      <c r="F11" s="58" t="s">
        <v>192</v>
      </c>
      <c r="G11" s="58" t="s">
        <v>173</v>
      </c>
      <c r="H11" s="58" t="s">
        <v>12</v>
      </c>
      <c r="I11" s="58" t="s">
        <v>174</v>
      </c>
      <c r="J11" s="60">
        <v>20</v>
      </c>
      <c r="K11" s="60">
        <f t="shared" si="0"/>
        <v>12.549019607843137</v>
      </c>
      <c r="L11" s="61">
        <f>prodnorm21</f>
        <v>0</v>
      </c>
      <c r="M11" s="58" t="s">
        <v>41</v>
      </c>
      <c r="N11" s="62">
        <f>uurtarief21</f>
        <v>0</v>
      </c>
      <c r="O11" s="60" t="e">
        <f t="shared" si="1"/>
        <v>#DIV/0!</v>
      </c>
      <c r="P11" s="62" t="e">
        <f t="shared" si="2"/>
        <v>#DIV/0!</v>
      </c>
      <c r="Q11" s="60" t="e">
        <f t="shared" si="3"/>
        <v>#DIV/0!</v>
      </c>
      <c r="R11" s="63" t="e">
        <f t="shared" si="4"/>
        <v>#DIV/0!</v>
      </c>
    </row>
    <row r="12" spans="1:18" x14ac:dyDescent="0.2">
      <c r="A12" s="57" t="s">
        <v>187</v>
      </c>
      <c r="B12" s="58" t="s">
        <v>188</v>
      </c>
      <c r="C12" s="58" t="s">
        <v>193</v>
      </c>
      <c r="D12" s="58" t="s">
        <v>204</v>
      </c>
      <c r="E12" s="59" t="s">
        <v>205</v>
      </c>
      <c r="F12" s="58" t="s">
        <v>192</v>
      </c>
      <c r="G12" s="58" t="s">
        <v>135</v>
      </c>
      <c r="H12" s="58" t="s">
        <v>18</v>
      </c>
      <c r="I12" s="58" t="s">
        <v>133</v>
      </c>
      <c r="J12" s="60">
        <v>20</v>
      </c>
      <c r="K12" s="60">
        <f t="shared" si="0"/>
        <v>3.1372549019607843</v>
      </c>
      <c r="L12" s="61">
        <f>prodnorm24</f>
        <v>0</v>
      </c>
      <c r="M12" s="58" t="s">
        <v>41</v>
      </c>
      <c r="N12" s="62">
        <f>uurtarief24</f>
        <v>0</v>
      </c>
      <c r="O12" s="60" t="e">
        <f t="shared" si="1"/>
        <v>#DIV/0!</v>
      </c>
      <c r="P12" s="62" t="e">
        <f t="shared" si="2"/>
        <v>#DIV/0!</v>
      </c>
      <c r="Q12" s="60" t="e">
        <f t="shared" si="3"/>
        <v>#DIV/0!</v>
      </c>
      <c r="R12" s="63" t="e">
        <f t="shared" si="4"/>
        <v>#DIV/0!</v>
      </c>
    </row>
    <row r="13" spans="1:18" x14ac:dyDescent="0.2">
      <c r="A13" s="57" t="s">
        <v>187</v>
      </c>
      <c r="B13" s="58" t="s">
        <v>188</v>
      </c>
      <c r="C13" s="58" t="s">
        <v>193</v>
      </c>
      <c r="D13" s="58" t="s">
        <v>206</v>
      </c>
      <c r="E13" s="59" t="s">
        <v>207</v>
      </c>
      <c r="F13" s="58" t="s">
        <v>199</v>
      </c>
      <c r="G13" s="58" t="s">
        <v>171</v>
      </c>
      <c r="H13" s="58" t="s">
        <v>11</v>
      </c>
      <c r="I13" s="58" t="s">
        <v>133</v>
      </c>
      <c r="J13" s="60">
        <v>32</v>
      </c>
      <c r="K13" s="60">
        <f t="shared" si="0"/>
        <v>25.098039215686274</v>
      </c>
      <c r="L13" s="61">
        <f>prodnorm45</f>
        <v>0</v>
      </c>
      <c r="M13" s="58" t="s">
        <v>41</v>
      </c>
      <c r="N13" s="62">
        <f>uurtarief45</f>
        <v>0</v>
      </c>
      <c r="O13" s="60" t="e">
        <f t="shared" si="1"/>
        <v>#DIV/0!</v>
      </c>
      <c r="P13" s="62" t="e">
        <f t="shared" si="2"/>
        <v>#DIV/0!</v>
      </c>
      <c r="Q13" s="60" t="e">
        <f t="shared" si="3"/>
        <v>#DIV/0!</v>
      </c>
      <c r="R13" s="63" t="e">
        <f t="shared" si="4"/>
        <v>#DIV/0!</v>
      </c>
    </row>
    <row r="14" spans="1:18" x14ac:dyDescent="0.2">
      <c r="A14" s="57" t="s">
        <v>187</v>
      </c>
      <c r="B14" s="58" t="s">
        <v>188</v>
      </c>
      <c r="C14" s="58" t="s">
        <v>193</v>
      </c>
      <c r="D14" s="58" t="s">
        <v>208</v>
      </c>
      <c r="E14" s="59" t="s">
        <v>209</v>
      </c>
      <c r="F14" s="58" t="s">
        <v>199</v>
      </c>
      <c r="G14" s="58" t="s">
        <v>167</v>
      </c>
      <c r="H14" s="58" t="s">
        <v>11</v>
      </c>
      <c r="I14" s="58" t="s">
        <v>133</v>
      </c>
      <c r="J14" s="60">
        <v>18</v>
      </c>
      <c r="K14" s="60">
        <f t="shared" si="0"/>
        <v>14.117647058823529</v>
      </c>
      <c r="L14" s="61">
        <f>prodnorm43</f>
        <v>0</v>
      </c>
      <c r="M14" s="58" t="s">
        <v>41</v>
      </c>
      <c r="N14" s="62">
        <f>uurtarief43</f>
        <v>0</v>
      </c>
      <c r="O14" s="60" t="e">
        <f t="shared" si="1"/>
        <v>#DIV/0!</v>
      </c>
      <c r="P14" s="62" t="e">
        <f t="shared" si="2"/>
        <v>#DIV/0!</v>
      </c>
      <c r="Q14" s="60" t="e">
        <f t="shared" si="3"/>
        <v>#DIV/0!</v>
      </c>
      <c r="R14" s="63" t="e">
        <f t="shared" si="4"/>
        <v>#DIV/0!</v>
      </c>
    </row>
    <row r="15" spans="1:18" x14ac:dyDescent="0.2">
      <c r="A15" s="57" t="s">
        <v>187</v>
      </c>
      <c r="B15" s="58" t="s">
        <v>188</v>
      </c>
      <c r="C15" s="58" t="s">
        <v>193</v>
      </c>
      <c r="D15" s="58" t="s">
        <v>210</v>
      </c>
      <c r="E15" s="59" t="s">
        <v>211</v>
      </c>
      <c r="F15" s="58" t="s">
        <v>192</v>
      </c>
      <c r="G15" s="58" t="s">
        <v>173</v>
      </c>
      <c r="H15" s="58" t="s">
        <v>12</v>
      </c>
      <c r="I15" s="58" t="s">
        <v>174</v>
      </c>
      <c r="J15" s="60">
        <v>26</v>
      </c>
      <c r="K15" s="60">
        <f t="shared" si="0"/>
        <v>16.313725490196077</v>
      </c>
      <c r="L15" s="61">
        <f>prodnorm21</f>
        <v>0</v>
      </c>
      <c r="M15" s="58" t="s">
        <v>41</v>
      </c>
      <c r="N15" s="62">
        <f>uurtarief21</f>
        <v>0</v>
      </c>
      <c r="O15" s="60" t="e">
        <f t="shared" si="1"/>
        <v>#DIV/0!</v>
      </c>
      <c r="P15" s="62" t="e">
        <f t="shared" si="2"/>
        <v>#DIV/0!</v>
      </c>
      <c r="Q15" s="60" t="e">
        <f t="shared" si="3"/>
        <v>#DIV/0!</v>
      </c>
      <c r="R15" s="63" t="e">
        <f t="shared" si="4"/>
        <v>#DIV/0!</v>
      </c>
    </row>
    <row r="16" spans="1:18" x14ac:dyDescent="0.2">
      <c r="A16" s="57" t="s">
        <v>187</v>
      </c>
      <c r="B16" s="58" t="s">
        <v>188</v>
      </c>
      <c r="C16" s="58" t="s">
        <v>193</v>
      </c>
      <c r="D16" s="58" t="s">
        <v>210</v>
      </c>
      <c r="E16" s="59" t="s">
        <v>211</v>
      </c>
      <c r="F16" s="58" t="s">
        <v>192</v>
      </c>
      <c r="G16" s="58" t="s">
        <v>135</v>
      </c>
      <c r="H16" s="58" t="s">
        <v>18</v>
      </c>
      <c r="I16" s="58" t="s">
        <v>133</v>
      </c>
      <c r="J16" s="60">
        <v>26</v>
      </c>
      <c r="K16" s="60">
        <f t="shared" si="0"/>
        <v>4.0784313725490193</v>
      </c>
      <c r="L16" s="61">
        <f>prodnorm24</f>
        <v>0</v>
      </c>
      <c r="M16" s="58" t="s">
        <v>41</v>
      </c>
      <c r="N16" s="62">
        <f>uurtarief24</f>
        <v>0</v>
      </c>
      <c r="O16" s="60" t="e">
        <f t="shared" si="1"/>
        <v>#DIV/0!</v>
      </c>
      <c r="P16" s="62" t="e">
        <f t="shared" si="2"/>
        <v>#DIV/0!</v>
      </c>
      <c r="Q16" s="60" t="e">
        <f t="shared" si="3"/>
        <v>#DIV/0!</v>
      </c>
      <c r="R16" s="63" t="e">
        <f t="shared" si="4"/>
        <v>#DIV/0!</v>
      </c>
    </row>
    <row r="17" spans="1:18" x14ac:dyDescent="0.2">
      <c r="A17" s="57" t="s">
        <v>187</v>
      </c>
      <c r="B17" s="58" t="s">
        <v>188</v>
      </c>
      <c r="C17" s="58" t="s">
        <v>193</v>
      </c>
      <c r="D17" s="58" t="s">
        <v>212</v>
      </c>
      <c r="E17" s="59" t="s">
        <v>213</v>
      </c>
      <c r="F17" s="58" t="s">
        <v>192</v>
      </c>
      <c r="G17" s="58" t="s">
        <v>173</v>
      </c>
      <c r="H17" s="58" t="s">
        <v>12</v>
      </c>
      <c r="I17" s="58" t="s">
        <v>174</v>
      </c>
      <c r="J17" s="60">
        <v>23</v>
      </c>
      <c r="K17" s="60">
        <f t="shared" si="0"/>
        <v>14.431372549019608</v>
      </c>
      <c r="L17" s="61">
        <f>prodnorm21</f>
        <v>0</v>
      </c>
      <c r="M17" s="58" t="s">
        <v>41</v>
      </c>
      <c r="N17" s="62">
        <f>uurtarief21</f>
        <v>0</v>
      </c>
      <c r="O17" s="60" t="e">
        <f t="shared" si="1"/>
        <v>#DIV/0!</v>
      </c>
      <c r="P17" s="62" t="e">
        <f t="shared" si="2"/>
        <v>#DIV/0!</v>
      </c>
      <c r="Q17" s="60" t="e">
        <f t="shared" si="3"/>
        <v>#DIV/0!</v>
      </c>
      <c r="R17" s="63" t="e">
        <f t="shared" si="4"/>
        <v>#DIV/0!</v>
      </c>
    </row>
    <row r="18" spans="1:18" x14ac:dyDescent="0.2">
      <c r="A18" s="57" t="s">
        <v>187</v>
      </c>
      <c r="B18" s="58" t="s">
        <v>188</v>
      </c>
      <c r="C18" s="58" t="s">
        <v>193</v>
      </c>
      <c r="D18" s="58" t="s">
        <v>212</v>
      </c>
      <c r="E18" s="59" t="s">
        <v>213</v>
      </c>
      <c r="F18" s="58" t="s">
        <v>192</v>
      </c>
      <c r="G18" s="58" t="s">
        <v>135</v>
      </c>
      <c r="H18" s="58" t="s">
        <v>18</v>
      </c>
      <c r="I18" s="58" t="s">
        <v>133</v>
      </c>
      <c r="J18" s="60">
        <v>23</v>
      </c>
      <c r="K18" s="60">
        <f t="shared" si="0"/>
        <v>3.607843137254902</v>
      </c>
      <c r="L18" s="61">
        <f>prodnorm24</f>
        <v>0</v>
      </c>
      <c r="M18" s="58" t="s">
        <v>41</v>
      </c>
      <c r="N18" s="62">
        <f>uurtarief24</f>
        <v>0</v>
      </c>
      <c r="O18" s="60" t="e">
        <f t="shared" si="1"/>
        <v>#DIV/0!</v>
      </c>
      <c r="P18" s="62" t="e">
        <f t="shared" si="2"/>
        <v>#DIV/0!</v>
      </c>
      <c r="Q18" s="60" t="e">
        <f t="shared" si="3"/>
        <v>#DIV/0!</v>
      </c>
      <c r="R18" s="63" t="e">
        <f t="shared" si="4"/>
        <v>#DIV/0!</v>
      </c>
    </row>
    <row r="19" spans="1:18" x14ac:dyDescent="0.2">
      <c r="A19" s="57" t="s">
        <v>187</v>
      </c>
      <c r="B19" s="58" t="s">
        <v>188</v>
      </c>
      <c r="C19" s="58" t="s">
        <v>193</v>
      </c>
      <c r="D19" s="58" t="s">
        <v>214</v>
      </c>
      <c r="E19" s="59" t="s">
        <v>215</v>
      </c>
      <c r="F19" s="58" t="s">
        <v>192</v>
      </c>
      <c r="G19" s="58" t="s">
        <v>173</v>
      </c>
      <c r="H19" s="58" t="s">
        <v>12</v>
      </c>
      <c r="I19" s="58" t="s">
        <v>174</v>
      </c>
      <c r="J19" s="60">
        <v>23</v>
      </c>
      <c r="K19" s="60">
        <f t="shared" si="0"/>
        <v>14.431372549019608</v>
      </c>
      <c r="L19" s="61">
        <f>prodnorm21</f>
        <v>0</v>
      </c>
      <c r="M19" s="58" t="s">
        <v>41</v>
      </c>
      <c r="N19" s="62">
        <f>uurtarief21</f>
        <v>0</v>
      </c>
      <c r="O19" s="60" t="e">
        <f t="shared" si="1"/>
        <v>#DIV/0!</v>
      </c>
      <c r="P19" s="62" t="e">
        <f t="shared" si="2"/>
        <v>#DIV/0!</v>
      </c>
      <c r="Q19" s="60" t="e">
        <f t="shared" si="3"/>
        <v>#DIV/0!</v>
      </c>
      <c r="R19" s="63" t="e">
        <f t="shared" si="4"/>
        <v>#DIV/0!</v>
      </c>
    </row>
    <row r="20" spans="1:18" x14ac:dyDescent="0.2">
      <c r="A20" s="57" t="s">
        <v>187</v>
      </c>
      <c r="B20" s="58" t="s">
        <v>188</v>
      </c>
      <c r="C20" s="58" t="s">
        <v>193</v>
      </c>
      <c r="D20" s="58" t="s">
        <v>214</v>
      </c>
      <c r="E20" s="59" t="s">
        <v>215</v>
      </c>
      <c r="F20" s="58" t="s">
        <v>192</v>
      </c>
      <c r="G20" s="58" t="s">
        <v>135</v>
      </c>
      <c r="H20" s="58" t="s">
        <v>18</v>
      </c>
      <c r="I20" s="58" t="s">
        <v>133</v>
      </c>
      <c r="J20" s="60">
        <v>23</v>
      </c>
      <c r="K20" s="60">
        <f t="shared" si="0"/>
        <v>3.607843137254902</v>
      </c>
      <c r="L20" s="61">
        <f>prodnorm24</f>
        <v>0</v>
      </c>
      <c r="M20" s="58" t="s">
        <v>41</v>
      </c>
      <c r="N20" s="62">
        <f>uurtarief24</f>
        <v>0</v>
      </c>
      <c r="O20" s="60" t="e">
        <f t="shared" si="1"/>
        <v>#DIV/0!</v>
      </c>
      <c r="P20" s="62" t="e">
        <f t="shared" si="2"/>
        <v>#DIV/0!</v>
      </c>
      <c r="Q20" s="60" t="e">
        <f t="shared" si="3"/>
        <v>#DIV/0!</v>
      </c>
      <c r="R20" s="63" t="e">
        <f t="shared" si="4"/>
        <v>#DIV/0!</v>
      </c>
    </row>
    <row r="21" spans="1:18" x14ac:dyDescent="0.2">
      <c r="A21" s="57" t="s">
        <v>187</v>
      </c>
      <c r="B21" s="58" t="s">
        <v>188</v>
      </c>
      <c r="C21" s="58" t="s">
        <v>193</v>
      </c>
      <c r="D21" s="58" t="s">
        <v>216</v>
      </c>
      <c r="E21" s="59" t="s">
        <v>217</v>
      </c>
      <c r="F21" s="58" t="s">
        <v>196</v>
      </c>
      <c r="G21" s="58" t="s">
        <v>143</v>
      </c>
      <c r="H21" s="58" t="s">
        <v>11</v>
      </c>
      <c r="I21" s="58" t="s">
        <v>133</v>
      </c>
      <c r="J21" s="60">
        <v>20</v>
      </c>
      <c r="K21" s="60">
        <f t="shared" si="0"/>
        <v>15.686274509803921</v>
      </c>
      <c r="L21" s="61">
        <f>prodnorm29</f>
        <v>0</v>
      </c>
      <c r="M21" s="58" t="s">
        <v>41</v>
      </c>
      <c r="N21" s="62">
        <f>uurtarief29</f>
        <v>0</v>
      </c>
      <c r="O21" s="60" t="e">
        <f t="shared" si="1"/>
        <v>#DIV/0!</v>
      </c>
      <c r="P21" s="62" t="e">
        <f t="shared" si="2"/>
        <v>#DIV/0!</v>
      </c>
      <c r="Q21" s="60" t="e">
        <f t="shared" si="3"/>
        <v>#DIV/0!</v>
      </c>
      <c r="R21" s="63" t="e">
        <f t="shared" si="4"/>
        <v>#DIV/0!</v>
      </c>
    </row>
    <row r="22" spans="1:18" x14ac:dyDescent="0.2">
      <c r="A22" s="57" t="s">
        <v>187</v>
      </c>
      <c r="B22" s="58" t="s">
        <v>188</v>
      </c>
      <c r="C22" s="58" t="s">
        <v>193</v>
      </c>
      <c r="D22" s="58" t="s">
        <v>218</v>
      </c>
      <c r="E22" s="59" t="s">
        <v>219</v>
      </c>
      <c r="F22" s="58" t="s">
        <v>199</v>
      </c>
      <c r="G22" s="58" t="s">
        <v>169</v>
      </c>
      <c r="H22" s="58" t="s">
        <v>11</v>
      </c>
      <c r="I22" s="58" t="s">
        <v>133</v>
      </c>
      <c r="J22" s="60">
        <v>19</v>
      </c>
      <c r="K22" s="60">
        <f t="shared" si="0"/>
        <v>14.901960784313726</v>
      </c>
      <c r="L22" s="61">
        <f>prodnorm44</f>
        <v>0</v>
      </c>
      <c r="M22" s="58" t="s">
        <v>41</v>
      </c>
      <c r="N22" s="62">
        <f>uurtarief44</f>
        <v>0</v>
      </c>
      <c r="O22" s="60" t="e">
        <f t="shared" si="1"/>
        <v>#DIV/0!</v>
      </c>
      <c r="P22" s="62" t="e">
        <f t="shared" si="2"/>
        <v>#DIV/0!</v>
      </c>
      <c r="Q22" s="60" t="e">
        <f t="shared" si="3"/>
        <v>#DIV/0!</v>
      </c>
      <c r="R22" s="63" t="e">
        <f t="shared" si="4"/>
        <v>#DIV/0!</v>
      </c>
    </row>
    <row r="23" spans="1:18" x14ac:dyDescent="0.2">
      <c r="A23" s="57" t="s">
        <v>187</v>
      </c>
      <c r="B23" s="58" t="s">
        <v>188</v>
      </c>
      <c r="C23" s="58" t="s">
        <v>193</v>
      </c>
      <c r="D23" s="58" t="s">
        <v>220</v>
      </c>
      <c r="E23" s="59" t="s">
        <v>221</v>
      </c>
      <c r="F23" s="58" t="s">
        <v>192</v>
      </c>
      <c r="G23" s="58" t="s">
        <v>135</v>
      </c>
      <c r="H23" s="58" t="s">
        <v>11</v>
      </c>
      <c r="I23" s="58" t="s">
        <v>133</v>
      </c>
      <c r="J23" s="60">
        <v>56</v>
      </c>
      <c r="K23" s="60">
        <f t="shared" si="0"/>
        <v>43.921568627450981</v>
      </c>
      <c r="L23" s="61">
        <f>prodnorm23</f>
        <v>0</v>
      </c>
      <c r="M23" s="58" t="s">
        <v>41</v>
      </c>
      <c r="N23" s="62">
        <f>uurtarief23</f>
        <v>0</v>
      </c>
      <c r="O23" s="60" t="e">
        <f t="shared" si="1"/>
        <v>#DIV/0!</v>
      </c>
      <c r="P23" s="62" t="e">
        <f t="shared" si="2"/>
        <v>#DIV/0!</v>
      </c>
      <c r="Q23" s="60" t="e">
        <f t="shared" si="3"/>
        <v>#DIV/0!</v>
      </c>
      <c r="R23" s="63" t="e">
        <f t="shared" si="4"/>
        <v>#DIV/0!</v>
      </c>
    </row>
    <row r="24" spans="1:18" x14ac:dyDescent="0.2">
      <c r="A24" s="57" t="s">
        <v>187</v>
      </c>
      <c r="B24" s="58" t="s">
        <v>188</v>
      </c>
      <c r="C24" s="58" t="s">
        <v>193</v>
      </c>
      <c r="D24" s="58" t="s">
        <v>222</v>
      </c>
      <c r="E24" s="59" t="s">
        <v>223</v>
      </c>
      <c r="F24" s="58" t="s">
        <v>192</v>
      </c>
      <c r="G24" s="58" t="s">
        <v>153</v>
      </c>
      <c r="H24" s="58" t="s">
        <v>11</v>
      </c>
      <c r="I24" s="58" t="s">
        <v>133</v>
      </c>
      <c r="J24" s="60">
        <v>46</v>
      </c>
      <c r="K24" s="60">
        <f t="shared" si="0"/>
        <v>36.078431372549019</v>
      </c>
      <c r="L24" s="61">
        <f>prodnorm36</f>
        <v>0</v>
      </c>
      <c r="M24" s="58" t="s">
        <v>41</v>
      </c>
      <c r="N24" s="62">
        <f>uurtarief36</f>
        <v>0</v>
      </c>
      <c r="O24" s="60" t="e">
        <f t="shared" si="1"/>
        <v>#DIV/0!</v>
      </c>
      <c r="P24" s="62" t="e">
        <f t="shared" si="2"/>
        <v>#DIV/0!</v>
      </c>
      <c r="Q24" s="60" t="e">
        <f t="shared" si="3"/>
        <v>#DIV/0!</v>
      </c>
      <c r="R24" s="63" t="e">
        <f t="shared" si="4"/>
        <v>#DIV/0!</v>
      </c>
    </row>
    <row r="25" spans="1:18" x14ac:dyDescent="0.2">
      <c r="A25" s="57" t="s">
        <v>187</v>
      </c>
      <c r="B25" s="58" t="s">
        <v>188</v>
      </c>
      <c r="C25" s="58" t="s">
        <v>193</v>
      </c>
      <c r="D25" s="58" t="s">
        <v>224</v>
      </c>
      <c r="E25" s="59" t="s">
        <v>207</v>
      </c>
      <c r="F25" s="58" t="s">
        <v>199</v>
      </c>
      <c r="G25" s="58" t="s">
        <v>171</v>
      </c>
      <c r="H25" s="58" t="s">
        <v>11</v>
      </c>
      <c r="I25" s="58" t="s">
        <v>133</v>
      </c>
      <c r="J25" s="60">
        <v>82</v>
      </c>
      <c r="K25" s="60">
        <f t="shared" si="0"/>
        <v>64.313725490196077</v>
      </c>
      <c r="L25" s="61">
        <f>prodnorm45</f>
        <v>0</v>
      </c>
      <c r="M25" s="58" t="s">
        <v>41</v>
      </c>
      <c r="N25" s="62">
        <f>uurtarief45</f>
        <v>0</v>
      </c>
      <c r="O25" s="60" t="e">
        <f t="shared" si="1"/>
        <v>#DIV/0!</v>
      </c>
      <c r="P25" s="62" t="e">
        <f t="shared" si="2"/>
        <v>#DIV/0!</v>
      </c>
      <c r="Q25" s="60" t="e">
        <f t="shared" si="3"/>
        <v>#DIV/0!</v>
      </c>
      <c r="R25" s="63" t="e">
        <f t="shared" si="4"/>
        <v>#DIV/0!</v>
      </c>
    </row>
    <row r="26" spans="1:18" x14ac:dyDescent="0.2">
      <c r="A26" s="57" t="s">
        <v>187</v>
      </c>
      <c r="B26" s="58" t="s">
        <v>188</v>
      </c>
      <c r="C26" s="58" t="s">
        <v>193</v>
      </c>
      <c r="D26" s="58" t="s">
        <v>225</v>
      </c>
      <c r="E26" s="59" t="s">
        <v>207</v>
      </c>
      <c r="F26" s="58" t="s">
        <v>199</v>
      </c>
      <c r="G26" s="58" t="s">
        <v>171</v>
      </c>
      <c r="H26" s="58" t="s">
        <v>11</v>
      </c>
      <c r="I26" s="58" t="s">
        <v>133</v>
      </c>
      <c r="J26" s="60">
        <v>14</v>
      </c>
      <c r="K26" s="60">
        <f t="shared" si="0"/>
        <v>10.980392156862745</v>
      </c>
      <c r="L26" s="61">
        <f>prodnorm45</f>
        <v>0</v>
      </c>
      <c r="M26" s="58" t="s">
        <v>41</v>
      </c>
      <c r="N26" s="62">
        <f>uurtarief45</f>
        <v>0</v>
      </c>
      <c r="O26" s="60" t="e">
        <f t="shared" si="1"/>
        <v>#DIV/0!</v>
      </c>
      <c r="P26" s="62" t="e">
        <f t="shared" si="2"/>
        <v>#DIV/0!</v>
      </c>
      <c r="Q26" s="60" t="e">
        <f t="shared" si="3"/>
        <v>#DIV/0!</v>
      </c>
      <c r="R26" s="63" t="e">
        <f t="shared" si="4"/>
        <v>#DIV/0!</v>
      </c>
    </row>
    <row r="27" spans="1:18" x14ac:dyDescent="0.2">
      <c r="A27" s="57" t="s">
        <v>187</v>
      </c>
      <c r="B27" s="58" t="s">
        <v>188</v>
      </c>
      <c r="C27" s="58" t="s">
        <v>193</v>
      </c>
      <c r="D27" s="58" t="s">
        <v>226</v>
      </c>
      <c r="E27" s="59" t="s">
        <v>207</v>
      </c>
      <c r="F27" s="58" t="s">
        <v>199</v>
      </c>
      <c r="G27" s="58" t="s">
        <v>171</v>
      </c>
      <c r="H27" s="58" t="s">
        <v>11</v>
      </c>
      <c r="I27" s="58" t="s">
        <v>133</v>
      </c>
      <c r="J27" s="60">
        <v>43</v>
      </c>
      <c r="K27" s="60">
        <f t="shared" si="0"/>
        <v>33.725490196078432</v>
      </c>
      <c r="L27" s="61">
        <f>prodnorm45</f>
        <v>0</v>
      </c>
      <c r="M27" s="58" t="s">
        <v>41</v>
      </c>
      <c r="N27" s="62">
        <f>uurtarief45</f>
        <v>0</v>
      </c>
      <c r="O27" s="60" t="e">
        <f t="shared" si="1"/>
        <v>#DIV/0!</v>
      </c>
      <c r="P27" s="62" t="e">
        <f t="shared" si="2"/>
        <v>#DIV/0!</v>
      </c>
      <c r="Q27" s="60" t="e">
        <f t="shared" si="3"/>
        <v>#DIV/0!</v>
      </c>
      <c r="R27" s="63" t="e">
        <f t="shared" si="4"/>
        <v>#DIV/0!</v>
      </c>
    </row>
    <row r="28" spans="1:18" x14ac:dyDescent="0.2">
      <c r="A28" s="57" t="s">
        <v>187</v>
      </c>
      <c r="B28" s="58" t="s">
        <v>188</v>
      </c>
      <c r="C28" s="58" t="s">
        <v>193</v>
      </c>
      <c r="D28" s="58" t="s">
        <v>227</v>
      </c>
      <c r="E28" s="59" t="s">
        <v>228</v>
      </c>
      <c r="F28" s="58" t="s">
        <v>192</v>
      </c>
      <c r="G28" s="58" t="s">
        <v>153</v>
      </c>
      <c r="H28" s="58" t="s">
        <v>11</v>
      </c>
      <c r="I28" s="58" t="s">
        <v>133</v>
      </c>
      <c r="J28" s="60">
        <v>43</v>
      </c>
      <c r="K28" s="60">
        <f t="shared" si="0"/>
        <v>33.725490196078432</v>
      </c>
      <c r="L28" s="61">
        <f>prodnorm36</f>
        <v>0</v>
      </c>
      <c r="M28" s="58" t="s">
        <v>41</v>
      </c>
      <c r="N28" s="62">
        <f>uurtarief36</f>
        <v>0</v>
      </c>
      <c r="O28" s="60" t="e">
        <f t="shared" si="1"/>
        <v>#DIV/0!</v>
      </c>
      <c r="P28" s="62" t="e">
        <f t="shared" si="2"/>
        <v>#DIV/0!</v>
      </c>
      <c r="Q28" s="60" t="e">
        <f t="shared" si="3"/>
        <v>#DIV/0!</v>
      </c>
      <c r="R28" s="63" t="e">
        <f t="shared" si="4"/>
        <v>#DIV/0!</v>
      </c>
    </row>
    <row r="29" spans="1:18" x14ac:dyDescent="0.2">
      <c r="A29" s="57" t="s">
        <v>187</v>
      </c>
      <c r="B29" s="58" t="s">
        <v>188</v>
      </c>
      <c r="C29" s="58" t="s">
        <v>193</v>
      </c>
      <c r="D29" s="58" t="s">
        <v>229</v>
      </c>
      <c r="E29" s="59" t="s">
        <v>230</v>
      </c>
      <c r="F29" s="58" t="s">
        <v>192</v>
      </c>
      <c r="G29" s="58" t="s">
        <v>173</v>
      </c>
      <c r="H29" s="58" t="s">
        <v>12</v>
      </c>
      <c r="I29" s="58" t="s">
        <v>174</v>
      </c>
      <c r="J29" s="60">
        <v>38</v>
      </c>
      <c r="K29" s="60">
        <f t="shared" si="0"/>
        <v>23.843137254901961</v>
      </c>
      <c r="L29" s="61">
        <f>prodnorm21</f>
        <v>0</v>
      </c>
      <c r="M29" s="58" t="s">
        <v>41</v>
      </c>
      <c r="N29" s="62">
        <f>uurtarief21</f>
        <v>0</v>
      </c>
      <c r="O29" s="60" t="e">
        <f t="shared" si="1"/>
        <v>#DIV/0!</v>
      </c>
      <c r="P29" s="62" t="e">
        <f t="shared" si="2"/>
        <v>#DIV/0!</v>
      </c>
      <c r="Q29" s="60" t="e">
        <f t="shared" si="3"/>
        <v>#DIV/0!</v>
      </c>
      <c r="R29" s="63" t="e">
        <f t="shared" si="4"/>
        <v>#DIV/0!</v>
      </c>
    </row>
    <row r="30" spans="1:18" x14ac:dyDescent="0.2">
      <c r="A30" s="57" t="s">
        <v>187</v>
      </c>
      <c r="B30" s="58" t="s">
        <v>188</v>
      </c>
      <c r="C30" s="58" t="s">
        <v>193</v>
      </c>
      <c r="D30" s="58" t="s">
        <v>229</v>
      </c>
      <c r="E30" s="59" t="s">
        <v>230</v>
      </c>
      <c r="F30" s="58" t="s">
        <v>192</v>
      </c>
      <c r="G30" s="58" t="s">
        <v>135</v>
      </c>
      <c r="H30" s="58" t="s">
        <v>18</v>
      </c>
      <c r="I30" s="58" t="s">
        <v>133</v>
      </c>
      <c r="J30" s="60">
        <v>38</v>
      </c>
      <c r="K30" s="60">
        <f t="shared" si="0"/>
        <v>5.9607843137254903</v>
      </c>
      <c r="L30" s="61">
        <f>prodnorm24</f>
        <v>0</v>
      </c>
      <c r="M30" s="58" t="s">
        <v>41</v>
      </c>
      <c r="N30" s="62">
        <f>uurtarief24</f>
        <v>0</v>
      </c>
      <c r="O30" s="60" t="e">
        <f t="shared" si="1"/>
        <v>#DIV/0!</v>
      </c>
      <c r="P30" s="62" t="e">
        <f t="shared" si="2"/>
        <v>#DIV/0!</v>
      </c>
      <c r="Q30" s="60" t="e">
        <f t="shared" si="3"/>
        <v>#DIV/0!</v>
      </c>
      <c r="R30" s="63" t="e">
        <f t="shared" si="4"/>
        <v>#DIV/0!</v>
      </c>
    </row>
    <row r="31" spans="1:18" x14ac:dyDescent="0.2">
      <c r="A31" s="57" t="s">
        <v>187</v>
      </c>
      <c r="B31" s="58" t="s">
        <v>188</v>
      </c>
      <c r="C31" s="58" t="s">
        <v>193</v>
      </c>
      <c r="D31" s="58" t="s">
        <v>231</v>
      </c>
      <c r="E31" s="59" t="s">
        <v>232</v>
      </c>
      <c r="F31" s="58" t="s">
        <v>192</v>
      </c>
      <c r="G31" s="58" t="s">
        <v>153</v>
      </c>
      <c r="H31" s="58" t="s">
        <v>11</v>
      </c>
      <c r="I31" s="58" t="s">
        <v>133</v>
      </c>
      <c r="J31" s="60">
        <v>38</v>
      </c>
      <c r="K31" s="60">
        <f t="shared" si="0"/>
        <v>29.803921568627452</v>
      </c>
      <c r="L31" s="61">
        <f>prodnorm36</f>
        <v>0</v>
      </c>
      <c r="M31" s="58" t="s">
        <v>41</v>
      </c>
      <c r="N31" s="62">
        <f>uurtarief36</f>
        <v>0</v>
      </c>
      <c r="O31" s="60" t="e">
        <f t="shared" si="1"/>
        <v>#DIV/0!</v>
      </c>
      <c r="P31" s="62" t="e">
        <f t="shared" si="2"/>
        <v>#DIV/0!</v>
      </c>
      <c r="Q31" s="60" t="e">
        <f t="shared" si="3"/>
        <v>#DIV/0!</v>
      </c>
      <c r="R31" s="63" t="e">
        <f t="shared" si="4"/>
        <v>#DIV/0!</v>
      </c>
    </row>
    <row r="32" spans="1:18" x14ac:dyDescent="0.2">
      <c r="A32" s="57" t="s">
        <v>187</v>
      </c>
      <c r="B32" s="58" t="s">
        <v>188</v>
      </c>
      <c r="C32" s="58" t="s">
        <v>193</v>
      </c>
      <c r="D32" s="58" t="s">
        <v>233</v>
      </c>
      <c r="E32" s="59" t="s">
        <v>234</v>
      </c>
      <c r="F32" s="58" t="s">
        <v>192</v>
      </c>
      <c r="G32" s="58" t="s">
        <v>173</v>
      </c>
      <c r="H32" s="58" t="s">
        <v>12</v>
      </c>
      <c r="I32" s="58" t="s">
        <v>174</v>
      </c>
      <c r="J32" s="60">
        <v>37</v>
      </c>
      <c r="K32" s="60">
        <f t="shared" si="0"/>
        <v>23.215686274509803</v>
      </c>
      <c r="L32" s="61">
        <f>prodnorm21</f>
        <v>0</v>
      </c>
      <c r="M32" s="58" t="s">
        <v>41</v>
      </c>
      <c r="N32" s="62">
        <f>uurtarief21</f>
        <v>0</v>
      </c>
      <c r="O32" s="60" t="e">
        <f t="shared" si="1"/>
        <v>#DIV/0!</v>
      </c>
      <c r="P32" s="62" t="e">
        <f t="shared" si="2"/>
        <v>#DIV/0!</v>
      </c>
      <c r="Q32" s="60" t="e">
        <f t="shared" si="3"/>
        <v>#DIV/0!</v>
      </c>
      <c r="R32" s="63" t="e">
        <f t="shared" si="4"/>
        <v>#DIV/0!</v>
      </c>
    </row>
    <row r="33" spans="1:18" x14ac:dyDescent="0.2">
      <c r="A33" s="57" t="s">
        <v>187</v>
      </c>
      <c r="B33" s="58" t="s">
        <v>188</v>
      </c>
      <c r="C33" s="58" t="s">
        <v>193</v>
      </c>
      <c r="D33" s="58" t="s">
        <v>233</v>
      </c>
      <c r="E33" s="59" t="s">
        <v>234</v>
      </c>
      <c r="F33" s="58" t="s">
        <v>192</v>
      </c>
      <c r="G33" s="58" t="s">
        <v>135</v>
      </c>
      <c r="H33" s="58" t="s">
        <v>18</v>
      </c>
      <c r="I33" s="58" t="s">
        <v>133</v>
      </c>
      <c r="J33" s="60">
        <v>37</v>
      </c>
      <c r="K33" s="60">
        <f t="shared" si="0"/>
        <v>5.8039215686274508</v>
      </c>
      <c r="L33" s="61">
        <f>prodnorm24</f>
        <v>0</v>
      </c>
      <c r="M33" s="58" t="s">
        <v>41</v>
      </c>
      <c r="N33" s="62">
        <f>uurtarief24</f>
        <v>0</v>
      </c>
      <c r="O33" s="60" t="e">
        <f t="shared" si="1"/>
        <v>#DIV/0!</v>
      </c>
      <c r="P33" s="62" t="e">
        <f t="shared" si="2"/>
        <v>#DIV/0!</v>
      </c>
      <c r="Q33" s="60" t="e">
        <f t="shared" si="3"/>
        <v>#DIV/0!</v>
      </c>
      <c r="R33" s="63" t="e">
        <f t="shared" si="4"/>
        <v>#DIV/0!</v>
      </c>
    </row>
    <row r="34" spans="1:18" x14ac:dyDescent="0.2">
      <c r="A34" s="57" t="s">
        <v>187</v>
      </c>
      <c r="B34" s="58" t="s">
        <v>188</v>
      </c>
      <c r="C34" s="58" t="s">
        <v>193</v>
      </c>
      <c r="D34" s="58" t="s">
        <v>235</v>
      </c>
      <c r="E34" s="59" t="s">
        <v>236</v>
      </c>
      <c r="F34" s="58" t="s">
        <v>199</v>
      </c>
      <c r="G34" s="58" t="s">
        <v>169</v>
      </c>
      <c r="H34" s="58" t="s">
        <v>11</v>
      </c>
      <c r="I34" s="58" t="s">
        <v>133</v>
      </c>
      <c r="J34" s="60">
        <v>22</v>
      </c>
      <c r="K34" s="60">
        <f t="shared" si="0"/>
        <v>17.254901960784313</v>
      </c>
      <c r="L34" s="61">
        <f>prodnorm44</f>
        <v>0</v>
      </c>
      <c r="M34" s="58" t="s">
        <v>41</v>
      </c>
      <c r="N34" s="62">
        <f>uurtarief44</f>
        <v>0</v>
      </c>
      <c r="O34" s="60" t="e">
        <f t="shared" si="1"/>
        <v>#DIV/0!</v>
      </c>
      <c r="P34" s="62" t="e">
        <f t="shared" si="2"/>
        <v>#DIV/0!</v>
      </c>
      <c r="Q34" s="60" t="e">
        <f t="shared" si="3"/>
        <v>#DIV/0!</v>
      </c>
      <c r="R34" s="63" t="e">
        <f t="shared" si="4"/>
        <v>#DIV/0!</v>
      </c>
    </row>
    <row r="35" spans="1:18" x14ac:dyDescent="0.2">
      <c r="A35" s="57" t="s">
        <v>187</v>
      </c>
      <c r="B35" s="58" t="s">
        <v>188</v>
      </c>
      <c r="C35" s="58" t="s">
        <v>193</v>
      </c>
      <c r="D35" s="58" t="s">
        <v>237</v>
      </c>
      <c r="E35" s="59" t="s">
        <v>238</v>
      </c>
      <c r="F35" s="58" t="s">
        <v>192</v>
      </c>
      <c r="G35" s="58" t="s">
        <v>153</v>
      </c>
      <c r="H35" s="58" t="s">
        <v>11</v>
      </c>
      <c r="I35" s="58" t="s">
        <v>133</v>
      </c>
      <c r="J35" s="60">
        <v>30</v>
      </c>
      <c r="K35" s="60">
        <f t="shared" si="0"/>
        <v>23.52941176470588</v>
      </c>
      <c r="L35" s="61">
        <f>prodnorm36</f>
        <v>0</v>
      </c>
      <c r="M35" s="58" t="s">
        <v>41</v>
      </c>
      <c r="N35" s="62">
        <f>uurtarief36</f>
        <v>0</v>
      </c>
      <c r="O35" s="60" t="e">
        <f t="shared" si="1"/>
        <v>#DIV/0!</v>
      </c>
      <c r="P35" s="62" t="e">
        <f t="shared" si="2"/>
        <v>#DIV/0!</v>
      </c>
      <c r="Q35" s="60" t="e">
        <f t="shared" si="3"/>
        <v>#DIV/0!</v>
      </c>
      <c r="R35" s="63" t="e">
        <f t="shared" si="4"/>
        <v>#DIV/0!</v>
      </c>
    </row>
    <row r="36" spans="1:18" x14ac:dyDescent="0.2">
      <c r="A36" s="57" t="s">
        <v>187</v>
      </c>
      <c r="B36" s="58" t="s">
        <v>188</v>
      </c>
      <c r="C36" s="58" t="s">
        <v>193</v>
      </c>
      <c r="D36" s="58" t="s">
        <v>239</v>
      </c>
      <c r="E36" s="59" t="s">
        <v>240</v>
      </c>
      <c r="F36" s="58" t="s">
        <v>192</v>
      </c>
      <c r="G36" s="58" t="s">
        <v>153</v>
      </c>
      <c r="H36" s="58" t="s">
        <v>11</v>
      </c>
      <c r="I36" s="58" t="s">
        <v>133</v>
      </c>
      <c r="J36" s="60">
        <v>51</v>
      </c>
      <c r="K36" s="60">
        <f t="shared" si="0"/>
        <v>40</v>
      </c>
      <c r="L36" s="61">
        <f>prodnorm36</f>
        <v>0</v>
      </c>
      <c r="M36" s="58" t="s">
        <v>41</v>
      </c>
      <c r="N36" s="62">
        <f>uurtarief36</f>
        <v>0</v>
      </c>
      <c r="O36" s="60" t="e">
        <f t="shared" si="1"/>
        <v>#DIV/0!</v>
      </c>
      <c r="P36" s="62" t="e">
        <f t="shared" si="2"/>
        <v>#DIV/0!</v>
      </c>
      <c r="Q36" s="60" t="e">
        <f t="shared" si="3"/>
        <v>#DIV/0!</v>
      </c>
      <c r="R36" s="63" t="e">
        <f t="shared" si="4"/>
        <v>#DIV/0!</v>
      </c>
    </row>
    <row r="37" spans="1:18" x14ac:dyDescent="0.2">
      <c r="A37" s="57" t="s">
        <v>187</v>
      </c>
      <c r="B37" s="58" t="s">
        <v>188</v>
      </c>
      <c r="C37" s="58" t="s">
        <v>193</v>
      </c>
      <c r="D37" s="58" t="s">
        <v>241</v>
      </c>
      <c r="E37" s="59" t="s">
        <v>242</v>
      </c>
      <c r="F37" s="58" t="s">
        <v>199</v>
      </c>
      <c r="G37" s="58" t="s">
        <v>143</v>
      </c>
      <c r="H37" s="58" t="s">
        <v>11</v>
      </c>
      <c r="I37" s="58" t="s">
        <v>133</v>
      </c>
      <c r="J37" s="60">
        <v>6</v>
      </c>
      <c r="K37" s="60">
        <f t="shared" si="0"/>
        <v>4.7058823529411766</v>
      </c>
      <c r="L37" s="61">
        <f>prodnorm29</f>
        <v>0</v>
      </c>
      <c r="M37" s="58" t="s">
        <v>41</v>
      </c>
      <c r="N37" s="62">
        <f>uurtarief29</f>
        <v>0</v>
      </c>
      <c r="O37" s="60" t="e">
        <f t="shared" si="1"/>
        <v>#DIV/0!</v>
      </c>
      <c r="P37" s="62" t="e">
        <f t="shared" si="2"/>
        <v>#DIV/0!</v>
      </c>
      <c r="Q37" s="60" t="e">
        <f t="shared" si="3"/>
        <v>#DIV/0!</v>
      </c>
      <c r="R37" s="63" t="e">
        <f t="shared" si="4"/>
        <v>#DIV/0!</v>
      </c>
    </row>
    <row r="38" spans="1:18" x14ac:dyDescent="0.2">
      <c r="A38" s="57" t="s">
        <v>187</v>
      </c>
      <c r="B38" s="58" t="s">
        <v>188</v>
      </c>
      <c r="C38" s="58" t="s">
        <v>193</v>
      </c>
      <c r="D38" s="58" t="s">
        <v>243</v>
      </c>
      <c r="E38" s="59" t="s">
        <v>209</v>
      </c>
      <c r="F38" s="58" t="s">
        <v>192</v>
      </c>
      <c r="G38" s="58" t="s">
        <v>167</v>
      </c>
      <c r="H38" s="58" t="s">
        <v>11</v>
      </c>
      <c r="I38" s="58" t="s">
        <v>133</v>
      </c>
      <c r="J38" s="60">
        <v>16</v>
      </c>
      <c r="K38" s="60">
        <f t="shared" si="0"/>
        <v>12.549019607843137</v>
      </c>
      <c r="L38" s="61">
        <f>prodnorm43</f>
        <v>0</v>
      </c>
      <c r="M38" s="58" t="s">
        <v>41</v>
      </c>
      <c r="N38" s="62">
        <f>uurtarief43</f>
        <v>0</v>
      </c>
      <c r="O38" s="60" t="e">
        <f t="shared" si="1"/>
        <v>#DIV/0!</v>
      </c>
      <c r="P38" s="62" t="e">
        <f t="shared" si="2"/>
        <v>#DIV/0!</v>
      </c>
      <c r="Q38" s="60" t="e">
        <f t="shared" si="3"/>
        <v>#DIV/0!</v>
      </c>
      <c r="R38" s="63" t="e">
        <f t="shared" si="4"/>
        <v>#DIV/0!</v>
      </c>
    </row>
    <row r="39" spans="1:18" x14ac:dyDescent="0.2">
      <c r="A39" s="57" t="s">
        <v>187</v>
      </c>
      <c r="B39" s="58" t="s">
        <v>188</v>
      </c>
      <c r="C39" s="58" t="s">
        <v>193</v>
      </c>
      <c r="D39" s="58" t="s">
        <v>244</v>
      </c>
      <c r="E39" s="59" t="s">
        <v>245</v>
      </c>
      <c r="F39" s="58" t="s">
        <v>199</v>
      </c>
      <c r="G39" s="58" t="s">
        <v>143</v>
      </c>
      <c r="H39" s="58" t="s">
        <v>11</v>
      </c>
      <c r="I39" s="58" t="s">
        <v>133</v>
      </c>
      <c r="J39" s="60">
        <v>14</v>
      </c>
      <c r="K39" s="60">
        <f t="shared" si="0"/>
        <v>10.980392156862745</v>
      </c>
      <c r="L39" s="61">
        <f>prodnorm29</f>
        <v>0</v>
      </c>
      <c r="M39" s="58" t="s">
        <v>41</v>
      </c>
      <c r="N39" s="62">
        <f>uurtarief29</f>
        <v>0</v>
      </c>
      <c r="O39" s="60" t="e">
        <f t="shared" si="1"/>
        <v>#DIV/0!</v>
      </c>
      <c r="P39" s="62" t="e">
        <f t="shared" si="2"/>
        <v>#DIV/0!</v>
      </c>
      <c r="Q39" s="60" t="e">
        <f t="shared" si="3"/>
        <v>#DIV/0!</v>
      </c>
      <c r="R39" s="63" t="e">
        <f t="shared" si="4"/>
        <v>#DIV/0!</v>
      </c>
    </row>
    <row r="40" spans="1:18" x14ac:dyDescent="0.2">
      <c r="A40" s="57" t="s">
        <v>187</v>
      </c>
      <c r="B40" s="58" t="s">
        <v>188</v>
      </c>
      <c r="C40" s="58" t="s">
        <v>193</v>
      </c>
      <c r="D40" s="58" t="s">
        <v>246</v>
      </c>
      <c r="E40" s="59" t="s">
        <v>247</v>
      </c>
      <c r="F40" s="58" t="s">
        <v>192</v>
      </c>
      <c r="G40" s="58" t="s">
        <v>173</v>
      </c>
      <c r="H40" s="58" t="s">
        <v>12</v>
      </c>
      <c r="I40" s="58" t="s">
        <v>174</v>
      </c>
      <c r="J40" s="60">
        <v>44</v>
      </c>
      <c r="K40" s="60">
        <f t="shared" si="0"/>
        <v>27.607843137254903</v>
      </c>
      <c r="L40" s="61">
        <f>prodnorm21</f>
        <v>0</v>
      </c>
      <c r="M40" s="58" t="s">
        <v>41</v>
      </c>
      <c r="N40" s="62">
        <f>uurtarief21</f>
        <v>0</v>
      </c>
      <c r="O40" s="60" t="e">
        <f t="shared" si="1"/>
        <v>#DIV/0!</v>
      </c>
      <c r="P40" s="62" t="e">
        <f t="shared" si="2"/>
        <v>#DIV/0!</v>
      </c>
      <c r="Q40" s="60" t="e">
        <f t="shared" si="3"/>
        <v>#DIV/0!</v>
      </c>
      <c r="R40" s="63" t="e">
        <f t="shared" si="4"/>
        <v>#DIV/0!</v>
      </c>
    </row>
    <row r="41" spans="1:18" x14ac:dyDescent="0.2">
      <c r="A41" s="57" t="s">
        <v>187</v>
      </c>
      <c r="B41" s="58" t="s">
        <v>188</v>
      </c>
      <c r="C41" s="58" t="s">
        <v>193</v>
      </c>
      <c r="D41" s="58" t="s">
        <v>246</v>
      </c>
      <c r="E41" s="59" t="s">
        <v>247</v>
      </c>
      <c r="F41" s="58" t="s">
        <v>192</v>
      </c>
      <c r="G41" s="58" t="s">
        <v>135</v>
      </c>
      <c r="H41" s="58" t="s">
        <v>18</v>
      </c>
      <c r="I41" s="58" t="s">
        <v>133</v>
      </c>
      <c r="J41" s="60">
        <v>44</v>
      </c>
      <c r="K41" s="60">
        <f t="shared" si="0"/>
        <v>6.9019607843137258</v>
      </c>
      <c r="L41" s="61">
        <f>prodnorm24</f>
        <v>0</v>
      </c>
      <c r="M41" s="58" t="s">
        <v>41</v>
      </c>
      <c r="N41" s="62">
        <f>uurtarief24</f>
        <v>0</v>
      </c>
      <c r="O41" s="60" t="e">
        <f t="shared" si="1"/>
        <v>#DIV/0!</v>
      </c>
      <c r="P41" s="62" t="e">
        <f t="shared" si="2"/>
        <v>#DIV/0!</v>
      </c>
      <c r="Q41" s="60" t="e">
        <f t="shared" si="3"/>
        <v>#DIV/0!</v>
      </c>
      <c r="R41" s="63" t="e">
        <f t="shared" si="4"/>
        <v>#DIV/0!</v>
      </c>
    </row>
    <row r="42" spans="1:18" x14ac:dyDescent="0.2">
      <c r="A42" s="57" t="s">
        <v>187</v>
      </c>
      <c r="B42" s="58" t="s">
        <v>188</v>
      </c>
      <c r="C42" s="58" t="s">
        <v>193</v>
      </c>
      <c r="D42" s="58" t="s">
        <v>248</v>
      </c>
      <c r="E42" s="59" t="s">
        <v>249</v>
      </c>
      <c r="F42" s="58" t="s">
        <v>199</v>
      </c>
      <c r="G42" s="58" t="s">
        <v>132</v>
      </c>
      <c r="H42" s="58" t="s">
        <v>11</v>
      </c>
      <c r="I42" s="58" t="s">
        <v>133</v>
      </c>
      <c r="J42" s="60">
        <v>144</v>
      </c>
      <c r="K42" s="60">
        <f t="shared" si="0"/>
        <v>112.94117647058823</v>
      </c>
      <c r="L42" s="61">
        <f>prodnorm22</f>
        <v>0</v>
      </c>
      <c r="M42" s="58" t="s">
        <v>41</v>
      </c>
      <c r="N42" s="62">
        <f>uurtarief22</f>
        <v>0</v>
      </c>
      <c r="O42" s="60" t="e">
        <f t="shared" si="1"/>
        <v>#DIV/0!</v>
      </c>
      <c r="P42" s="62" t="e">
        <f t="shared" si="2"/>
        <v>#DIV/0!</v>
      </c>
      <c r="Q42" s="60" t="e">
        <f t="shared" si="3"/>
        <v>#DIV/0!</v>
      </c>
      <c r="R42" s="63" t="e">
        <f t="shared" si="4"/>
        <v>#DIV/0!</v>
      </c>
    </row>
    <row r="43" spans="1:18" x14ac:dyDescent="0.2">
      <c r="A43" s="57" t="s">
        <v>187</v>
      </c>
      <c r="B43" s="58" t="s">
        <v>188</v>
      </c>
      <c r="C43" s="58" t="s">
        <v>193</v>
      </c>
      <c r="D43" s="58" t="s">
        <v>250</v>
      </c>
      <c r="E43" s="59" t="s">
        <v>251</v>
      </c>
      <c r="F43" s="58" t="s">
        <v>199</v>
      </c>
      <c r="G43" s="58" t="s">
        <v>132</v>
      </c>
      <c r="H43" s="58" t="s">
        <v>11</v>
      </c>
      <c r="I43" s="58" t="s">
        <v>133</v>
      </c>
      <c r="J43" s="60">
        <v>234</v>
      </c>
      <c r="K43" s="60">
        <f t="shared" si="0"/>
        <v>183.52941176470588</v>
      </c>
      <c r="L43" s="61">
        <f>prodnorm22</f>
        <v>0</v>
      </c>
      <c r="M43" s="58" t="s">
        <v>41</v>
      </c>
      <c r="N43" s="62">
        <f>uurtarief22</f>
        <v>0</v>
      </c>
      <c r="O43" s="60" t="e">
        <f t="shared" si="1"/>
        <v>#DIV/0!</v>
      </c>
      <c r="P43" s="62" t="e">
        <f t="shared" si="2"/>
        <v>#DIV/0!</v>
      </c>
      <c r="Q43" s="60" t="e">
        <f t="shared" si="3"/>
        <v>#DIV/0!</v>
      </c>
      <c r="R43" s="63" t="e">
        <f t="shared" si="4"/>
        <v>#DIV/0!</v>
      </c>
    </row>
    <row r="44" spans="1:18" x14ac:dyDescent="0.2">
      <c r="A44" s="57" t="s">
        <v>187</v>
      </c>
      <c r="B44" s="58" t="s">
        <v>188</v>
      </c>
      <c r="C44" s="58" t="s">
        <v>252</v>
      </c>
      <c r="D44" s="58" t="s">
        <v>253</v>
      </c>
      <c r="E44" s="59" t="s">
        <v>207</v>
      </c>
      <c r="F44" s="58" t="s">
        <v>199</v>
      </c>
      <c r="G44" s="58" t="s">
        <v>171</v>
      </c>
      <c r="H44" s="58" t="s">
        <v>11</v>
      </c>
      <c r="I44" s="58" t="s">
        <v>133</v>
      </c>
      <c r="J44" s="60">
        <v>108</v>
      </c>
      <c r="K44" s="60">
        <f t="shared" si="0"/>
        <v>84.705882352941174</v>
      </c>
      <c r="L44" s="61">
        <f>prodnorm45</f>
        <v>0</v>
      </c>
      <c r="M44" s="58" t="s">
        <v>41</v>
      </c>
      <c r="N44" s="62">
        <f>uurtarief45</f>
        <v>0</v>
      </c>
      <c r="O44" s="60" t="e">
        <f t="shared" si="1"/>
        <v>#DIV/0!</v>
      </c>
      <c r="P44" s="62" t="e">
        <f t="shared" si="2"/>
        <v>#DIV/0!</v>
      </c>
      <c r="Q44" s="60" t="e">
        <f t="shared" si="3"/>
        <v>#DIV/0!</v>
      </c>
      <c r="R44" s="63" t="e">
        <f t="shared" si="4"/>
        <v>#DIV/0!</v>
      </c>
    </row>
    <row r="45" spans="1:18" x14ac:dyDescent="0.2">
      <c r="A45" s="57" t="s">
        <v>187</v>
      </c>
      <c r="B45" s="58" t="s">
        <v>188</v>
      </c>
      <c r="C45" s="58" t="s">
        <v>252</v>
      </c>
      <c r="D45" s="58" t="s">
        <v>254</v>
      </c>
      <c r="E45" s="59" t="s">
        <v>255</v>
      </c>
      <c r="F45" s="58" t="s">
        <v>199</v>
      </c>
      <c r="G45" s="58" t="s">
        <v>143</v>
      </c>
      <c r="H45" s="58" t="s">
        <v>11</v>
      </c>
      <c r="I45" s="58" t="s">
        <v>133</v>
      </c>
      <c r="J45" s="60">
        <v>11</v>
      </c>
      <c r="K45" s="60">
        <f t="shared" si="0"/>
        <v>8.6274509803921564</v>
      </c>
      <c r="L45" s="61">
        <f>prodnorm29</f>
        <v>0</v>
      </c>
      <c r="M45" s="58" t="s">
        <v>41</v>
      </c>
      <c r="N45" s="62">
        <f>uurtarief29</f>
        <v>0</v>
      </c>
      <c r="O45" s="60" t="e">
        <f t="shared" si="1"/>
        <v>#DIV/0!</v>
      </c>
      <c r="P45" s="62" t="e">
        <f t="shared" si="2"/>
        <v>#DIV/0!</v>
      </c>
      <c r="Q45" s="60" t="e">
        <f t="shared" si="3"/>
        <v>#DIV/0!</v>
      </c>
      <c r="R45" s="63" t="e">
        <f t="shared" si="4"/>
        <v>#DIV/0!</v>
      </c>
    </row>
    <row r="46" spans="1:18" x14ac:dyDescent="0.2">
      <c r="A46" s="57" t="s">
        <v>187</v>
      </c>
      <c r="B46" s="58" t="s">
        <v>188</v>
      </c>
      <c r="C46" s="58" t="s">
        <v>252</v>
      </c>
      <c r="D46" s="58" t="s">
        <v>256</v>
      </c>
      <c r="E46" s="59" t="s">
        <v>257</v>
      </c>
      <c r="F46" s="58" t="s">
        <v>192</v>
      </c>
      <c r="G46" s="58" t="s">
        <v>153</v>
      </c>
      <c r="H46" s="58" t="s">
        <v>11</v>
      </c>
      <c r="I46" s="58" t="s">
        <v>133</v>
      </c>
      <c r="J46" s="60">
        <v>234</v>
      </c>
      <c r="K46" s="60">
        <f t="shared" si="0"/>
        <v>183.52941176470588</v>
      </c>
      <c r="L46" s="61">
        <f>prodnorm36</f>
        <v>0</v>
      </c>
      <c r="M46" s="58" t="s">
        <v>41</v>
      </c>
      <c r="N46" s="62">
        <f>uurtarief36</f>
        <v>0</v>
      </c>
      <c r="O46" s="60" t="e">
        <f t="shared" si="1"/>
        <v>#DIV/0!</v>
      </c>
      <c r="P46" s="62" t="e">
        <f t="shared" si="2"/>
        <v>#DIV/0!</v>
      </c>
      <c r="Q46" s="60" t="e">
        <f t="shared" si="3"/>
        <v>#DIV/0!</v>
      </c>
      <c r="R46" s="63" t="e">
        <f t="shared" si="4"/>
        <v>#DIV/0!</v>
      </c>
    </row>
    <row r="47" spans="1:18" x14ac:dyDescent="0.2">
      <c r="A47" s="57" t="s">
        <v>187</v>
      </c>
      <c r="B47" s="58" t="s">
        <v>188</v>
      </c>
      <c r="C47" s="58" t="s">
        <v>252</v>
      </c>
      <c r="D47" s="58" t="s">
        <v>258</v>
      </c>
      <c r="E47" s="59" t="s">
        <v>259</v>
      </c>
      <c r="F47" s="58" t="s">
        <v>260</v>
      </c>
      <c r="G47" s="58" t="s">
        <v>173</v>
      </c>
      <c r="H47" s="58" t="s">
        <v>12</v>
      </c>
      <c r="I47" s="58" t="s">
        <v>174</v>
      </c>
      <c r="J47" s="60">
        <v>32</v>
      </c>
      <c r="K47" s="60">
        <f t="shared" si="0"/>
        <v>20.078431372549019</v>
      </c>
      <c r="L47" s="61">
        <f>prodnorm21</f>
        <v>0</v>
      </c>
      <c r="M47" s="58" t="s">
        <v>41</v>
      </c>
      <c r="N47" s="62">
        <f>uurtarief21</f>
        <v>0</v>
      </c>
      <c r="O47" s="60" t="e">
        <f t="shared" si="1"/>
        <v>#DIV/0!</v>
      </c>
      <c r="P47" s="62" t="e">
        <f t="shared" si="2"/>
        <v>#DIV/0!</v>
      </c>
      <c r="Q47" s="60" t="e">
        <f t="shared" si="3"/>
        <v>#DIV/0!</v>
      </c>
      <c r="R47" s="63" t="e">
        <f t="shared" si="4"/>
        <v>#DIV/0!</v>
      </c>
    </row>
    <row r="48" spans="1:18" x14ac:dyDescent="0.2">
      <c r="A48" s="57" t="s">
        <v>187</v>
      </c>
      <c r="B48" s="58" t="s">
        <v>188</v>
      </c>
      <c r="C48" s="58" t="s">
        <v>252</v>
      </c>
      <c r="D48" s="58" t="s">
        <v>258</v>
      </c>
      <c r="E48" s="59" t="s">
        <v>259</v>
      </c>
      <c r="F48" s="58" t="s">
        <v>260</v>
      </c>
      <c r="G48" s="58" t="s">
        <v>135</v>
      </c>
      <c r="H48" s="58" t="s">
        <v>18</v>
      </c>
      <c r="I48" s="58" t="s">
        <v>133</v>
      </c>
      <c r="J48" s="60">
        <v>32</v>
      </c>
      <c r="K48" s="60">
        <f t="shared" si="0"/>
        <v>5.0196078431372548</v>
      </c>
      <c r="L48" s="61">
        <f>prodnorm24</f>
        <v>0</v>
      </c>
      <c r="M48" s="58" t="s">
        <v>41</v>
      </c>
      <c r="N48" s="62">
        <f>uurtarief24</f>
        <v>0</v>
      </c>
      <c r="O48" s="60" t="e">
        <f t="shared" si="1"/>
        <v>#DIV/0!</v>
      </c>
      <c r="P48" s="62" t="e">
        <f t="shared" si="2"/>
        <v>#DIV/0!</v>
      </c>
      <c r="Q48" s="60" t="e">
        <f t="shared" si="3"/>
        <v>#DIV/0!</v>
      </c>
      <c r="R48" s="63" t="e">
        <f t="shared" si="4"/>
        <v>#DIV/0!</v>
      </c>
    </row>
    <row r="49" spans="1:18" x14ac:dyDescent="0.2">
      <c r="A49" s="57" t="s">
        <v>187</v>
      </c>
      <c r="B49" s="58" t="s">
        <v>188</v>
      </c>
      <c r="C49" s="58" t="s">
        <v>252</v>
      </c>
      <c r="D49" s="58" t="s">
        <v>261</v>
      </c>
      <c r="E49" s="59" t="s">
        <v>262</v>
      </c>
      <c r="F49" s="58" t="s">
        <v>192</v>
      </c>
      <c r="G49" s="58" t="s">
        <v>173</v>
      </c>
      <c r="H49" s="58" t="s">
        <v>12</v>
      </c>
      <c r="I49" s="58" t="s">
        <v>174</v>
      </c>
      <c r="J49" s="60">
        <v>15</v>
      </c>
      <c r="K49" s="60">
        <f t="shared" si="0"/>
        <v>9.4117647058823533</v>
      </c>
      <c r="L49" s="61">
        <f>prodnorm21</f>
        <v>0</v>
      </c>
      <c r="M49" s="58" t="s">
        <v>41</v>
      </c>
      <c r="N49" s="62">
        <f>uurtarief21</f>
        <v>0</v>
      </c>
      <c r="O49" s="60" t="e">
        <f t="shared" si="1"/>
        <v>#DIV/0!</v>
      </c>
      <c r="P49" s="62" t="e">
        <f t="shared" si="2"/>
        <v>#DIV/0!</v>
      </c>
      <c r="Q49" s="60" t="e">
        <f t="shared" si="3"/>
        <v>#DIV/0!</v>
      </c>
      <c r="R49" s="63" t="e">
        <f t="shared" si="4"/>
        <v>#DIV/0!</v>
      </c>
    </row>
    <row r="50" spans="1:18" x14ac:dyDescent="0.2">
      <c r="A50" s="57" t="s">
        <v>187</v>
      </c>
      <c r="B50" s="58" t="s">
        <v>188</v>
      </c>
      <c r="C50" s="58" t="s">
        <v>252</v>
      </c>
      <c r="D50" s="58" t="s">
        <v>261</v>
      </c>
      <c r="E50" s="59" t="s">
        <v>262</v>
      </c>
      <c r="F50" s="58" t="s">
        <v>192</v>
      </c>
      <c r="G50" s="58" t="s">
        <v>135</v>
      </c>
      <c r="H50" s="58" t="s">
        <v>18</v>
      </c>
      <c r="I50" s="58" t="s">
        <v>133</v>
      </c>
      <c r="J50" s="60">
        <v>15</v>
      </c>
      <c r="K50" s="60">
        <f t="shared" si="0"/>
        <v>2.3529411764705883</v>
      </c>
      <c r="L50" s="61">
        <f>prodnorm24</f>
        <v>0</v>
      </c>
      <c r="M50" s="58" t="s">
        <v>41</v>
      </c>
      <c r="N50" s="62">
        <f>uurtarief24</f>
        <v>0</v>
      </c>
      <c r="O50" s="60" t="e">
        <f t="shared" si="1"/>
        <v>#DIV/0!</v>
      </c>
      <c r="P50" s="62" t="e">
        <f t="shared" si="2"/>
        <v>#DIV/0!</v>
      </c>
      <c r="Q50" s="60" t="e">
        <f t="shared" si="3"/>
        <v>#DIV/0!</v>
      </c>
      <c r="R50" s="63" t="e">
        <f t="shared" si="4"/>
        <v>#DIV/0!</v>
      </c>
    </row>
    <row r="51" spans="1:18" x14ac:dyDescent="0.2">
      <c r="A51" s="57" t="s">
        <v>187</v>
      </c>
      <c r="B51" s="58" t="s">
        <v>188</v>
      </c>
      <c r="C51" s="58" t="s">
        <v>252</v>
      </c>
      <c r="D51" s="58" t="s">
        <v>263</v>
      </c>
      <c r="E51" s="59" t="s">
        <v>264</v>
      </c>
      <c r="F51" s="58" t="s">
        <v>192</v>
      </c>
      <c r="G51" s="58" t="s">
        <v>153</v>
      </c>
      <c r="H51" s="58" t="s">
        <v>11</v>
      </c>
      <c r="I51" s="58" t="s">
        <v>133</v>
      </c>
      <c r="J51" s="60">
        <v>62</v>
      </c>
      <c r="K51" s="60">
        <f t="shared" si="0"/>
        <v>48.627450980392155</v>
      </c>
      <c r="L51" s="61">
        <f>prodnorm36</f>
        <v>0</v>
      </c>
      <c r="M51" s="58" t="s">
        <v>41</v>
      </c>
      <c r="N51" s="62">
        <f>uurtarief36</f>
        <v>0</v>
      </c>
      <c r="O51" s="60" t="e">
        <f t="shared" si="1"/>
        <v>#DIV/0!</v>
      </c>
      <c r="P51" s="62" t="e">
        <f t="shared" si="2"/>
        <v>#DIV/0!</v>
      </c>
      <c r="Q51" s="60" t="e">
        <f t="shared" si="3"/>
        <v>#DIV/0!</v>
      </c>
      <c r="R51" s="63" t="e">
        <f t="shared" si="4"/>
        <v>#DIV/0!</v>
      </c>
    </row>
    <row r="52" spans="1:18" x14ac:dyDescent="0.2">
      <c r="A52" s="57" t="s">
        <v>187</v>
      </c>
      <c r="B52" s="58" t="s">
        <v>188</v>
      </c>
      <c r="C52" s="58" t="s">
        <v>252</v>
      </c>
      <c r="D52" s="58" t="s">
        <v>265</v>
      </c>
      <c r="E52" s="59" t="s">
        <v>266</v>
      </c>
      <c r="F52" s="58" t="s">
        <v>192</v>
      </c>
      <c r="G52" s="58" t="s">
        <v>173</v>
      </c>
      <c r="H52" s="58" t="s">
        <v>12</v>
      </c>
      <c r="I52" s="58" t="s">
        <v>174</v>
      </c>
      <c r="J52" s="60">
        <v>20</v>
      </c>
      <c r="K52" s="60">
        <f t="shared" si="0"/>
        <v>12.549019607843137</v>
      </c>
      <c r="L52" s="61">
        <f>prodnorm21</f>
        <v>0</v>
      </c>
      <c r="M52" s="58" t="s">
        <v>41</v>
      </c>
      <c r="N52" s="62">
        <f>uurtarief21</f>
        <v>0</v>
      </c>
      <c r="O52" s="60" t="e">
        <f t="shared" si="1"/>
        <v>#DIV/0!</v>
      </c>
      <c r="P52" s="62" t="e">
        <f t="shared" si="2"/>
        <v>#DIV/0!</v>
      </c>
      <c r="Q52" s="60" t="e">
        <f t="shared" si="3"/>
        <v>#DIV/0!</v>
      </c>
      <c r="R52" s="63" t="e">
        <f t="shared" si="4"/>
        <v>#DIV/0!</v>
      </c>
    </row>
    <row r="53" spans="1:18" x14ac:dyDescent="0.2">
      <c r="A53" s="57" t="s">
        <v>187</v>
      </c>
      <c r="B53" s="58" t="s">
        <v>188</v>
      </c>
      <c r="C53" s="58" t="s">
        <v>252</v>
      </c>
      <c r="D53" s="58" t="s">
        <v>265</v>
      </c>
      <c r="E53" s="59" t="s">
        <v>266</v>
      </c>
      <c r="F53" s="58" t="s">
        <v>192</v>
      </c>
      <c r="G53" s="58" t="s">
        <v>135</v>
      </c>
      <c r="H53" s="58" t="s">
        <v>18</v>
      </c>
      <c r="I53" s="58" t="s">
        <v>133</v>
      </c>
      <c r="J53" s="60">
        <v>20</v>
      </c>
      <c r="K53" s="60">
        <f t="shared" si="0"/>
        <v>3.1372549019607843</v>
      </c>
      <c r="L53" s="61">
        <f>prodnorm24</f>
        <v>0</v>
      </c>
      <c r="M53" s="58" t="s">
        <v>41</v>
      </c>
      <c r="N53" s="62">
        <f>uurtarief24</f>
        <v>0</v>
      </c>
      <c r="O53" s="60" t="e">
        <f t="shared" si="1"/>
        <v>#DIV/0!</v>
      </c>
      <c r="P53" s="62" t="e">
        <f t="shared" si="2"/>
        <v>#DIV/0!</v>
      </c>
      <c r="Q53" s="60" t="e">
        <f t="shared" si="3"/>
        <v>#DIV/0!</v>
      </c>
      <c r="R53" s="63" t="e">
        <f t="shared" si="4"/>
        <v>#DIV/0!</v>
      </c>
    </row>
    <row r="54" spans="1:18" x14ac:dyDescent="0.2">
      <c r="A54" s="57" t="s">
        <v>187</v>
      </c>
      <c r="B54" s="58" t="s">
        <v>188</v>
      </c>
      <c r="C54" s="58" t="s">
        <v>252</v>
      </c>
      <c r="D54" s="58" t="s">
        <v>267</v>
      </c>
      <c r="E54" s="59" t="s">
        <v>266</v>
      </c>
      <c r="F54" s="58" t="s">
        <v>192</v>
      </c>
      <c r="G54" s="58" t="s">
        <v>173</v>
      </c>
      <c r="H54" s="58" t="s">
        <v>12</v>
      </c>
      <c r="I54" s="58" t="s">
        <v>174</v>
      </c>
      <c r="J54" s="60">
        <v>19</v>
      </c>
      <c r="K54" s="60">
        <f t="shared" si="0"/>
        <v>11.921568627450981</v>
      </c>
      <c r="L54" s="61">
        <f>prodnorm21</f>
        <v>0</v>
      </c>
      <c r="M54" s="58" t="s">
        <v>41</v>
      </c>
      <c r="N54" s="62">
        <f>uurtarief21</f>
        <v>0</v>
      </c>
      <c r="O54" s="60" t="e">
        <f t="shared" si="1"/>
        <v>#DIV/0!</v>
      </c>
      <c r="P54" s="62" t="e">
        <f t="shared" si="2"/>
        <v>#DIV/0!</v>
      </c>
      <c r="Q54" s="60" t="e">
        <f t="shared" si="3"/>
        <v>#DIV/0!</v>
      </c>
      <c r="R54" s="63" t="e">
        <f t="shared" si="4"/>
        <v>#DIV/0!</v>
      </c>
    </row>
    <row r="55" spans="1:18" x14ac:dyDescent="0.2">
      <c r="A55" s="57" t="s">
        <v>187</v>
      </c>
      <c r="B55" s="58" t="s">
        <v>188</v>
      </c>
      <c r="C55" s="58" t="s">
        <v>252</v>
      </c>
      <c r="D55" s="58" t="s">
        <v>267</v>
      </c>
      <c r="E55" s="59" t="s">
        <v>266</v>
      </c>
      <c r="F55" s="58" t="s">
        <v>192</v>
      </c>
      <c r="G55" s="58" t="s">
        <v>135</v>
      </c>
      <c r="H55" s="58" t="s">
        <v>18</v>
      </c>
      <c r="I55" s="58" t="s">
        <v>133</v>
      </c>
      <c r="J55" s="60">
        <v>19</v>
      </c>
      <c r="K55" s="60">
        <f t="shared" si="0"/>
        <v>2.9803921568627452</v>
      </c>
      <c r="L55" s="61">
        <f>prodnorm24</f>
        <v>0</v>
      </c>
      <c r="M55" s="58" t="s">
        <v>41</v>
      </c>
      <c r="N55" s="62">
        <f>uurtarief24</f>
        <v>0</v>
      </c>
      <c r="O55" s="60" t="e">
        <f t="shared" si="1"/>
        <v>#DIV/0!</v>
      </c>
      <c r="P55" s="62" t="e">
        <f t="shared" si="2"/>
        <v>#DIV/0!</v>
      </c>
      <c r="Q55" s="60" t="e">
        <f t="shared" si="3"/>
        <v>#DIV/0!</v>
      </c>
      <c r="R55" s="63" t="e">
        <f t="shared" si="4"/>
        <v>#DIV/0!</v>
      </c>
    </row>
    <row r="56" spans="1:18" x14ac:dyDescent="0.2">
      <c r="A56" s="57" t="s">
        <v>187</v>
      </c>
      <c r="B56" s="58" t="s">
        <v>188</v>
      </c>
      <c r="C56" s="58" t="s">
        <v>252</v>
      </c>
      <c r="D56" s="58" t="s">
        <v>268</v>
      </c>
      <c r="E56" s="59" t="s">
        <v>266</v>
      </c>
      <c r="F56" s="58" t="s">
        <v>192</v>
      </c>
      <c r="G56" s="58" t="s">
        <v>173</v>
      </c>
      <c r="H56" s="58" t="s">
        <v>12</v>
      </c>
      <c r="I56" s="58" t="s">
        <v>174</v>
      </c>
      <c r="J56" s="60">
        <v>17</v>
      </c>
      <c r="K56" s="60">
        <f t="shared" si="0"/>
        <v>10.666666666666666</v>
      </c>
      <c r="L56" s="61">
        <f>prodnorm21</f>
        <v>0</v>
      </c>
      <c r="M56" s="58" t="s">
        <v>41</v>
      </c>
      <c r="N56" s="62">
        <f>uurtarief21</f>
        <v>0</v>
      </c>
      <c r="O56" s="60" t="e">
        <f t="shared" si="1"/>
        <v>#DIV/0!</v>
      </c>
      <c r="P56" s="62" t="e">
        <f t="shared" si="2"/>
        <v>#DIV/0!</v>
      </c>
      <c r="Q56" s="60" t="e">
        <f t="shared" si="3"/>
        <v>#DIV/0!</v>
      </c>
      <c r="R56" s="63" t="e">
        <f t="shared" si="4"/>
        <v>#DIV/0!</v>
      </c>
    </row>
    <row r="57" spans="1:18" x14ac:dyDescent="0.2">
      <c r="A57" s="57" t="s">
        <v>187</v>
      </c>
      <c r="B57" s="58" t="s">
        <v>188</v>
      </c>
      <c r="C57" s="58" t="s">
        <v>252</v>
      </c>
      <c r="D57" s="58" t="s">
        <v>268</v>
      </c>
      <c r="E57" s="59" t="s">
        <v>266</v>
      </c>
      <c r="F57" s="58" t="s">
        <v>192</v>
      </c>
      <c r="G57" s="58" t="s">
        <v>135</v>
      </c>
      <c r="H57" s="58" t="s">
        <v>18</v>
      </c>
      <c r="I57" s="58" t="s">
        <v>133</v>
      </c>
      <c r="J57" s="60">
        <v>17</v>
      </c>
      <c r="K57" s="60">
        <f t="shared" si="0"/>
        <v>2.6666666666666665</v>
      </c>
      <c r="L57" s="61">
        <f>prodnorm24</f>
        <v>0</v>
      </c>
      <c r="M57" s="58" t="s">
        <v>41</v>
      </c>
      <c r="N57" s="62">
        <f>uurtarief24</f>
        <v>0</v>
      </c>
      <c r="O57" s="60" t="e">
        <f t="shared" si="1"/>
        <v>#DIV/0!</v>
      </c>
      <c r="P57" s="62" t="e">
        <f t="shared" si="2"/>
        <v>#DIV/0!</v>
      </c>
      <c r="Q57" s="60" t="e">
        <f t="shared" si="3"/>
        <v>#DIV/0!</v>
      </c>
      <c r="R57" s="63" t="e">
        <f t="shared" si="4"/>
        <v>#DIV/0!</v>
      </c>
    </row>
    <row r="58" spans="1:18" x14ac:dyDescent="0.2">
      <c r="A58" s="57" t="s">
        <v>187</v>
      </c>
      <c r="B58" s="58" t="s">
        <v>188</v>
      </c>
      <c r="C58" s="58" t="s">
        <v>252</v>
      </c>
      <c r="D58" s="58" t="s">
        <v>269</v>
      </c>
      <c r="E58" s="59" t="s">
        <v>270</v>
      </c>
      <c r="F58" s="58" t="s">
        <v>192</v>
      </c>
      <c r="G58" s="58" t="s">
        <v>153</v>
      </c>
      <c r="H58" s="58" t="s">
        <v>11</v>
      </c>
      <c r="I58" s="58" t="s">
        <v>133</v>
      </c>
      <c r="J58" s="60">
        <v>43</v>
      </c>
      <c r="K58" s="60">
        <f t="shared" si="0"/>
        <v>33.725490196078432</v>
      </c>
      <c r="L58" s="61">
        <f>prodnorm36</f>
        <v>0</v>
      </c>
      <c r="M58" s="58" t="s">
        <v>41</v>
      </c>
      <c r="N58" s="62">
        <f>uurtarief36</f>
        <v>0</v>
      </c>
      <c r="O58" s="60" t="e">
        <f t="shared" si="1"/>
        <v>#DIV/0!</v>
      </c>
      <c r="P58" s="62" t="e">
        <f t="shared" si="2"/>
        <v>#DIV/0!</v>
      </c>
      <c r="Q58" s="60" t="e">
        <f t="shared" si="3"/>
        <v>#DIV/0!</v>
      </c>
      <c r="R58" s="63" t="e">
        <f t="shared" si="4"/>
        <v>#DIV/0!</v>
      </c>
    </row>
    <row r="59" spans="1:18" x14ac:dyDescent="0.2">
      <c r="A59" s="57" t="s">
        <v>187</v>
      </c>
      <c r="B59" s="58" t="s">
        <v>188</v>
      </c>
      <c r="C59" s="58" t="s">
        <v>252</v>
      </c>
      <c r="D59" s="58" t="s">
        <v>271</v>
      </c>
      <c r="E59" s="59" t="s">
        <v>272</v>
      </c>
      <c r="F59" s="58" t="s">
        <v>192</v>
      </c>
      <c r="G59" s="58" t="s">
        <v>173</v>
      </c>
      <c r="H59" s="58" t="s">
        <v>12</v>
      </c>
      <c r="I59" s="58" t="s">
        <v>174</v>
      </c>
      <c r="J59" s="60">
        <v>28</v>
      </c>
      <c r="K59" s="60">
        <f t="shared" si="0"/>
        <v>17.568627450980394</v>
      </c>
      <c r="L59" s="61">
        <f>prodnorm21</f>
        <v>0</v>
      </c>
      <c r="M59" s="58" t="s">
        <v>41</v>
      </c>
      <c r="N59" s="62">
        <f>uurtarief21</f>
        <v>0</v>
      </c>
      <c r="O59" s="60" t="e">
        <f t="shared" si="1"/>
        <v>#DIV/0!</v>
      </c>
      <c r="P59" s="62" t="e">
        <f t="shared" si="2"/>
        <v>#DIV/0!</v>
      </c>
      <c r="Q59" s="60" t="e">
        <f t="shared" si="3"/>
        <v>#DIV/0!</v>
      </c>
      <c r="R59" s="63" t="e">
        <f t="shared" si="4"/>
        <v>#DIV/0!</v>
      </c>
    </row>
    <row r="60" spans="1:18" x14ac:dyDescent="0.2">
      <c r="A60" s="57" t="s">
        <v>187</v>
      </c>
      <c r="B60" s="58" t="s">
        <v>188</v>
      </c>
      <c r="C60" s="58" t="s">
        <v>252</v>
      </c>
      <c r="D60" s="58" t="s">
        <v>271</v>
      </c>
      <c r="E60" s="59" t="s">
        <v>272</v>
      </c>
      <c r="F60" s="58" t="s">
        <v>192</v>
      </c>
      <c r="G60" s="58" t="s">
        <v>135</v>
      </c>
      <c r="H60" s="58" t="s">
        <v>18</v>
      </c>
      <c r="I60" s="58" t="s">
        <v>133</v>
      </c>
      <c r="J60" s="60">
        <v>28</v>
      </c>
      <c r="K60" s="60">
        <f t="shared" si="0"/>
        <v>4.3921568627450984</v>
      </c>
      <c r="L60" s="61">
        <f>prodnorm24</f>
        <v>0</v>
      </c>
      <c r="M60" s="58" t="s">
        <v>41</v>
      </c>
      <c r="N60" s="62">
        <f>uurtarief24</f>
        <v>0</v>
      </c>
      <c r="O60" s="60" t="e">
        <f t="shared" si="1"/>
        <v>#DIV/0!</v>
      </c>
      <c r="P60" s="62" t="e">
        <f t="shared" si="2"/>
        <v>#DIV/0!</v>
      </c>
      <c r="Q60" s="60" t="e">
        <f t="shared" si="3"/>
        <v>#DIV/0!</v>
      </c>
      <c r="R60" s="63" t="e">
        <f t="shared" si="4"/>
        <v>#DIV/0!</v>
      </c>
    </row>
    <row r="61" spans="1:18" x14ac:dyDescent="0.2">
      <c r="A61" s="57" t="s">
        <v>187</v>
      </c>
      <c r="B61" s="58" t="s">
        <v>188</v>
      </c>
      <c r="C61" s="58" t="s">
        <v>252</v>
      </c>
      <c r="D61" s="58" t="s">
        <v>273</v>
      </c>
      <c r="E61" s="59" t="s">
        <v>274</v>
      </c>
      <c r="F61" s="58" t="s">
        <v>192</v>
      </c>
      <c r="G61" s="58" t="s">
        <v>149</v>
      </c>
      <c r="H61" s="58" t="s">
        <v>11</v>
      </c>
      <c r="I61" s="58" t="s">
        <v>133</v>
      </c>
      <c r="J61" s="60">
        <v>2</v>
      </c>
      <c r="K61" s="60">
        <f t="shared" si="0"/>
        <v>1.5686274509803921</v>
      </c>
      <c r="L61" s="61">
        <f>prodnorm33</f>
        <v>0</v>
      </c>
      <c r="M61" s="58" t="s">
        <v>41</v>
      </c>
      <c r="N61" s="62">
        <f>uurtarief33</f>
        <v>0</v>
      </c>
      <c r="O61" s="60" t="e">
        <f t="shared" si="1"/>
        <v>#DIV/0!</v>
      </c>
      <c r="P61" s="62" t="e">
        <f t="shared" si="2"/>
        <v>#DIV/0!</v>
      </c>
      <c r="Q61" s="60" t="e">
        <f t="shared" si="3"/>
        <v>#DIV/0!</v>
      </c>
      <c r="R61" s="63" t="e">
        <f t="shared" si="4"/>
        <v>#DIV/0!</v>
      </c>
    </row>
    <row r="62" spans="1:18" x14ac:dyDescent="0.2">
      <c r="A62" s="57" t="s">
        <v>187</v>
      </c>
      <c r="B62" s="58" t="s">
        <v>188</v>
      </c>
      <c r="C62" s="58" t="s">
        <v>252</v>
      </c>
      <c r="D62" s="58" t="s">
        <v>275</v>
      </c>
      <c r="E62" s="59" t="s">
        <v>209</v>
      </c>
      <c r="F62" s="58" t="s">
        <v>192</v>
      </c>
      <c r="G62" s="58" t="s">
        <v>167</v>
      </c>
      <c r="H62" s="58" t="s">
        <v>11</v>
      </c>
      <c r="I62" s="58" t="s">
        <v>133</v>
      </c>
      <c r="J62" s="60">
        <v>17</v>
      </c>
      <c r="K62" s="60">
        <f t="shared" si="0"/>
        <v>13.333333333333334</v>
      </c>
      <c r="L62" s="61">
        <f>prodnorm43</f>
        <v>0</v>
      </c>
      <c r="M62" s="58" t="s">
        <v>41</v>
      </c>
      <c r="N62" s="62">
        <f>uurtarief43</f>
        <v>0</v>
      </c>
      <c r="O62" s="60" t="e">
        <f t="shared" si="1"/>
        <v>#DIV/0!</v>
      </c>
      <c r="P62" s="62" t="e">
        <f t="shared" si="2"/>
        <v>#DIV/0!</v>
      </c>
      <c r="Q62" s="60" t="e">
        <f t="shared" si="3"/>
        <v>#DIV/0!</v>
      </c>
      <c r="R62" s="63" t="e">
        <f t="shared" si="4"/>
        <v>#DIV/0!</v>
      </c>
    </row>
    <row r="63" spans="1:18" x14ac:dyDescent="0.2">
      <c r="A63" s="57" t="s">
        <v>187</v>
      </c>
      <c r="B63" s="58" t="s">
        <v>188</v>
      </c>
      <c r="C63" s="58" t="s">
        <v>252</v>
      </c>
      <c r="D63" s="58" t="s">
        <v>276</v>
      </c>
      <c r="E63" s="59" t="s">
        <v>277</v>
      </c>
      <c r="F63" s="58" t="s">
        <v>199</v>
      </c>
      <c r="G63" s="58" t="s">
        <v>169</v>
      </c>
      <c r="H63" s="58" t="s">
        <v>11</v>
      </c>
      <c r="I63" s="58" t="s">
        <v>133</v>
      </c>
      <c r="J63" s="60">
        <v>18</v>
      </c>
      <c r="K63" s="60">
        <f t="shared" si="0"/>
        <v>14.117647058823529</v>
      </c>
      <c r="L63" s="61">
        <f>prodnorm44</f>
        <v>0</v>
      </c>
      <c r="M63" s="58" t="s">
        <v>41</v>
      </c>
      <c r="N63" s="62">
        <f>uurtarief44</f>
        <v>0</v>
      </c>
      <c r="O63" s="60" t="e">
        <f t="shared" si="1"/>
        <v>#DIV/0!</v>
      </c>
      <c r="P63" s="62" t="e">
        <f t="shared" si="2"/>
        <v>#DIV/0!</v>
      </c>
      <c r="Q63" s="60" t="e">
        <f t="shared" si="3"/>
        <v>#DIV/0!</v>
      </c>
      <c r="R63" s="63" t="e">
        <f t="shared" si="4"/>
        <v>#DIV/0!</v>
      </c>
    </row>
    <row r="64" spans="1:18" x14ac:dyDescent="0.2">
      <c r="A64" s="57" t="s">
        <v>187</v>
      </c>
      <c r="B64" s="58" t="s">
        <v>188</v>
      </c>
      <c r="C64" s="58" t="s">
        <v>252</v>
      </c>
      <c r="D64" s="58" t="s">
        <v>278</v>
      </c>
      <c r="E64" s="59" t="s">
        <v>279</v>
      </c>
      <c r="F64" s="58" t="s">
        <v>192</v>
      </c>
      <c r="G64" s="58" t="s">
        <v>153</v>
      </c>
      <c r="H64" s="58" t="s">
        <v>11</v>
      </c>
      <c r="I64" s="58" t="s">
        <v>133</v>
      </c>
      <c r="J64" s="60">
        <v>56</v>
      </c>
      <c r="K64" s="60">
        <f t="shared" si="0"/>
        <v>43.921568627450981</v>
      </c>
      <c r="L64" s="61">
        <f>prodnorm36</f>
        <v>0</v>
      </c>
      <c r="M64" s="58" t="s">
        <v>41</v>
      </c>
      <c r="N64" s="62">
        <f>uurtarief36</f>
        <v>0</v>
      </c>
      <c r="O64" s="60" t="e">
        <f t="shared" si="1"/>
        <v>#DIV/0!</v>
      </c>
      <c r="P64" s="62" t="e">
        <f t="shared" si="2"/>
        <v>#DIV/0!</v>
      </c>
      <c r="Q64" s="60" t="e">
        <f t="shared" si="3"/>
        <v>#DIV/0!</v>
      </c>
      <c r="R64" s="63" t="e">
        <f t="shared" si="4"/>
        <v>#DIV/0!</v>
      </c>
    </row>
    <row r="65" spans="1:18" x14ac:dyDescent="0.2">
      <c r="A65" s="57" t="s">
        <v>187</v>
      </c>
      <c r="B65" s="58" t="s">
        <v>188</v>
      </c>
      <c r="C65" s="58" t="s">
        <v>252</v>
      </c>
      <c r="D65" s="58" t="s">
        <v>280</v>
      </c>
      <c r="E65" s="59" t="s">
        <v>209</v>
      </c>
      <c r="F65" s="58" t="s">
        <v>192</v>
      </c>
      <c r="G65" s="58" t="s">
        <v>167</v>
      </c>
      <c r="H65" s="58" t="s">
        <v>11</v>
      </c>
      <c r="I65" s="58" t="s">
        <v>133</v>
      </c>
      <c r="J65" s="60">
        <v>17</v>
      </c>
      <c r="K65" s="60">
        <f t="shared" si="0"/>
        <v>13.333333333333334</v>
      </c>
      <c r="L65" s="61">
        <f>prodnorm43</f>
        <v>0</v>
      </c>
      <c r="M65" s="58" t="s">
        <v>41</v>
      </c>
      <c r="N65" s="62">
        <f>uurtarief43</f>
        <v>0</v>
      </c>
      <c r="O65" s="60" t="e">
        <f t="shared" si="1"/>
        <v>#DIV/0!</v>
      </c>
      <c r="P65" s="62" t="e">
        <f t="shared" si="2"/>
        <v>#DIV/0!</v>
      </c>
      <c r="Q65" s="60" t="e">
        <f t="shared" si="3"/>
        <v>#DIV/0!</v>
      </c>
      <c r="R65" s="63" t="e">
        <f t="shared" si="4"/>
        <v>#DIV/0!</v>
      </c>
    </row>
    <row r="66" spans="1:18" x14ac:dyDescent="0.2">
      <c r="A66" s="57" t="s">
        <v>187</v>
      </c>
      <c r="B66" s="58" t="s">
        <v>188</v>
      </c>
      <c r="C66" s="58" t="s">
        <v>252</v>
      </c>
      <c r="D66" s="58" t="s">
        <v>281</v>
      </c>
      <c r="E66" s="59" t="s">
        <v>207</v>
      </c>
      <c r="F66" s="58" t="s">
        <v>192</v>
      </c>
      <c r="G66" s="58" t="s">
        <v>171</v>
      </c>
      <c r="H66" s="58" t="s">
        <v>11</v>
      </c>
      <c r="I66" s="58" t="s">
        <v>133</v>
      </c>
      <c r="J66" s="60">
        <v>53</v>
      </c>
      <c r="K66" s="60">
        <f t="shared" si="0"/>
        <v>41.568627450980394</v>
      </c>
      <c r="L66" s="61">
        <f>prodnorm45</f>
        <v>0</v>
      </c>
      <c r="M66" s="58" t="s">
        <v>41</v>
      </c>
      <c r="N66" s="62">
        <f>uurtarief45</f>
        <v>0</v>
      </c>
      <c r="O66" s="60" t="e">
        <f t="shared" si="1"/>
        <v>#DIV/0!</v>
      </c>
      <c r="P66" s="62" t="e">
        <f t="shared" si="2"/>
        <v>#DIV/0!</v>
      </c>
      <c r="Q66" s="60" t="e">
        <f t="shared" si="3"/>
        <v>#DIV/0!</v>
      </c>
      <c r="R66" s="63" t="e">
        <f t="shared" si="4"/>
        <v>#DIV/0!</v>
      </c>
    </row>
    <row r="67" spans="1:18" x14ac:dyDescent="0.2">
      <c r="A67" s="57" t="s">
        <v>187</v>
      </c>
      <c r="B67" s="58" t="s">
        <v>188</v>
      </c>
      <c r="C67" s="58" t="s">
        <v>252</v>
      </c>
      <c r="D67" s="58" t="s">
        <v>282</v>
      </c>
      <c r="E67" s="59" t="s">
        <v>283</v>
      </c>
      <c r="F67" s="58" t="s">
        <v>192</v>
      </c>
      <c r="G67" s="58" t="s">
        <v>153</v>
      </c>
      <c r="H67" s="58" t="s">
        <v>11</v>
      </c>
      <c r="I67" s="58" t="s">
        <v>133</v>
      </c>
      <c r="J67" s="60">
        <v>47</v>
      </c>
      <c r="K67" s="60">
        <f t="shared" si="0"/>
        <v>36.862745098039213</v>
      </c>
      <c r="L67" s="61">
        <f>prodnorm36</f>
        <v>0</v>
      </c>
      <c r="M67" s="58" t="s">
        <v>41</v>
      </c>
      <c r="N67" s="62">
        <f>uurtarief36</f>
        <v>0</v>
      </c>
      <c r="O67" s="60" t="e">
        <f t="shared" si="1"/>
        <v>#DIV/0!</v>
      </c>
      <c r="P67" s="62" t="e">
        <f t="shared" si="2"/>
        <v>#DIV/0!</v>
      </c>
      <c r="Q67" s="60" t="e">
        <f t="shared" si="3"/>
        <v>#DIV/0!</v>
      </c>
      <c r="R67" s="63" t="e">
        <f t="shared" si="4"/>
        <v>#DIV/0!</v>
      </c>
    </row>
    <row r="68" spans="1:18" x14ac:dyDescent="0.2">
      <c r="A68" s="57" t="s">
        <v>187</v>
      </c>
      <c r="B68" s="58" t="s">
        <v>188</v>
      </c>
      <c r="C68" s="58" t="s">
        <v>252</v>
      </c>
      <c r="D68" s="58" t="s">
        <v>284</v>
      </c>
      <c r="E68" s="59" t="s">
        <v>285</v>
      </c>
      <c r="F68" s="58" t="s">
        <v>192</v>
      </c>
      <c r="G68" s="58" t="s">
        <v>153</v>
      </c>
      <c r="H68" s="58" t="s">
        <v>11</v>
      </c>
      <c r="I68" s="58" t="s">
        <v>133</v>
      </c>
      <c r="J68" s="60">
        <v>47</v>
      </c>
      <c r="K68" s="60">
        <f t="shared" si="0"/>
        <v>36.862745098039213</v>
      </c>
      <c r="L68" s="61">
        <f>prodnorm36</f>
        <v>0</v>
      </c>
      <c r="M68" s="58" t="s">
        <v>41</v>
      </c>
      <c r="N68" s="62">
        <f>uurtarief36</f>
        <v>0</v>
      </c>
      <c r="O68" s="60" t="e">
        <f t="shared" si="1"/>
        <v>#DIV/0!</v>
      </c>
      <c r="P68" s="62" t="e">
        <f t="shared" si="2"/>
        <v>#DIV/0!</v>
      </c>
      <c r="Q68" s="60" t="e">
        <f t="shared" si="3"/>
        <v>#DIV/0!</v>
      </c>
      <c r="R68" s="63" t="e">
        <f t="shared" si="4"/>
        <v>#DIV/0!</v>
      </c>
    </row>
    <row r="69" spans="1:18" x14ac:dyDescent="0.2">
      <c r="A69" s="57" t="s">
        <v>187</v>
      </c>
      <c r="B69" s="58" t="s">
        <v>188</v>
      </c>
      <c r="C69" s="58" t="s">
        <v>252</v>
      </c>
      <c r="D69" s="58" t="s">
        <v>286</v>
      </c>
      <c r="E69" s="59" t="s">
        <v>287</v>
      </c>
      <c r="F69" s="58" t="s">
        <v>192</v>
      </c>
      <c r="G69" s="58" t="s">
        <v>153</v>
      </c>
      <c r="H69" s="58" t="s">
        <v>11</v>
      </c>
      <c r="I69" s="58" t="s">
        <v>133</v>
      </c>
      <c r="J69" s="60">
        <v>48</v>
      </c>
      <c r="K69" s="60">
        <f t="shared" ref="K69:K132" si="5">J69*VLOOKUP(H69,dagsoorttabel1,2,FALSE)</f>
        <v>37.647058823529413</v>
      </c>
      <c r="L69" s="61">
        <f>prodnorm36</f>
        <v>0</v>
      </c>
      <c r="M69" s="58" t="s">
        <v>41</v>
      </c>
      <c r="N69" s="62">
        <f>uurtarief36</f>
        <v>0</v>
      </c>
      <c r="O69" s="60" t="e">
        <f t="shared" ref="O69:O132" si="6">IF(ISBLANK(L69),0,K69/ROUND(L69,4))</f>
        <v>#DIV/0!</v>
      </c>
      <c r="P69" s="62" t="e">
        <f t="shared" ref="P69:P132" si="7">ROUND(N69,2)*O69</f>
        <v>#DIV/0!</v>
      </c>
      <c r="Q69" s="60" t="e">
        <f t="shared" ref="Q69:Q132" si="8">O69*dagenperjaar1</f>
        <v>#DIV/0!</v>
      </c>
      <c r="R69" s="63" t="e">
        <f t="shared" ref="R69:R132" si="9">Q69*ROUND(N69,2)</f>
        <v>#DIV/0!</v>
      </c>
    </row>
    <row r="70" spans="1:18" x14ac:dyDescent="0.2">
      <c r="A70" s="57" t="s">
        <v>187</v>
      </c>
      <c r="B70" s="58" t="s">
        <v>188</v>
      </c>
      <c r="C70" s="58" t="s">
        <v>252</v>
      </c>
      <c r="D70" s="58" t="s">
        <v>288</v>
      </c>
      <c r="E70" s="59" t="s">
        <v>207</v>
      </c>
      <c r="F70" s="58" t="s">
        <v>199</v>
      </c>
      <c r="G70" s="58" t="s">
        <v>171</v>
      </c>
      <c r="H70" s="58" t="s">
        <v>11</v>
      </c>
      <c r="I70" s="58" t="s">
        <v>133</v>
      </c>
      <c r="J70" s="60">
        <v>40</v>
      </c>
      <c r="K70" s="60">
        <f t="shared" si="5"/>
        <v>31.372549019607842</v>
      </c>
      <c r="L70" s="61">
        <f>prodnorm45</f>
        <v>0</v>
      </c>
      <c r="M70" s="58" t="s">
        <v>41</v>
      </c>
      <c r="N70" s="62">
        <f>uurtarief45</f>
        <v>0</v>
      </c>
      <c r="O70" s="60" t="e">
        <f t="shared" si="6"/>
        <v>#DIV/0!</v>
      </c>
      <c r="P70" s="62" t="e">
        <f t="shared" si="7"/>
        <v>#DIV/0!</v>
      </c>
      <c r="Q70" s="60" t="e">
        <f t="shared" si="8"/>
        <v>#DIV/0!</v>
      </c>
      <c r="R70" s="63" t="e">
        <f t="shared" si="9"/>
        <v>#DIV/0!</v>
      </c>
    </row>
    <row r="71" spans="1:18" x14ac:dyDescent="0.2">
      <c r="A71" s="57" t="s">
        <v>187</v>
      </c>
      <c r="B71" s="58" t="s">
        <v>188</v>
      </c>
      <c r="C71" s="58" t="s">
        <v>252</v>
      </c>
      <c r="D71" s="58" t="s">
        <v>289</v>
      </c>
      <c r="E71" s="59" t="s">
        <v>207</v>
      </c>
      <c r="F71" s="58" t="s">
        <v>199</v>
      </c>
      <c r="G71" s="58" t="s">
        <v>171</v>
      </c>
      <c r="H71" s="58" t="s">
        <v>11</v>
      </c>
      <c r="I71" s="58" t="s">
        <v>133</v>
      </c>
      <c r="J71" s="60">
        <v>14</v>
      </c>
      <c r="K71" s="60">
        <f t="shared" si="5"/>
        <v>10.980392156862745</v>
      </c>
      <c r="L71" s="61">
        <f>prodnorm45</f>
        <v>0</v>
      </c>
      <c r="M71" s="58" t="s">
        <v>41</v>
      </c>
      <c r="N71" s="62">
        <f>uurtarief45</f>
        <v>0</v>
      </c>
      <c r="O71" s="60" t="e">
        <f t="shared" si="6"/>
        <v>#DIV/0!</v>
      </c>
      <c r="P71" s="62" t="e">
        <f t="shared" si="7"/>
        <v>#DIV/0!</v>
      </c>
      <c r="Q71" s="60" t="e">
        <f t="shared" si="8"/>
        <v>#DIV/0!</v>
      </c>
      <c r="R71" s="63" t="e">
        <f t="shared" si="9"/>
        <v>#DIV/0!</v>
      </c>
    </row>
    <row r="72" spans="1:18" x14ac:dyDescent="0.2">
      <c r="A72" s="57" t="s">
        <v>187</v>
      </c>
      <c r="B72" s="58" t="s">
        <v>188</v>
      </c>
      <c r="C72" s="58" t="s">
        <v>252</v>
      </c>
      <c r="D72" s="58" t="s">
        <v>290</v>
      </c>
      <c r="E72" s="59" t="s">
        <v>291</v>
      </c>
      <c r="F72" s="58" t="s">
        <v>192</v>
      </c>
      <c r="G72" s="58" t="s">
        <v>153</v>
      </c>
      <c r="H72" s="58" t="s">
        <v>11</v>
      </c>
      <c r="I72" s="58" t="s">
        <v>133</v>
      </c>
      <c r="J72" s="60">
        <v>37</v>
      </c>
      <c r="K72" s="60">
        <f t="shared" si="5"/>
        <v>29.019607843137255</v>
      </c>
      <c r="L72" s="61">
        <f>prodnorm36</f>
        <v>0</v>
      </c>
      <c r="M72" s="58" t="s">
        <v>41</v>
      </c>
      <c r="N72" s="62">
        <f>uurtarief36</f>
        <v>0</v>
      </c>
      <c r="O72" s="60" t="e">
        <f t="shared" si="6"/>
        <v>#DIV/0!</v>
      </c>
      <c r="P72" s="62" t="e">
        <f t="shared" si="7"/>
        <v>#DIV/0!</v>
      </c>
      <c r="Q72" s="60" t="e">
        <f t="shared" si="8"/>
        <v>#DIV/0!</v>
      </c>
      <c r="R72" s="63" t="e">
        <f t="shared" si="9"/>
        <v>#DIV/0!</v>
      </c>
    </row>
    <row r="73" spans="1:18" x14ac:dyDescent="0.2">
      <c r="A73" s="57" t="s">
        <v>187</v>
      </c>
      <c r="B73" s="58" t="s">
        <v>188</v>
      </c>
      <c r="C73" s="58" t="s">
        <v>252</v>
      </c>
      <c r="D73" s="58" t="s">
        <v>292</v>
      </c>
      <c r="E73" s="59" t="s">
        <v>238</v>
      </c>
      <c r="F73" s="58" t="s">
        <v>192</v>
      </c>
      <c r="G73" s="58" t="s">
        <v>153</v>
      </c>
      <c r="H73" s="58" t="s">
        <v>11</v>
      </c>
      <c r="I73" s="58" t="s">
        <v>133</v>
      </c>
      <c r="J73" s="60">
        <v>35</v>
      </c>
      <c r="K73" s="60">
        <f t="shared" si="5"/>
        <v>27.450980392156861</v>
      </c>
      <c r="L73" s="61">
        <f>prodnorm36</f>
        <v>0</v>
      </c>
      <c r="M73" s="58" t="s">
        <v>41</v>
      </c>
      <c r="N73" s="62">
        <f>uurtarief36</f>
        <v>0</v>
      </c>
      <c r="O73" s="60" t="e">
        <f t="shared" si="6"/>
        <v>#DIV/0!</v>
      </c>
      <c r="P73" s="62" t="e">
        <f t="shared" si="7"/>
        <v>#DIV/0!</v>
      </c>
      <c r="Q73" s="60" t="e">
        <f t="shared" si="8"/>
        <v>#DIV/0!</v>
      </c>
      <c r="R73" s="63" t="e">
        <f t="shared" si="9"/>
        <v>#DIV/0!</v>
      </c>
    </row>
    <row r="74" spans="1:18" x14ac:dyDescent="0.2">
      <c r="A74" s="57" t="s">
        <v>187</v>
      </c>
      <c r="B74" s="58" t="s">
        <v>188</v>
      </c>
      <c r="C74" s="58" t="s">
        <v>252</v>
      </c>
      <c r="D74" s="58" t="s">
        <v>293</v>
      </c>
      <c r="E74" s="59" t="s">
        <v>294</v>
      </c>
      <c r="F74" s="58" t="s">
        <v>192</v>
      </c>
      <c r="G74" s="58" t="s">
        <v>153</v>
      </c>
      <c r="H74" s="58" t="s">
        <v>11</v>
      </c>
      <c r="I74" s="58" t="s">
        <v>133</v>
      </c>
      <c r="J74" s="60">
        <v>37</v>
      </c>
      <c r="K74" s="60">
        <f t="shared" si="5"/>
        <v>29.019607843137255</v>
      </c>
      <c r="L74" s="61">
        <f>prodnorm36</f>
        <v>0</v>
      </c>
      <c r="M74" s="58" t="s">
        <v>41</v>
      </c>
      <c r="N74" s="62">
        <f>uurtarief36</f>
        <v>0</v>
      </c>
      <c r="O74" s="60" t="e">
        <f t="shared" si="6"/>
        <v>#DIV/0!</v>
      </c>
      <c r="P74" s="62" t="e">
        <f t="shared" si="7"/>
        <v>#DIV/0!</v>
      </c>
      <c r="Q74" s="60" t="e">
        <f t="shared" si="8"/>
        <v>#DIV/0!</v>
      </c>
      <c r="R74" s="63" t="e">
        <f t="shared" si="9"/>
        <v>#DIV/0!</v>
      </c>
    </row>
    <row r="75" spans="1:18" x14ac:dyDescent="0.2">
      <c r="A75" s="57" t="s">
        <v>187</v>
      </c>
      <c r="B75" s="58" t="s">
        <v>188</v>
      </c>
      <c r="C75" s="58" t="s">
        <v>252</v>
      </c>
      <c r="D75" s="58" t="s">
        <v>295</v>
      </c>
      <c r="E75" s="59" t="s">
        <v>236</v>
      </c>
      <c r="F75" s="58" t="s">
        <v>192</v>
      </c>
      <c r="G75" s="58" t="s">
        <v>169</v>
      </c>
      <c r="H75" s="58" t="s">
        <v>11</v>
      </c>
      <c r="I75" s="58" t="s">
        <v>133</v>
      </c>
      <c r="J75" s="60">
        <v>18</v>
      </c>
      <c r="K75" s="60">
        <f t="shared" si="5"/>
        <v>14.117647058823529</v>
      </c>
      <c r="L75" s="61">
        <f>prodnorm44</f>
        <v>0</v>
      </c>
      <c r="M75" s="58" t="s">
        <v>41</v>
      </c>
      <c r="N75" s="62">
        <f>uurtarief44</f>
        <v>0</v>
      </c>
      <c r="O75" s="60" t="e">
        <f t="shared" si="6"/>
        <v>#DIV/0!</v>
      </c>
      <c r="P75" s="62" t="e">
        <f t="shared" si="7"/>
        <v>#DIV/0!</v>
      </c>
      <c r="Q75" s="60" t="e">
        <f t="shared" si="8"/>
        <v>#DIV/0!</v>
      </c>
      <c r="R75" s="63" t="e">
        <f t="shared" si="9"/>
        <v>#DIV/0!</v>
      </c>
    </row>
    <row r="76" spans="1:18" x14ac:dyDescent="0.2">
      <c r="A76" s="57" t="s">
        <v>187</v>
      </c>
      <c r="B76" s="58" t="s">
        <v>188</v>
      </c>
      <c r="C76" s="58" t="s">
        <v>252</v>
      </c>
      <c r="D76" s="58" t="s">
        <v>296</v>
      </c>
      <c r="E76" s="59" t="s">
        <v>238</v>
      </c>
      <c r="F76" s="58" t="s">
        <v>192</v>
      </c>
      <c r="G76" s="58" t="s">
        <v>153</v>
      </c>
      <c r="H76" s="58" t="s">
        <v>11</v>
      </c>
      <c r="I76" s="58" t="s">
        <v>133</v>
      </c>
      <c r="J76" s="60">
        <v>29</v>
      </c>
      <c r="K76" s="60">
        <f t="shared" si="5"/>
        <v>22.745098039215687</v>
      </c>
      <c r="L76" s="61">
        <f>prodnorm36</f>
        <v>0</v>
      </c>
      <c r="M76" s="58" t="s">
        <v>41</v>
      </c>
      <c r="N76" s="62">
        <f>uurtarief36</f>
        <v>0</v>
      </c>
      <c r="O76" s="60" t="e">
        <f t="shared" si="6"/>
        <v>#DIV/0!</v>
      </c>
      <c r="P76" s="62" t="e">
        <f t="shared" si="7"/>
        <v>#DIV/0!</v>
      </c>
      <c r="Q76" s="60" t="e">
        <f t="shared" si="8"/>
        <v>#DIV/0!</v>
      </c>
      <c r="R76" s="63" t="e">
        <f t="shared" si="9"/>
        <v>#DIV/0!</v>
      </c>
    </row>
    <row r="77" spans="1:18" x14ac:dyDescent="0.2">
      <c r="A77" s="57" t="s">
        <v>187</v>
      </c>
      <c r="B77" s="58" t="s">
        <v>188</v>
      </c>
      <c r="C77" s="58" t="s">
        <v>252</v>
      </c>
      <c r="D77" s="58" t="s">
        <v>297</v>
      </c>
      <c r="E77" s="59" t="s">
        <v>298</v>
      </c>
      <c r="F77" s="58" t="s">
        <v>192</v>
      </c>
      <c r="G77" s="58" t="s">
        <v>153</v>
      </c>
      <c r="H77" s="58" t="s">
        <v>11</v>
      </c>
      <c r="I77" s="58" t="s">
        <v>133</v>
      </c>
      <c r="J77" s="60">
        <v>51</v>
      </c>
      <c r="K77" s="60">
        <f t="shared" si="5"/>
        <v>40</v>
      </c>
      <c r="L77" s="61">
        <f>prodnorm36</f>
        <v>0</v>
      </c>
      <c r="M77" s="58" t="s">
        <v>41</v>
      </c>
      <c r="N77" s="62">
        <f>uurtarief36</f>
        <v>0</v>
      </c>
      <c r="O77" s="60" t="e">
        <f t="shared" si="6"/>
        <v>#DIV/0!</v>
      </c>
      <c r="P77" s="62" t="e">
        <f t="shared" si="7"/>
        <v>#DIV/0!</v>
      </c>
      <c r="Q77" s="60" t="e">
        <f t="shared" si="8"/>
        <v>#DIV/0!</v>
      </c>
      <c r="R77" s="63" t="e">
        <f t="shared" si="9"/>
        <v>#DIV/0!</v>
      </c>
    </row>
    <row r="78" spans="1:18" x14ac:dyDescent="0.2">
      <c r="A78" s="57" t="s">
        <v>187</v>
      </c>
      <c r="B78" s="58" t="s">
        <v>188</v>
      </c>
      <c r="C78" s="58" t="s">
        <v>299</v>
      </c>
      <c r="D78" s="58" t="s">
        <v>300</v>
      </c>
      <c r="E78" s="59" t="s">
        <v>301</v>
      </c>
      <c r="F78" s="58" t="s">
        <v>192</v>
      </c>
      <c r="G78" s="58" t="s">
        <v>153</v>
      </c>
      <c r="H78" s="58" t="s">
        <v>11</v>
      </c>
      <c r="I78" s="58" t="s">
        <v>133</v>
      </c>
      <c r="J78" s="60">
        <v>62</v>
      </c>
      <c r="K78" s="60">
        <f t="shared" si="5"/>
        <v>48.627450980392155</v>
      </c>
      <c r="L78" s="61">
        <f>prodnorm36</f>
        <v>0</v>
      </c>
      <c r="M78" s="58" t="s">
        <v>41</v>
      </c>
      <c r="N78" s="62">
        <f>uurtarief36</f>
        <v>0</v>
      </c>
      <c r="O78" s="60" t="e">
        <f t="shared" si="6"/>
        <v>#DIV/0!</v>
      </c>
      <c r="P78" s="62" t="e">
        <f t="shared" si="7"/>
        <v>#DIV/0!</v>
      </c>
      <c r="Q78" s="60" t="e">
        <f t="shared" si="8"/>
        <v>#DIV/0!</v>
      </c>
      <c r="R78" s="63" t="e">
        <f t="shared" si="9"/>
        <v>#DIV/0!</v>
      </c>
    </row>
    <row r="79" spans="1:18" x14ac:dyDescent="0.2">
      <c r="A79" s="57" t="s">
        <v>187</v>
      </c>
      <c r="B79" s="58" t="s">
        <v>188</v>
      </c>
      <c r="C79" s="58" t="s">
        <v>299</v>
      </c>
      <c r="D79" s="58" t="s">
        <v>302</v>
      </c>
      <c r="E79" s="59" t="s">
        <v>238</v>
      </c>
      <c r="F79" s="58" t="s">
        <v>192</v>
      </c>
      <c r="G79" s="58" t="s">
        <v>153</v>
      </c>
      <c r="H79" s="58" t="s">
        <v>11</v>
      </c>
      <c r="I79" s="58" t="s">
        <v>133</v>
      </c>
      <c r="J79" s="60">
        <v>34</v>
      </c>
      <c r="K79" s="60">
        <f t="shared" si="5"/>
        <v>26.666666666666668</v>
      </c>
      <c r="L79" s="61">
        <f>prodnorm36</f>
        <v>0</v>
      </c>
      <c r="M79" s="58" t="s">
        <v>41</v>
      </c>
      <c r="N79" s="62">
        <f>uurtarief36</f>
        <v>0</v>
      </c>
      <c r="O79" s="60" t="e">
        <f t="shared" si="6"/>
        <v>#DIV/0!</v>
      </c>
      <c r="P79" s="62" t="e">
        <f t="shared" si="7"/>
        <v>#DIV/0!</v>
      </c>
      <c r="Q79" s="60" t="e">
        <f t="shared" si="8"/>
        <v>#DIV/0!</v>
      </c>
      <c r="R79" s="63" t="e">
        <f t="shared" si="9"/>
        <v>#DIV/0!</v>
      </c>
    </row>
    <row r="80" spans="1:18" x14ac:dyDescent="0.2">
      <c r="A80" s="57" t="s">
        <v>187</v>
      </c>
      <c r="B80" s="58" t="s">
        <v>188</v>
      </c>
      <c r="C80" s="58" t="s">
        <v>299</v>
      </c>
      <c r="D80" s="58" t="s">
        <v>303</v>
      </c>
      <c r="E80" s="59" t="s">
        <v>207</v>
      </c>
      <c r="F80" s="58" t="s">
        <v>199</v>
      </c>
      <c r="G80" s="58" t="s">
        <v>171</v>
      </c>
      <c r="H80" s="58" t="s">
        <v>11</v>
      </c>
      <c r="I80" s="58" t="s">
        <v>133</v>
      </c>
      <c r="J80" s="60">
        <v>78</v>
      </c>
      <c r="K80" s="60">
        <f t="shared" si="5"/>
        <v>61.17647058823529</v>
      </c>
      <c r="L80" s="61">
        <f>prodnorm45</f>
        <v>0</v>
      </c>
      <c r="M80" s="58" t="s">
        <v>41</v>
      </c>
      <c r="N80" s="62">
        <f>uurtarief45</f>
        <v>0</v>
      </c>
      <c r="O80" s="60" t="e">
        <f t="shared" si="6"/>
        <v>#DIV/0!</v>
      </c>
      <c r="P80" s="62" t="e">
        <f t="shared" si="7"/>
        <v>#DIV/0!</v>
      </c>
      <c r="Q80" s="60" t="e">
        <f t="shared" si="8"/>
        <v>#DIV/0!</v>
      </c>
      <c r="R80" s="63" t="e">
        <f t="shared" si="9"/>
        <v>#DIV/0!</v>
      </c>
    </row>
    <row r="81" spans="1:18" x14ac:dyDescent="0.2">
      <c r="A81" s="57" t="s">
        <v>187</v>
      </c>
      <c r="B81" s="58" t="s">
        <v>188</v>
      </c>
      <c r="C81" s="58" t="s">
        <v>299</v>
      </c>
      <c r="D81" s="58" t="s">
        <v>304</v>
      </c>
      <c r="E81" s="59" t="s">
        <v>305</v>
      </c>
      <c r="F81" s="58" t="s">
        <v>192</v>
      </c>
      <c r="G81" s="58" t="s">
        <v>135</v>
      </c>
      <c r="H81" s="58" t="s">
        <v>11</v>
      </c>
      <c r="I81" s="58" t="s">
        <v>133</v>
      </c>
      <c r="J81" s="60">
        <v>127</v>
      </c>
      <c r="K81" s="60">
        <f t="shared" si="5"/>
        <v>99.607843137254903</v>
      </c>
      <c r="L81" s="61">
        <f>prodnorm23</f>
        <v>0</v>
      </c>
      <c r="M81" s="58" t="s">
        <v>41</v>
      </c>
      <c r="N81" s="62">
        <f>uurtarief23</f>
        <v>0</v>
      </c>
      <c r="O81" s="60" t="e">
        <f t="shared" si="6"/>
        <v>#DIV/0!</v>
      </c>
      <c r="P81" s="62" t="e">
        <f t="shared" si="7"/>
        <v>#DIV/0!</v>
      </c>
      <c r="Q81" s="60" t="e">
        <f t="shared" si="8"/>
        <v>#DIV/0!</v>
      </c>
      <c r="R81" s="63" t="e">
        <f t="shared" si="9"/>
        <v>#DIV/0!</v>
      </c>
    </row>
    <row r="82" spans="1:18" x14ac:dyDescent="0.2">
      <c r="A82" s="57" t="s">
        <v>187</v>
      </c>
      <c r="B82" s="58" t="s">
        <v>188</v>
      </c>
      <c r="C82" s="58" t="s">
        <v>299</v>
      </c>
      <c r="D82" s="58" t="s">
        <v>306</v>
      </c>
      <c r="E82" s="59" t="s">
        <v>307</v>
      </c>
      <c r="F82" s="58" t="s">
        <v>192</v>
      </c>
      <c r="G82" s="58" t="s">
        <v>153</v>
      </c>
      <c r="H82" s="58" t="s">
        <v>11</v>
      </c>
      <c r="I82" s="58" t="s">
        <v>133</v>
      </c>
      <c r="J82" s="60">
        <v>63</v>
      </c>
      <c r="K82" s="60">
        <f t="shared" si="5"/>
        <v>49.411764705882355</v>
      </c>
      <c r="L82" s="61">
        <f>prodnorm36</f>
        <v>0</v>
      </c>
      <c r="M82" s="58" t="s">
        <v>41</v>
      </c>
      <c r="N82" s="62">
        <f>uurtarief36</f>
        <v>0</v>
      </c>
      <c r="O82" s="60" t="e">
        <f t="shared" si="6"/>
        <v>#DIV/0!</v>
      </c>
      <c r="P82" s="62" t="e">
        <f t="shared" si="7"/>
        <v>#DIV/0!</v>
      </c>
      <c r="Q82" s="60" t="e">
        <f t="shared" si="8"/>
        <v>#DIV/0!</v>
      </c>
      <c r="R82" s="63" t="e">
        <f t="shared" si="9"/>
        <v>#DIV/0!</v>
      </c>
    </row>
    <row r="83" spans="1:18" x14ac:dyDescent="0.2">
      <c r="A83" s="57" t="s">
        <v>187</v>
      </c>
      <c r="B83" s="58" t="s">
        <v>188</v>
      </c>
      <c r="C83" s="58" t="s">
        <v>299</v>
      </c>
      <c r="D83" s="58" t="s">
        <v>308</v>
      </c>
      <c r="E83" s="59" t="s">
        <v>309</v>
      </c>
      <c r="F83" s="58" t="s">
        <v>192</v>
      </c>
      <c r="G83" s="58" t="s">
        <v>153</v>
      </c>
      <c r="H83" s="58" t="s">
        <v>11</v>
      </c>
      <c r="I83" s="58" t="s">
        <v>133</v>
      </c>
      <c r="J83" s="60">
        <v>41</v>
      </c>
      <c r="K83" s="60">
        <f t="shared" si="5"/>
        <v>32.156862745098039</v>
      </c>
      <c r="L83" s="61">
        <f>prodnorm36</f>
        <v>0</v>
      </c>
      <c r="M83" s="58" t="s">
        <v>41</v>
      </c>
      <c r="N83" s="62">
        <f>uurtarief36</f>
        <v>0</v>
      </c>
      <c r="O83" s="60" t="e">
        <f t="shared" si="6"/>
        <v>#DIV/0!</v>
      </c>
      <c r="P83" s="62" t="e">
        <f t="shared" si="7"/>
        <v>#DIV/0!</v>
      </c>
      <c r="Q83" s="60" t="e">
        <f t="shared" si="8"/>
        <v>#DIV/0!</v>
      </c>
      <c r="R83" s="63" t="e">
        <f t="shared" si="9"/>
        <v>#DIV/0!</v>
      </c>
    </row>
    <row r="84" spans="1:18" x14ac:dyDescent="0.2">
      <c r="A84" s="57" t="s">
        <v>187</v>
      </c>
      <c r="B84" s="58" t="s">
        <v>188</v>
      </c>
      <c r="C84" s="58" t="s">
        <v>299</v>
      </c>
      <c r="D84" s="58" t="s">
        <v>310</v>
      </c>
      <c r="E84" s="59" t="s">
        <v>311</v>
      </c>
      <c r="F84" s="58" t="s">
        <v>192</v>
      </c>
      <c r="G84" s="58" t="s">
        <v>173</v>
      </c>
      <c r="H84" s="58" t="s">
        <v>12</v>
      </c>
      <c r="I84" s="58" t="s">
        <v>174</v>
      </c>
      <c r="J84" s="60">
        <v>26</v>
      </c>
      <c r="K84" s="60">
        <f t="shared" si="5"/>
        <v>16.313725490196077</v>
      </c>
      <c r="L84" s="61">
        <f>prodnorm21</f>
        <v>0</v>
      </c>
      <c r="M84" s="58" t="s">
        <v>41</v>
      </c>
      <c r="N84" s="62">
        <f>uurtarief21</f>
        <v>0</v>
      </c>
      <c r="O84" s="60" t="e">
        <f t="shared" si="6"/>
        <v>#DIV/0!</v>
      </c>
      <c r="P84" s="62" t="e">
        <f t="shared" si="7"/>
        <v>#DIV/0!</v>
      </c>
      <c r="Q84" s="60" t="e">
        <f t="shared" si="8"/>
        <v>#DIV/0!</v>
      </c>
      <c r="R84" s="63" t="e">
        <f t="shared" si="9"/>
        <v>#DIV/0!</v>
      </c>
    </row>
    <row r="85" spans="1:18" x14ac:dyDescent="0.2">
      <c r="A85" s="57" t="s">
        <v>187</v>
      </c>
      <c r="B85" s="58" t="s">
        <v>188</v>
      </c>
      <c r="C85" s="58" t="s">
        <v>299</v>
      </c>
      <c r="D85" s="58" t="s">
        <v>310</v>
      </c>
      <c r="E85" s="59" t="s">
        <v>311</v>
      </c>
      <c r="F85" s="58" t="s">
        <v>192</v>
      </c>
      <c r="G85" s="58" t="s">
        <v>135</v>
      </c>
      <c r="H85" s="58" t="s">
        <v>18</v>
      </c>
      <c r="I85" s="58" t="s">
        <v>133</v>
      </c>
      <c r="J85" s="60">
        <v>26</v>
      </c>
      <c r="K85" s="60">
        <f t="shared" si="5"/>
        <v>4.0784313725490193</v>
      </c>
      <c r="L85" s="61">
        <f>prodnorm24</f>
        <v>0</v>
      </c>
      <c r="M85" s="58" t="s">
        <v>41</v>
      </c>
      <c r="N85" s="62">
        <f>uurtarief24</f>
        <v>0</v>
      </c>
      <c r="O85" s="60" t="e">
        <f t="shared" si="6"/>
        <v>#DIV/0!</v>
      </c>
      <c r="P85" s="62" t="e">
        <f t="shared" si="7"/>
        <v>#DIV/0!</v>
      </c>
      <c r="Q85" s="60" t="e">
        <f t="shared" si="8"/>
        <v>#DIV/0!</v>
      </c>
      <c r="R85" s="63" t="e">
        <f t="shared" si="9"/>
        <v>#DIV/0!</v>
      </c>
    </row>
    <row r="86" spans="1:18" x14ac:dyDescent="0.2">
      <c r="A86" s="57" t="s">
        <v>187</v>
      </c>
      <c r="B86" s="58" t="s">
        <v>188</v>
      </c>
      <c r="C86" s="58" t="s">
        <v>299</v>
      </c>
      <c r="D86" s="58" t="s">
        <v>312</v>
      </c>
      <c r="E86" s="59" t="s">
        <v>209</v>
      </c>
      <c r="F86" s="58" t="s">
        <v>192</v>
      </c>
      <c r="G86" s="58" t="s">
        <v>167</v>
      </c>
      <c r="H86" s="58" t="s">
        <v>11</v>
      </c>
      <c r="I86" s="58" t="s">
        <v>133</v>
      </c>
      <c r="J86" s="60">
        <v>10</v>
      </c>
      <c r="K86" s="60">
        <f t="shared" si="5"/>
        <v>7.8431372549019605</v>
      </c>
      <c r="L86" s="61">
        <f>prodnorm43</f>
        <v>0</v>
      </c>
      <c r="M86" s="58" t="s">
        <v>41</v>
      </c>
      <c r="N86" s="62">
        <f>uurtarief43</f>
        <v>0</v>
      </c>
      <c r="O86" s="60" t="e">
        <f t="shared" si="6"/>
        <v>#DIV/0!</v>
      </c>
      <c r="P86" s="62" t="e">
        <f t="shared" si="7"/>
        <v>#DIV/0!</v>
      </c>
      <c r="Q86" s="60" t="e">
        <f t="shared" si="8"/>
        <v>#DIV/0!</v>
      </c>
      <c r="R86" s="63" t="e">
        <f t="shared" si="9"/>
        <v>#DIV/0!</v>
      </c>
    </row>
    <row r="87" spans="1:18" x14ac:dyDescent="0.2">
      <c r="A87" s="57" t="s">
        <v>187</v>
      </c>
      <c r="B87" s="58" t="s">
        <v>188</v>
      </c>
      <c r="C87" s="58" t="s">
        <v>299</v>
      </c>
      <c r="D87" s="58" t="s">
        <v>313</v>
      </c>
      <c r="E87" s="59" t="s">
        <v>277</v>
      </c>
      <c r="F87" s="58" t="s">
        <v>199</v>
      </c>
      <c r="G87" s="58" t="s">
        <v>169</v>
      </c>
      <c r="H87" s="58" t="s">
        <v>11</v>
      </c>
      <c r="I87" s="58" t="s">
        <v>133</v>
      </c>
      <c r="J87" s="60">
        <v>17</v>
      </c>
      <c r="K87" s="60">
        <f t="shared" si="5"/>
        <v>13.333333333333334</v>
      </c>
      <c r="L87" s="61">
        <f>prodnorm44</f>
        <v>0</v>
      </c>
      <c r="M87" s="58" t="s">
        <v>41</v>
      </c>
      <c r="N87" s="62">
        <f>uurtarief44</f>
        <v>0</v>
      </c>
      <c r="O87" s="60" t="e">
        <f t="shared" si="6"/>
        <v>#DIV/0!</v>
      </c>
      <c r="P87" s="62" t="e">
        <f t="shared" si="7"/>
        <v>#DIV/0!</v>
      </c>
      <c r="Q87" s="60" t="e">
        <f t="shared" si="8"/>
        <v>#DIV/0!</v>
      </c>
      <c r="R87" s="63" t="e">
        <f t="shared" si="9"/>
        <v>#DIV/0!</v>
      </c>
    </row>
    <row r="88" spans="1:18" x14ac:dyDescent="0.2">
      <c r="A88" s="57" t="s">
        <v>187</v>
      </c>
      <c r="B88" s="58" t="s">
        <v>188</v>
      </c>
      <c r="C88" s="58" t="s">
        <v>299</v>
      </c>
      <c r="D88" s="58" t="s">
        <v>314</v>
      </c>
      <c r="E88" s="59" t="s">
        <v>315</v>
      </c>
      <c r="F88" s="58" t="s">
        <v>192</v>
      </c>
      <c r="G88" s="58" t="s">
        <v>153</v>
      </c>
      <c r="H88" s="58" t="s">
        <v>11</v>
      </c>
      <c r="I88" s="58" t="s">
        <v>133</v>
      </c>
      <c r="J88" s="60">
        <v>56</v>
      </c>
      <c r="K88" s="60">
        <f t="shared" si="5"/>
        <v>43.921568627450981</v>
      </c>
      <c r="L88" s="61">
        <f>prodnorm36</f>
        <v>0</v>
      </c>
      <c r="M88" s="58" t="s">
        <v>41</v>
      </c>
      <c r="N88" s="62">
        <f>uurtarief36</f>
        <v>0</v>
      </c>
      <c r="O88" s="60" t="e">
        <f t="shared" si="6"/>
        <v>#DIV/0!</v>
      </c>
      <c r="P88" s="62" t="e">
        <f t="shared" si="7"/>
        <v>#DIV/0!</v>
      </c>
      <c r="Q88" s="60" t="e">
        <f t="shared" si="8"/>
        <v>#DIV/0!</v>
      </c>
      <c r="R88" s="63" t="e">
        <f t="shared" si="9"/>
        <v>#DIV/0!</v>
      </c>
    </row>
    <row r="89" spans="1:18" x14ac:dyDescent="0.2">
      <c r="A89" s="57" t="s">
        <v>187</v>
      </c>
      <c r="B89" s="58" t="s">
        <v>188</v>
      </c>
      <c r="C89" s="58" t="s">
        <v>299</v>
      </c>
      <c r="D89" s="58" t="s">
        <v>316</v>
      </c>
      <c r="E89" s="59" t="s">
        <v>317</v>
      </c>
      <c r="F89" s="58" t="s">
        <v>192</v>
      </c>
      <c r="G89" s="58" t="s">
        <v>153</v>
      </c>
      <c r="H89" s="58" t="s">
        <v>11</v>
      </c>
      <c r="I89" s="58" t="s">
        <v>133</v>
      </c>
      <c r="J89" s="60">
        <v>46</v>
      </c>
      <c r="K89" s="60">
        <f t="shared" si="5"/>
        <v>36.078431372549019</v>
      </c>
      <c r="L89" s="61">
        <f>prodnorm36</f>
        <v>0</v>
      </c>
      <c r="M89" s="58" t="s">
        <v>41</v>
      </c>
      <c r="N89" s="62">
        <f>uurtarief36</f>
        <v>0</v>
      </c>
      <c r="O89" s="60" t="e">
        <f t="shared" si="6"/>
        <v>#DIV/0!</v>
      </c>
      <c r="P89" s="62" t="e">
        <f t="shared" si="7"/>
        <v>#DIV/0!</v>
      </c>
      <c r="Q89" s="60" t="e">
        <f t="shared" si="8"/>
        <v>#DIV/0!</v>
      </c>
      <c r="R89" s="63" t="e">
        <f t="shared" si="9"/>
        <v>#DIV/0!</v>
      </c>
    </row>
    <row r="90" spans="1:18" x14ac:dyDescent="0.2">
      <c r="A90" s="57" t="s">
        <v>187</v>
      </c>
      <c r="B90" s="58" t="s">
        <v>188</v>
      </c>
      <c r="C90" s="58" t="s">
        <v>299</v>
      </c>
      <c r="D90" s="58" t="s">
        <v>318</v>
      </c>
      <c r="E90" s="59" t="s">
        <v>207</v>
      </c>
      <c r="F90" s="58" t="s">
        <v>199</v>
      </c>
      <c r="G90" s="58" t="s">
        <v>171</v>
      </c>
      <c r="H90" s="58" t="s">
        <v>11</v>
      </c>
      <c r="I90" s="58" t="s">
        <v>133</v>
      </c>
      <c r="J90" s="60">
        <v>53</v>
      </c>
      <c r="K90" s="60">
        <f t="shared" si="5"/>
        <v>41.568627450980394</v>
      </c>
      <c r="L90" s="61">
        <f>prodnorm45</f>
        <v>0</v>
      </c>
      <c r="M90" s="58" t="s">
        <v>41</v>
      </c>
      <c r="N90" s="62">
        <f>uurtarief45</f>
        <v>0</v>
      </c>
      <c r="O90" s="60" t="e">
        <f t="shared" si="6"/>
        <v>#DIV/0!</v>
      </c>
      <c r="P90" s="62" t="e">
        <f t="shared" si="7"/>
        <v>#DIV/0!</v>
      </c>
      <c r="Q90" s="60" t="e">
        <f t="shared" si="8"/>
        <v>#DIV/0!</v>
      </c>
      <c r="R90" s="63" t="e">
        <f t="shared" si="9"/>
        <v>#DIV/0!</v>
      </c>
    </row>
    <row r="91" spans="1:18" x14ac:dyDescent="0.2">
      <c r="A91" s="57" t="s">
        <v>187</v>
      </c>
      <c r="B91" s="58" t="s">
        <v>188</v>
      </c>
      <c r="C91" s="58" t="s">
        <v>299</v>
      </c>
      <c r="D91" s="58" t="s">
        <v>319</v>
      </c>
      <c r="E91" s="59" t="s">
        <v>320</v>
      </c>
      <c r="F91" s="58" t="s">
        <v>192</v>
      </c>
      <c r="G91" s="58" t="s">
        <v>153</v>
      </c>
      <c r="H91" s="58" t="s">
        <v>11</v>
      </c>
      <c r="I91" s="58" t="s">
        <v>133</v>
      </c>
      <c r="J91" s="60">
        <v>49</v>
      </c>
      <c r="K91" s="60">
        <f t="shared" si="5"/>
        <v>38.431372549019606</v>
      </c>
      <c r="L91" s="61">
        <f>prodnorm36</f>
        <v>0</v>
      </c>
      <c r="M91" s="58" t="s">
        <v>41</v>
      </c>
      <c r="N91" s="62">
        <f>uurtarief36</f>
        <v>0</v>
      </c>
      <c r="O91" s="60" t="e">
        <f t="shared" si="6"/>
        <v>#DIV/0!</v>
      </c>
      <c r="P91" s="62" t="e">
        <f t="shared" si="7"/>
        <v>#DIV/0!</v>
      </c>
      <c r="Q91" s="60" t="e">
        <f t="shared" si="8"/>
        <v>#DIV/0!</v>
      </c>
      <c r="R91" s="63" t="e">
        <f t="shared" si="9"/>
        <v>#DIV/0!</v>
      </c>
    </row>
    <row r="92" spans="1:18" x14ac:dyDescent="0.2">
      <c r="A92" s="57" t="s">
        <v>187</v>
      </c>
      <c r="B92" s="58" t="s">
        <v>188</v>
      </c>
      <c r="C92" s="58" t="s">
        <v>299</v>
      </c>
      <c r="D92" s="58" t="s">
        <v>321</v>
      </c>
      <c r="E92" s="59" t="s">
        <v>209</v>
      </c>
      <c r="F92" s="58" t="s">
        <v>192</v>
      </c>
      <c r="G92" s="58" t="s">
        <v>167</v>
      </c>
      <c r="H92" s="58" t="s">
        <v>11</v>
      </c>
      <c r="I92" s="58" t="s">
        <v>133</v>
      </c>
      <c r="J92" s="60">
        <v>16</v>
      </c>
      <c r="K92" s="60">
        <f t="shared" si="5"/>
        <v>12.549019607843137</v>
      </c>
      <c r="L92" s="61">
        <f>prodnorm43</f>
        <v>0</v>
      </c>
      <c r="M92" s="58" t="s">
        <v>41</v>
      </c>
      <c r="N92" s="62">
        <f>uurtarief43</f>
        <v>0</v>
      </c>
      <c r="O92" s="60" t="e">
        <f t="shared" si="6"/>
        <v>#DIV/0!</v>
      </c>
      <c r="P92" s="62" t="e">
        <f t="shared" si="7"/>
        <v>#DIV/0!</v>
      </c>
      <c r="Q92" s="60" t="e">
        <f t="shared" si="8"/>
        <v>#DIV/0!</v>
      </c>
      <c r="R92" s="63" t="e">
        <f t="shared" si="9"/>
        <v>#DIV/0!</v>
      </c>
    </row>
    <row r="93" spans="1:18" x14ac:dyDescent="0.2">
      <c r="A93" s="57" t="s">
        <v>187</v>
      </c>
      <c r="B93" s="58" t="s">
        <v>188</v>
      </c>
      <c r="C93" s="58" t="s">
        <v>299</v>
      </c>
      <c r="D93" s="58" t="s">
        <v>322</v>
      </c>
      <c r="E93" s="59" t="s">
        <v>323</v>
      </c>
      <c r="F93" s="58" t="s">
        <v>192</v>
      </c>
      <c r="G93" s="58" t="s">
        <v>153</v>
      </c>
      <c r="H93" s="58" t="s">
        <v>11</v>
      </c>
      <c r="I93" s="58" t="s">
        <v>133</v>
      </c>
      <c r="J93" s="60">
        <v>49</v>
      </c>
      <c r="K93" s="60">
        <f t="shared" si="5"/>
        <v>38.431372549019606</v>
      </c>
      <c r="L93" s="61">
        <f>prodnorm36</f>
        <v>0</v>
      </c>
      <c r="M93" s="58" t="s">
        <v>41</v>
      </c>
      <c r="N93" s="62">
        <f>uurtarief36</f>
        <v>0</v>
      </c>
      <c r="O93" s="60" t="e">
        <f t="shared" si="6"/>
        <v>#DIV/0!</v>
      </c>
      <c r="P93" s="62" t="e">
        <f t="shared" si="7"/>
        <v>#DIV/0!</v>
      </c>
      <c r="Q93" s="60" t="e">
        <f t="shared" si="8"/>
        <v>#DIV/0!</v>
      </c>
      <c r="R93" s="63" t="e">
        <f t="shared" si="9"/>
        <v>#DIV/0!</v>
      </c>
    </row>
    <row r="94" spans="1:18" x14ac:dyDescent="0.2">
      <c r="A94" s="57" t="s">
        <v>187</v>
      </c>
      <c r="B94" s="58" t="s">
        <v>188</v>
      </c>
      <c r="C94" s="58" t="s">
        <v>299</v>
      </c>
      <c r="D94" s="58" t="s">
        <v>324</v>
      </c>
      <c r="E94" s="59" t="s">
        <v>207</v>
      </c>
      <c r="F94" s="58" t="s">
        <v>199</v>
      </c>
      <c r="G94" s="58" t="s">
        <v>171</v>
      </c>
      <c r="H94" s="58" t="s">
        <v>11</v>
      </c>
      <c r="I94" s="58" t="s">
        <v>133</v>
      </c>
      <c r="J94" s="60">
        <v>40</v>
      </c>
      <c r="K94" s="60">
        <f t="shared" si="5"/>
        <v>31.372549019607842</v>
      </c>
      <c r="L94" s="61">
        <f>prodnorm45</f>
        <v>0</v>
      </c>
      <c r="M94" s="58" t="s">
        <v>41</v>
      </c>
      <c r="N94" s="62">
        <f>uurtarief45</f>
        <v>0</v>
      </c>
      <c r="O94" s="60" t="e">
        <f t="shared" si="6"/>
        <v>#DIV/0!</v>
      </c>
      <c r="P94" s="62" t="e">
        <f t="shared" si="7"/>
        <v>#DIV/0!</v>
      </c>
      <c r="Q94" s="60" t="e">
        <f t="shared" si="8"/>
        <v>#DIV/0!</v>
      </c>
      <c r="R94" s="63" t="e">
        <f t="shared" si="9"/>
        <v>#DIV/0!</v>
      </c>
    </row>
    <row r="95" spans="1:18" x14ac:dyDescent="0.2">
      <c r="A95" s="57" t="s">
        <v>187</v>
      </c>
      <c r="B95" s="58" t="s">
        <v>188</v>
      </c>
      <c r="C95" s="58" t="s">
        <v>299</v>
      </c>
      <c r="D95" s="58" t="s">
        <v>325</v>
      </c>
      <c r="E95" s="59" t="s">
        <v>207</v>
      </c>
      <c r="F95" s="58" t="s">
        <v>199</v>
      </c>
      <c r="G95" s="58" t="s">
        <v>171</v>
      </c>
      <c r="H95" s="58" t="s">
        <v>11</v>
      </c>
      <c r="I95" s="58" t="s">
        <v>133</v>
      </c>
      <c r="J95" s="60">
        <v>15</v>
      </c>
      <c r="K95" s="60">
        <f t="shared" si="5"/>
        <v>11.76470588235294</v>
      </c>
      <c r="L95" s="61">
        <f>prodnorm45</f>
        <v>0</v>
      </c>
      <c r="M95" s="58" t="s">
        <v>41</v>
      </c>
      <c r="N95" s="62">
        <f>uurtarief45</f>
        <v>0</v>
      </c>
      <c r="O95" s="60" t="e">
        <f t="shared" si="6"/>
        <v>#DIV/0!</v>
      </c>
      <c r="P95" s="62" t="e">
        <f t="shared" si="7"/>
        <v>#DIV/0!</v>
      </c>
      <c r="Q95" s="60" t="e">
        <f t="shared" si="8"/>
        <v>#DIV/0!</v>
      </c>
      <c r="R95" s="63" t="e">
        <f t="shared" si="9"/>
        <v>#DIV/0!</v>
      </c>
    </row>
    <row r="96" spans="1:18" x14ac:dyDescent="0.2">
      <c r="A96" s="57" t="s">
        <v>187</v>
      </c>
      <c r="B96" s="58" t="s">
        <v>188</v>
      </c>
      <c r="C96" s="58" t="s">
        <v>299</v>
      </c>
      <c r="D96" s="58" t="s">
        <v>326</v>
      </c>
      <c r="E96" s="59" t="s">
        <v>327</v>
      </c>
      <c r="F96" s="58" t="s">
        <v>192</v>
      </c>
      <c r="G96" s="58" t="s">
        <v>153</v>
      </c>
      <c r="H96" s="58" t="s">
        <v>11</v>
      </c>
      <c r="I96" s="58" t="s">
        <v>133</v>
      </c>
      <c r="J96" s="60">
        <v>37</v>
      </c>
      <c r="K96" s="60">
        <f t="shared" si="5"/>
        <v>29.019607843137255</v>
      </c>
      <c r="L96" s="61">
        <f>prodnorm36</f>
        <v>0</v>
      </c>
      <c r="M96" s="58" t="s">
        <v>41</v>
      </c>
      <c r="N96" s="62">
        <f>uurtarief36</f>
        <v>0</v>
      </c>
      <c r="O96" s="60" t="e">
        <f t="shared" si="6"/>
        <v>#DIV/0!</v>
      </c>
      <c r="P96" s="62" t="e">
        <f t="shared" si="7"/>
        <v>#DIV/0!</v>
      </c>
      <c r="Q96" s="60" t="e">
        <f t="shared" si="8"/>
        <v>#DIV/0!</v>
      </c>
      <c r="R96" s="63" t="e">
        <f t="shared" si="9"/>
        <v>#DIV/0!</v>
      </c>
    </row>
    <row r="97" spans="1:18" x14ac:dyDescent="0.2">
      <c r="A97" s="57" t="s">
        <v>187</v>
      </c>
      <c r="B97" s="58" t="s">
        <v>188</v>
      </c>
      <c r="C97" s="58" t="s">
        <v>299</v>
      </c>
      <c r="D97" s="58" t="s">
        <v>328</v>
      </c>
      <c r="E97" s="59" t="s">
        <v>329</v>
      </c>
      <c r="F97" s="58" t="s">
        <v>192</v>
      </c>
      <c r="G97" s="58" t="s">
        <v>135</v>
      </c>
      <c r="H97" s="58" t="s">
        <v>11</v>
      </c>
      <c r="I97" s="58" t="s">
        <v>133</v>
      </c>
      <c r="J97" s="60">
        <v>35</v>
      </c>
      <c r="K97" s="60">
        <f t="shared" si="5"/>
        <v>27.450980392156861</v>
      </c>
      <c r="L97" s="61">
        <f>prodnorm23</f>
        <v>0</v>
      </c>
      <c r="M97" s="58" t="s">
        <v>41</v>
      </c>
      <c r="N97" s="62">
        <f>uurtarief23</f>
        <v>0</v>
      </c>
      <c r="O97" s="60" t="e">
        <f t="shared" si="6"/>
        <v>#DIV/0!</v>
      </c>
      <c r="P97" s="62" t="e">
        <f t="shared" si="7"/>
        <v>#DIV/0!</v>
      </c>
      <c r="Q97" s="60" t="e">
        <f t="shared" si="8"/>
        <v>#DIV/0!</v>
      </c>
      <c r="R97" s="63" t="e">
        <f t="shared" si="9"/>
        <v>#DIV/0!</v>
      </c>
    </row>
    <row r="98" spans="1:18" x14ac:dyDescent="0.2">
      <c r="A98" s="57" t="s">
        <v>187</v>
      </c>
      <c r="B98" s="58" t="s">
        <v>188</v>
      </c>
      <c r="C98" s="58" t="s">
        <v>299</v>
      </c>
      <c r="D98" s="58" t="s">
        <v>330</v>
      </c>
      <c r="E98" s="59" t="s">
        <v>331</v>
      </c>
      <c r="F98" s="58" t="s">
        <v>192</v>
      </c>
      <c r="G98" s="58" t="s">
        <v>153</v>
      </c>
      <c r="H98" s="58" t="s">
        <v>11</v>
      </c>
      <c r="I98" s="58" t="s">
        <v>133</v>
      </c>
      <c r="J98" s="60">
        <v>37</v>
      </c>
      <c r="K98" s="60">
        <f t="shared" si="5"/>
        <v>29.019607843137255</v>
      </c>
      <c r="L98" s="61">
        <f>prodnorm36</f>
        <v>0</v>
      </c>
      <c r="M98" s="58" t="s">
        <v>41</v>
      </c>
      <c r="N98" s="62">
        <f>uurtarief36</f>
        <v>0</v>
      </c>
      <c r="O98" s="60" t="e">
        <f t="shared" si="6"/>
        <v>#DIV/0!</v>
      </c>
      <c r="P98" s="62" t="e">
        <f t="shared" si="7"/>
        <v>#DIV/0!</v>
      </c>
      <c r="Q98" s="60" t="e">
        <f t="shared" si="8"/>
        <v>#DIV/0!</v>
      </c>
      <c r="R98" s="63" t="e">
        <f t="shared" si="9"/>
        <v>#DIV/0!</v>
      </c>
    </row>
    <row r="99" spans="1:18" x14ac:dyDescent="0.2">
      <c r="A99" s="57" t="s">
        <v>187</v>
      </c>
      <c r="B99" s="58" t="s">
        <v>188</v>
      </c>
      <c r="C99" s="58" t="s">
        <v>299</v>
      </c>
      <c r="D99" s="58" t="s">
        <v>332</v>
      </c>
      <c r="E99" s="59" t="s">
        <v>236</v>
      </c>
      <c r="F99" s="58" t="s">
        <v>199</v>
      </c>
      <c r="G99" s="58" t="s">
        <v>169</v>
      </c>
      <c r="H99" s="58" t="s">
        <v>11</v>
      </c>
      <c r="I99" s="58" t="s">
        <v>133</v>
      </c>
      <c r="J99" s="60">
        <v>18</v>
      </c>
      <c r="K99" s="60">
        <f t="shared" si="5"/>
        <v>14.117647058823529</v>
      </c>
      <c r="L99" s="61">
        <f>prodnorm44</f>
        <v>0</v>
      </c>
      <c r="M99" s="58" t="s">
        <v>41</v>
      </c>
      <c r="N99" s="62">
        <f>uurtarief44</f>
        <v>0</v>
      </c>
      <c r="O99" s="60" t="e">
        <f t="shared" si="6"/>
        <v>#DIV/0!</v>
      </c>
      <c r="P99" s="62" t="e">
        <f t="shared" si="7"/>
        <v>#DIV/0!</v>
      </c>
      <c r="Q99" s="60" t="e">
        <f t="shared" si="8"/>
        <v>#DIV/0!</v>
      </c>
      <c r="R99" s="63" t="e">
        <f t="shared" si="9"/>
        <v>#DIV/0!</v>
      </c>
    </row>
    <row r="100" spans="1:18" x14ac:dyDescent="0.2">
      <c r="A100" s="57" t="s">
        <v>187</v>
      </c>
      <c r="B100" s="58" t="s">
        <v>188</v>
      </c>
      <c r="C100" s="58" t="s">
        <v>299</v>
      </c>
      <c r="D100" s="58" t="s">
        <v>333</v>
      </c>
      <c r="E100" s="59" t="s">
        <v>238</v>
      </c>
      <c r="F100" s="58" t="s">
        <v>192</v>
      </c>
      <c r="G100" s="58" t="s">
        <v>153</v>
      </c>
      <c r="H100" s="58" t="s">
        <v>11</v>
      </c>
      <c r="I100" s="58" t="s">
        <v>133</v>
      </c>
      <c r="J100" s="60">
        <v>29</v>
      </c>
      <c r="K100" s="60">
        <f t="shared" si="5"/>
        <v>22.745098039215687</v>
      </c>
      <c r="L100" s="61">
        <f>prodnorm36</f>
        <v>0</v>
      </c>
      <c r="M100" s="58" t="s">
        <v>41</v>
      </c>
      <c r="N100" s="62">
        <f>uurtarief36</f>
        <v>0</v>
      </c>
      <c r="O100" s="60" t="e">
        <f t="shared" si="6"/>
        <v>#DIV/0!</v>
      </c>
      <c r="P100" s="62" t="e">
        <f t="shared" si="7"/>
        <v>#DIV/0!</v>
      </c>
      <c r="Q100" s="60" t="e">
        <f t="shared" si="8"/>
        <v>#DIV/0!</v>
      </c>
      <c r="R100" s="63" t="e">
        <f t="shared" si="9"/>
        <v>#DIV/0!</v>
      </c>
    </row>
    <row r="101" spans="1:18" x14ac:dyDescent="0.2">
      <c r="A101" s="57" t="s">
        <v>187</v>
      </c>
      <c r="B101" s="58" t="s">
        <v>188</v>
      </c>
      <c r="C101" s="58" t="s">
        <v>299</v>
      </c>
      <c r="D101" s="58" t="s">
        <v>334</v>
      </c>
      <c r="E101" s="59" t="s">
        <v>335</v>
      </c>
      <c r="F101" s="58" t="s">
        <v>192</v>
      </c>
      <c r="G101" s="58" t="s">
        <v>153</v>
      </c>
      <c r="H101" s="58" t="s">
        <v>11</v>
      </c>
      <c r="I101" s="58" t="s">
        <v>133</v>
      </c>
      <c r="J101" s="60">
        <v>54</v>
      </c>
      <c r="K101" s="60">
        <f t="shared" si="5"/>
        <v>42.352941176470587</v>
      </c>
      <c r="L101" s="61">
        <f>prodnorm36</f>
        <v>0</v>
      </c>
      <c r="M101" s="58" t="s">
        <v>41</v>
      </c>
      <c r="N101" s="62">
        <f>uurtarief36</f>
        <v>0</v>
      </c>
      <c r="O101" s="60" t="e">
        <f t="shared" si="6"/>
        <v>#DIV/0!</v>
      </c>
      <c r="P101" s="62" t="e">
        <f t="shared" si="7"/>
        <v>#DIV/0!</v>
      </c>
      <c r="Q101" s="60" t="e">
        <f t="shared" si="8"/>
        <v>#DIV/0!</v>
      </c>
      <c r="R101" s="63" t="e">
        <f t="shared" si="9"/>
        <v>#DIV/0!</v>
      </c>
    </row>
    <row r="102" spans="1:18" x14ac:dyDescent="0.2">
      <c r="A102" s="57" t="s">
        <v>187</v>
      </c>
      <c r="B102" s="58" t="s">
        <v>188</v>
      </c>
      <c r="C102" s="58" t="s">
        <v>336</v>
      </c>
      <c r="D102" s="58" t="s">
        <v>337</v>
      </c>
      <c r="E102" s="59" t="s">
        <v>338</v>
      </c>
      <c r="F102" s="58" t="s">
        <v>192</v>
      </c>
      <c r="G102" s="58" t="s">
        <v>153</v>
      </c>
      <c r="H102" s="58" t="s">
        <v>11</v>
      </c>
      <c r="I102" s="58" t="s">
        <v>133</v>
      </c>
      <c r="J102" s="60">
        <v>62</v>
      </c>
      <c r="K102" s="60">
        <f t="shared" si="5"/>
        <v>48.627450980392155</v>
      </c>
      <c r="L102" s="61">
        <f>prodnorm36</f>
        <v>0</v>
      </c>
      <c r="M102" s="58" t="s">
        <v>41</v>
      </c>
      <c r="N102" s="62">
        <f>uurtarief36</f>
        <v>0</v>
      </c>
      <c r="O102" s="60" t="e">
        <f t="shared" si="6"/>
        <v>#DIV/0!</v>
      </c>
      <c r="P102" s="62" t="e">
        <f t="shared" si="7"/>
        <v>#DIV/0!</v>
      </c>
      <c r="Q102" s="60" t="e">
        <f t="shared" si="8"/>
        <v>#DIV/0!</v>
      </c>
      <c r="R102" s="63" t="e">
        <f t="shared" si="9"/>
        <v>#DIV/0!</v>
      </c>
    </row>
    <row r="103" spans="1:18" x14ac:dyDescent="0.2">
      <c r="A103" s="57" t="s">
        <v>187</v>
      </c>
      <c r="B103" s="58" t="s">
        <v>188</v>
      </c>
      <c r="C103" s="58" t="s">
        <v>336</v>
      </c>
      <c r="D103" s="58" t="s">
        <v>339</v>
      </c>
      <c r="E103" s="59" t="s">
        <v>340</v>
      </c>
      <c r="F103" s="58" t="s">
        <v>192</v>
      </c>
      <c r="G103" s="58" t="s">
        <v>153</v>
      </c>
      <c r="H103" s="58" t="s">
        <v>11</v>
      </c>
      <c r="I103" s="58" t="s">
        <v>133</v>
      </c>
      <c r="J103" s="60">
        <v>42</v>
      </c>
      <c r="K103" s="60">
        <f t="shared" si="5"/>
        <v>32.941176470588232</v>
      </c>
      <c r="L103" s="61">
        <f>prodnorm36</f>
        <v>0</v>
      </c>
      <c r="M103" s="58" t="s">
        <v>41</v>
      </c>
      <c r="N103" s="62">
        <f>uurtarief36</f>
        <v>0</v>
      </c>
      <c r="O103" s="60" t="e">
        <f t="shared" si="6"/>
        <v>#DIV/0!</v>
      </c>
      <c r="P103" s="62" t="e">
        <f t="shared" si="7"/>
        <v>#DIV/0!</v>
      </c>
      <c r="Q103" s="60" t="e">
        <f t="shared" si="8"/>
        <v>#DIV/0!</v>
      </c>
      <c r="R103" s="63" t="e">
        <f t="shared" si="9"/>
        <v>#DIV/0!</v>
      </c>
    </row>
    <row r="104" spans="1:18" x14ac:dyDescent="0.2">
      <c r="A104" s="57" t="s">
        <v>187</v>
      </c>
      <c r="B104" s="58" t="s">
        <v>188</v>
      </c>
      <c r="C104" s="58" t="s">
        <v>336</v>
      </c>
      <c r="D104" s="58" t="s">
        <v>341</v>
      </c>
      <c r="E104" s="59" t="s">
        <v>207</v>
      </c>
      <c r="F104" s="58" t="s">
        <v>192</v>
      </c>
      <c r="G104" s="58" t="s">
        <v>171</v>
      </c>
      <c r="H104" s="58" t="s">
        <v>11</v>
      </c>
      <c r="I104" s="58" t="s">
        <v>133</v>
      </c>
      <c r="J104" s="60">
        <v>69</v>
      </c>
      <c r="K104" s="60">
        <f t="shared" si="5"/>
        <v>54.117647058823529</v>
      </c>
      <c r="L104" s="61">
        <f>prodnorm45</f>
        <v>0</v>
      </c>
      <c r="M104" s="58" t="s">
        <v>41</v>
      </c>
      <c r="N104" s="62">
        <f>uurtarief45</f>
        <v>0</v>
      </c>
      <c r="O104" s="60" t="e">
        <f t="shared" si="6"/>
        <v>#DIV/0!</v>
      </c>
      <c r="P104" s="62" t="e">
        <f t="shared" si="7"/>
        <v>#DIV/0!</v>
      </c>
      <c r="Q104" s="60" t="e">
        <f t="shared" si="8"/>
        <v>#DIV/0!</v>
      </c>
      <c r="R104" s="63" t="e">
        <f t="shared" si="9"/>
        <v>#DIV/0!</v>
      </c>
    </row>
    <row r="105" spans="1:18" x14ac:dyDescent="0.2">
      <c r="A105" s="57" t="s">
        <v>187</v>
      </c>
      <c r="B105" s="58" t="s">
        <v>188</v>
      </c>
      <c r="C105" s="58" t="s">
        <v>336</v>
      </c>
      <c r="D105" s="58" t="s">
        <v>342</v>
      </c>
      <c r="E105" s="59" t="s">
        <v>343</v>
      </c>
      <c r="F105" s="58" t="s">
        <v>192</v>
      </c>
      <c r="G105" s="58" t="s">
        <v>153</v>
      </c>
      <c r="H105" s="58" t="s">
        <v>11</v>
      </c>
      <c r="I105" s="58" t="s">
        <v>133</v>
      </c>
      <c r="J105" s="60">
        <v>52</v>
      </c>
      <c r="K105" s="60">
        <f t="shared" si="5"/>
        <v>40.784313725490193</v>
      </c>
      <c r="L105" s="61">
        <f>prodnorm36</f>
        <v>0</v>
      </c>
      <c r="M105" s="58" t="s">
        <v>41</v>
      </c>
      <c r="N105" s="62">
        <f>uurtarief36</f>
        <v>0</v>
      </c>
      <c r="O105" s="60" t="e">
        <f t="shared" si="6"/>
        <v>#DIV/0!</v>
      </c>
      <c r="P105" s="62" t="e">
        <f t="shared" si="7"/>
        <v>#DIV/0!</v>
      </c>
      <c r="Q105" s="60" t="e">
        <f t="shared" si="8"/>
        <v>#DIV/0!</v>
      </c>
      <c r="R105" s="63" t="e">
        <f t="shared" si="9"/>
        <v>#DIV/0!</v>
      </c>
    </row>
    <row r="106" spans="1:18" x14ac:dyDescent="0.2">
      <c r="A106" s="57" t="s">
        <v>187</v>
      </c>
      <c r="B106" s="58" t="s">
        <v>188</v>
      </c>
      <c r="C106" s="58" t="s">
        <v>336</v>
      </c>
      <c r="D106" s="58" t="s">
        <v>344</v>
      </c>
      <c r="E106" s="59" t="s">
        <v>345</v>
      </c>
      <c r="F106" s="58" t="s">
        <v>192</v>
      </c>
      <c r="G106" s="58" t="s">
        <v>173</v>
      </c>
      <c r="H106" s="58" t="s">
        <v>12</v>
      </c>
      <c r="I106" s="58" t="s">
        <v>174</v>
      </c>
      <c r="J106" s="60">
        <v>45</v>
      </c>
      <c r="K106" s="60">
        <f t="shared" si="5"/>
        <v>28.235294117647058</v>
      </c>
      <c r="L106" s="61">
        <f>prodnorm21</f>
        <v>0</v>
      </c>
      <c r="M106" s="58" t="s">
        <v>41</v>
      </c>
      <c r="N106" s="62">
        <f>uurtarief21</f>
        <v>0</v>
      </c>
      <c r="O106" s="60" t="e">
        <f t="shared" si="6"/>
        <v>#DIV/0!</v>
      </c>
      <c r="P106" s="62" t="e">
        <f t="shared" si="7"/>
        <v>#DIV/0!</v>
      </c>
      <c r="Q106" s="60" t="e">
        <f t="shared" si="8"/>
        <v>#DIV/0!</v>
      </c>
      <c r="R106" s="63" t="e">
        <f t="shared" si="9"/>
        <v>#DIV/0!</v>
      </c>
    </row>
    <row r="107" spans="1:18" x14ac:dyDescent="0.2">
      <c r="A107" s="57" t="s">
        <v>187</v>
      </c>
      <c r="B107" s="58" t="s">
        <v>188</v>
      </c>
      <c r="C107" s="58" t="s">
        <v>336</v>
      </c>
      <c r="D107" s="58" t="s">
        <v>344</v>
      </c>
      <c r="E107" s="59" t="s">
        <v>345</v>
      </c>
      <c r="F107" s="58" t="s">
        <v>192</v>
      </c>
      <c r="G107" s="58" t="s">
        <v>135</v>
      </c>
      <c r="H107" s="58" t="s">
        <v>18</v>
      </c>
      <c r="I107" s="58" t="s">
        <v>133</v>
      </c>
      <c r="J107" s="60">
        <v>45</v>
      </c>
      <c r="K107" s="60">
        <f t="shared" si="5"/>
        <v>7.0588235294117645</v>
      </c>
      <c r="L107" s="61">
        <f>prodnorm24</f>
        <v>0</v>
      </c>
      <c r="M107" s="58" t="s">
        <v>41</v>
      </c>
      <c r="N107" s="62">
        <f>uurtarief24</f>
        <v>0</v>
      </c>
      <c r="O107" s="60" t="e">
        <f t="shared" si="6"/>
        <v>#DIV/0!</v>
      </c>
      <c r="P107" s="62" t="e">
        <f t="shared" si="7"/>
        <v>#DIV/0!</v>
      </c>
      <c r="Q107" s="60" t="e">
        <f t="shared" si="8"/>
        <v>#DIV/0!</v>
      </c>
      <c r="R107" s="63" t="e">
        <f t="shared" si="9"/>
        <v>#DIV/0!</v>
      </c>
    </row>
    <row r="108" spans="1:18" x14ac:dyDescent="0.2">
      <c r="A108" s="57" t="s">
        <v>187</v>
      </c>
      <c r="B108" s="58" t="s">
        <v>188</v>
      </c>
      <c r="C108" s="58" t="s">
        <v>336</v>
      </c>
      <c r="D108" s="58" t="s">
        <v>346</v>
      </c>
      <c r="E108" s="59" t="s">
        <v>347</v>
      </c>
      <c r="F108" s="58" t="s">
        <v>192</v>
      </c>
      <c r="G108" s="58" t="s">
        <v>173</v>
      </c>
      <c r="H108" s="58" t="s">
        <v>12</v>
      </c>
      <c r="I108" s="58" t="s">
        <v>174</v>
      </c>
      <c r="J108" s="60">
        <v>14</v>
      </c>
      <c r="K108" s="60">
        <f t="shared" si="5"/>
        <v>8.7843137254901968</v>
      </c>
      <c r="L108" s="61">
        <f>prodnorm21</f>
        <v>0</v>
      </c>
      <c r="M108" s="58" t="s">
        <v>41</v>
      </c>
      <c r="N108" s="62">
        <f>uurtarief21</f>
        <v>0</v>
      </c>
      <c r="O108" s="60" t="e">
        <f t="shared" si="6"/>
        <v>#DIV/0!</v>
      </c>
      <c r="P108" s="62" t="e">
        <f t="shared" si="7"/>
        <v>#DIV/0!</v>
      </c>
      <c r="Q108" s="60" t="e">
        <f t="shared" si="8"/>
        <v>#DIV/0!</v>
      </c>
      <c r="R108" s="63" t="e">
        <f t="shared" si="9"/>
        <v>#DIV/0!</v>
      </c>
    </row>
    <row r="109" spans="1:18" x14ac:dyDescent="0.2">
      <c r="A109" s="57" t="s">
        <v>187</v>
      </c>
      <c r="B109" s="58" t="s">
        <v>188</v>
      </c>
      <c r="C109" s="58" t="s">
        <v>336</v>
      </c>
      <c r="D109" s="58" t="s">
        <v>346</v>
      </c>
      <c r="E109" s="59" t="s">
        <v>347</v>
      </c>
      <c r="F109" s="58" t="s">
        <v>192</v>
      </c>
      <c r="G109" s="58" t="s">
        <v>135</v>
      </c>
      <c r="H109" s="58" t="s">
        <v>18</v>
      </c>
      <c r="I109" s="58" t="s">
        <v>133</v>
      </c>
      <c r="J109" s="60">
        <v>14</v>
      </c>
      <c r="K109" s="60">
        <f t="shared" si="5"/>
        <v>2.1960784313725492</v>
      </c>
      <c r="L109" s="61">
        <f>prodnorm24</f>
        <v>0</v>
      </c>
      <c r="M109" s="58" t="s">
        <v>41</v>
      </c>
      <c r="N109" s="62">
        <f>uurtarief24</f>
        <v>0</v>
      </c>
      <c r="O109" s="60" t="e">
        <f t="shared" si="6"/>
        <v>#DIV/0!</v>
      </c>
      <c r="P109" s="62" t="e">
        <f t="shared" si="7"/>
        <v>#DIV/0!</v>
      </c>
      <c r="Q109" s="60" t="e">
        <f t="shared" si="8"/>
        <v>#DIV/0!</v>
      </c>
      <c r="R109" s="63" t="e">
        <f t="shared" si="9"/>
        <v>#DIV/0!</v>
      </c>
    </row>
    <row r="110" spans="1:18" x14ac:dyDescent="0.2">
      <c r="A110" s="57" t="s">
        <v>187</v>
      </c>
      <c r="B110" s="58" t="s">
        <v>188</v>
      </c>
      <c r="C110" s="58" t="s">
        <v>336</v>
      </c>
      <c r="D110" s="58" t="s">
        <v>348</v>
      </c>
      <c r="E110" s="59" t="s">
        <v>209</v>
      </c>
      <c r="F110" s="58" t="s">
        <v>192</v>
      </c>
      <c r="G110" s="58" t="s">
        <v>167</v>
      </c>
      <c r="H110" s="58" t="s">
        <v>11</v>
      </c>
      <c r="I110" s="58" t="s">
        <v>133</v>
      </c>
      <c r="J110" s="60">
        <v>13</v>
      </c>
      <c r="K110" s="60">
        <f t="shared" si="5"/>
        <v>10.196078431372548</v>
      </c>
      <c r="L110" s="61">
        <f>prodnorm43</f>
        <v>0</v>
      </c>
      <c r="M110" s="58" t="s">
        <v>41</v>
      </c>
      <c r="N110" s="62">
        <f>uurtarief43</f>
        <v>0</v>
      </c>
      <c r="O110" s="60" t="e">
        <f t="shared" si="6"/>
        <v>#DIV/0!</v>
      </c>
      <c r="P110" s="62" t="e">
        <f t="shared" si="7"/>
        <v>#DIV/0!</v>
      </c>
      <c r="Q110" s="60" t="e">
        <f t="shared" si="8"/>
        <v>#DIV/0!</v>
      </c>
      <c r="R110" s="63" t="e">
        <f t="shared" si="9"/>
        <v>#DIV/0!</v>
      </c>
    </row>
    <row r="111" spans="1:18" x14ac:dyDescent="0.2">
      <c r="A111" s="57" t="s">
        <v>187</v>
      </c>
      <c r="B111" s="58" t="s">
        <v>188</v>
      </c>
      <c r="C111" s="58" t="s">
        <v>336</v>
      </c>
      <c r="D111" s="58" t="s">
        <v>349</v>
      </c>
      <c r="E111" s="59" t="s">
        <v>277</v>
      </c>
      <c r="F111" s="58" t="s">
        <v>199</v>
      </c>
      <c r="G111" s="58" t="s">
        <v>169</v>
      </c>
      <c r="H111" s="58" t="s">
        <v>11</v>
      </c>
      <c r="I111" s="58" t="s">
        <v>133</v>
      </c>
      <c r="J111" s="60">
        <v>20</v>
      </c>
      <c r="K111" s="60">
        <f t="shared" si="5"/>
        <v>15.686274509803921</v>
      </c>
      <c r="L111" s="61">
        <f>prodnorm44</f>
        <v>0</v>
      </c>
      <c r="M111" s="58" t="s">
        <v>41</v>
      </c>
      <c r="N111" s="62">
        <f>uurtarief44</f>
        <v>0</v>
      </c>
      <c r="O111" s="60" t="e">
        <f t="shared" si="6"/>
        <v>#DIV/0!</v>
      </c>
      <c r="P111" s="62" t="e">
        <f t="shared" si="7"/>
        <v>#DIV/0!</v>
      </c>
      <c r="Q111" s="60" t="e">
        <f t="shared" si="8"/>
        <v>#DIV/0!</v>
      </c>
      <c r="R111" s="63" t="e">
        <f t="shared" si="9"/>
        <v>#DIV/0!</v>
      </c>
    </row>
    <row r="112" spans="1:18" x14ac:dyDescent="0.2">
      <c r="A112" s="57" t="s">
        <v>187</v>
      </c>
      <c r="B112" s="58" t="s">
        <v>188</v>
      </c>
      <c r="C112" s="58" t="s">
        <v>336</v>
      </c>
      <c r="D112" s="58" t="s">
        <v>350</v>
      </c>
      <c r="E112" s="59" t="s">
        <v>351</v>
      </c>
      <c r="F112" s="58" t="s">
        <v>192</v>
      </c>
      <c r="G112" s="58" t="s">
        <v>153</v>
      </c>
      <c r="H112" s="58" t="s">
        <v>11</v>
      </c>
      <c r="I112" s="58" t="s">
        <v>133</v>
      </c>
      <c r="J112" s="60">
        <v>69</v>
      </c>
      <c r="K112" s="60">
        <f t="shared" si="5"/>
        <v>54.117647058823529</v>
      </c>
      <c r="L112" s="61">
        <f>prodnorm36</f>
        <v>0</v>
      </c>
      <c r="M112" s="58" t="s">
        <v>41</v>
      </c>
      <c r="N112" s="62">
        <f>uurtarief36</f>
        <v>0</v>
      </c>
      <c r="O112" s="60" t="e">
        <f t="shared" si="6"/>
        <v>#DIV/0!</v>
      </c>
      <c r="P112" s="62" t="e">
        <f t="shared" si="7"/>
        <v>#DIV/0!</v>
      </c>
      <c r="Q112" s="60" t="e">
        <f t="shared" si="8"/>
        <v>#DIV/0!</v>
      </c>
      <c r="R112" s="63" t="e">
        <f t="shared" si="9"/>
        <v>#DIV/0!</v>
      </c>
    </row>
    <row r="113" spans="1:18" x14ac:dyDescent="0.2">
      <c r="A113" s="57" t="s">
        <v>187</v>
      </c>
      <c r="B113" s="58" t="s">
        <v>188</v>
      </c>
      <c r="C113" s="58" t="s">
        <v>336</v>
      </c>
      <c r="D113" s="58" t="s">
        <v>352</v>
      </c>
      <c r="E113" s="59" t="s">
        <v>209</v>
      </c>
      <c r="F113" s="58" t="s">
        <v>192</v>
      </c>
      <c r="G113" s="58" t="s">
        <v>167</v>
      </c>
      <c r="H113" s="58" t="s">
        <v>11</v>
      </c>
      <c r="I113" s="58" t="s">
        <v>133</v>
      </c>
      <c r="J113" s="60">
        <v>16</v>
      </c>
      <c r="K113" s="60">
        <f t="shared" si="5"/>
        <v>12.549019607843137</v>
      </c>
      <c r="L113" s="61">
        <f>prodnorm43</f>
        <v>0</v>
      </c>
      <c r="M113" s="58" t="s">
        <v>41</v>
      </c>
      <c r="N113" s="62">
        <f>uurtarief43</f>
        <v>0</v>
      </c>
      <c r="O113" s="60" t="e">
        <f t="shared" si="6"/>
        <v>#DIV/0!</v>
      </c>
      <c r="P113" s="62" t="e">
        <f t="shared" si="7"/>
        <v>#DIV/0!</v>
      </c>
      <c r="Q113" s="60" t="e">
        <f t="shared" si="8"/>
        <v>#DIV/0!</v>
      </c>
      <c r="R113" s="63" t="e">
        <f t="shared" si="9"/>
        <v>#DIV/0!</v>
      </c>
    </row>
    <row r="114" spans="1:18" x14ac:dyDescent="0.2">
      <c r="A114" s="57" t="s">
        <v>187</v>
      </c>
      <c r="B114" s="58" t="s">
        <v>188</v>
      </c>
      <c r="C114" s="58" t="s">
        <v>336</v>
      </c>
      <c r="D114" s="58" t="s">
        <v>353</v>
      </c>
      <c r="E114" s="59" t="s">
        <v>207</v>
      </c>
      <c r="F114" s="58" t="s">
        <v>192</v>
      </c>
      <c r="G114" s="58" t="s">
        <v>171</v>
      </c>
      <c r="H114" s="58" t="s">
        <v>11</v>
      </c>
      <c r="I114" s="58" t="s">
        <v>133</v>
      </c>
      <c r="J114" s="60">
        <v>65</v>
      </c>
      <c r="K114" s="60">
        <f t="shared" si="5"/>
        <v>50.980392156862742</v>
      </c>
      <c r="L114" s="61">
        <f>prodnorm45</f>
        <v>0</v>
      </c>
      <c r="M114" s="58" t="s">
        <v>41</v>
      </c>
      <c r="N114" s="62">
        <f>uurtarief45</f>
        <v>0</v>
      </c>
      <c r="O114" s="60" t="e">
        <f t="shared" si="6"/>
        <v>#DIV/0!</v>
      </c>
      <c r="P114" s="62" t="e">
        <f t="shared" si="7"/>
        <v>#DIV/0!</v>
      </c>
      <c r="Q114" s="60" t="e">
        <f t="shared" si="8"/>
        <v>#DIV/0!</v>
      </c>
      <c r="R114" s="63" t="e">
        <f t="shared" si="9"/>
        <v>#DIV/0!</v>
      </c>
    </row>
    <row r="115" spans="1:18" x14ac:dyDescent="0.2">
      <c r="A115" s="57" t="s">
        <v>187</v>
      </c>
      <c r="B115" s="58" t="s">
        <v>188</v>
      </c>
      <c r="C115" s="58" t="s">
        <v>336</v>
      </c>
      <c r="D115" s="58" t="s">
        <v>354</v>
      </c>
      <c r="E115" s="59" t="s">
        <v>355</v>
      </c>
      <c r="F115" s="58" t="s">
        <v>192</v>
      </c>
      <c r="G115" s="58" t="s">
        <v>153</v>
      </c>
      <c r="H115" s="58" t="s">
        <v>11</v>
      </c>
      <c r="I115" s="58" t="s">
        <v>133</v>
      </c>
      <c r="J115" s="60">
        <v>47</v>
      </c>
      <c r="K115" s="60">
        <f t="shared" si="5"/>
        <v>36.862745098039213</v>
      </c>
      <c r="L115" s="61">
        <f>prodnorm36</f>
        <v>0</v>
      </c>
      <c r="M115" s="58" t="s">
        <v>41</v>
      </c>
      <c r="N115" s="62">
        <f>uurtarief36</f>
        <v>0</v>
      </c>
      <c r="O115" s="60" t="e">
        <f t="shared" si="6"/>
        <v>#DIV/0!</v>
      </c>
      <c r="P115" s="62" t="e">
        <f t="shared" si="7"/>
        <v>#DIV/0!</v>
      </c>
      <c r="Q115" s="60" t="e">
        <f t="shared" si="8"/>
        <v>#DIV/0!</v>
      </c>
      <c r="R115" s="63" t="e">
        <f t="shared" si="9"/>
        <v>#DIV/0!</v>
      </c>
    </row>
    <row r="116" spans="1:18" x14ac:dyDescent="0.2">
      <c r="A116" s="57" t="s">
        <v>187</v>
      </c>
      <c r="B116" s="58" t="s">
        <v>188</v>
      </c>
      <c r="C116" s="58" t="s">
        <v>336</v>
      </c>
      <c r="D116" s="58" t="s">
        <v>356</v>
      </c>
      <c r="E116" s="59" t="s">
        <v>357</v>
      </c>
      <c r="F116" s="58" t="s">
        <v>192</v>
      </c>
      <c r="G116" s="58" t="s">
        <v>153</v>
      </c>
      <c r="H116" s="58" t="s">
        <v>11</v>
      </c>
      <c r="I116" s="58" t="s">
        <v>133</v>
      </c>
      <c r="J116" s="60">
        <v>103</v>
      </c>
      <c r="K116" s="60">
        <f t="shared" si="5"/>
        <v>80.784313725490193</v>
      </c>
      <c r="L116" s="61">
        <f>prodnorm36</f>
        <v>0</v>
      </c>
      <c r="M116" s="58" t="s">
        <v>41</v>
      </c>
      <c r="N116" s="62">
        <f>uurtarief36</f>
        <v>0</v>
      </c>
      <c r="O116" s="60" t="e">
        <f t="shared" si="6"/>
        <v>#DIV/0!</v>
      </c>
      <c r="P116" s="62" t="e">
        <f t="shared" si="7"/>
        <v>#DIV/0!</v>
      </c>
      <c r="Q116" s="60" t="e">
        <f t="shared" si="8"/>
        <v>#DIV/0!</v>
      </c>
      <c r="R116" s="63" t="e">
        <f t="shared" si="9"/>
        <v>#DIV/0!</v>
      </c>
    </row>
    <row r="117" spans="1:18" x14ac:dyDescent="0.2">
      <c r="A117" s="57" t="s">
        <v>187</v>
      </c>
      <c r="B117" s="58" t="s">
        <v>188</v>
      </c>
      <c r="C117" s="58" t="s">
        <v>336</v>
      </c>
      <c r="D117" s="58" t="s">
        <v>358</v>
      </c>
      <c r="E117" s="59" t="s">
        <v>207</v>
      </c>
      <c r="F117" s="58" t="s">
        <v>192</v>
      </c>
      <c r="G117" s="58" t="s">
        <v>171</v>
      </c>
      <c r="H117" s="58" t="s">
        <v>11</v>
      </c>
      <c r="I117" s="58" t="s">
        <v>133</v>
      </c>
      <c r="J117" s="60">
        <v>36</v>
      </c>
      <c r="K117" s="60">
        <f t="shared" si="5"/>
        <v>28.235294117647058</v>
      </c>
      <c r="L117" s="61">
        <f>prodnorm45</f>
        <v>0</v>
      </c>
      <c r="M117" s="58" t="s">
        <v>41</v>
      </c>
      <c r="N117" s="62">
        <f>uurtarief45</f>
        <v>0</v>
      </c>
      <c r="O117" s="60" t="e">
        <f t="shared" si="6"/>
        <v>#DIV/0!</v>
      </c>
      <c r="P117" s="62" t="e">
        <f t="shared" si="7"/>
        <v>#DIV/0!</v>
      </c>
      <c r="Q117" s="60" t="e">
        <f t="shared" si="8"/>
        <v>#DIV/0!</v>
      </c>
      <c r="R117" s="63" t="e">
        <f t="shared" si="9"/>
        <v>#DIV/0!</v>
      </c>
    </row>
    <row r="118" spans="1:18" x14ac:dyDescent="0.2">
      <c r="A118" s="57" t="s">
        <v>187</v>
      </c>
      <c r="B118" s="58" t="s">
        <v>188</v>
      </c>
      <c r="C118" s="58" t="s">
        <v>336</v>
      </c>
      <c r="D118" s="58" t="s">
        <v>359</v>
      </c>
      <c r="E118" s="59" t="s">
        <v>360</v>
      </c>
      <c r="F118" s="58" t="s">
        <v>192</v>
      </c>
      <c r="G118" s="58" t="s">
        <v>153</v>
      </c>
      <c r="H118" s="58" t="s">
        <v>11</v>
      </c>
      <c r="I118" s="58" t="s">
        <v>133</v>
      </c>
      <c r="J118" s="60">
        <v>57</v>
      </c>
      <c r="K118" s="60">
        <f t="shared" si="5"/>
        <v>44.705882352941174</v>
      </c>
      <c r="L118" s="61">
        <f>prodnorm36</f>
        <v>0</v>
      </c>
      <c r="M118" s="58" t="s">
        <v>41</v>
      </c>
      <c r="N118" s="62">
        <f>uurtarief36</f>
        <v>0</v>
      </c>
      <c r="O118" s="60" t="e">
        <f t="shared" si="6"/>
        <v>#DIV/0!</v>
      </c>
      <c r="P118" s="62" t="e">
        <f t="shared" si="7"/>
        <v>#DIV/0!</v>
      </c>
      <c r="Q118" s="60" t="e">
        <f t="shared" si="8"/>
        <v>#DIV/0!</v>
      </c>
      <c r="R118" s="63" t="e">
        <f t="shared" si="9"/>
        <v>#DIV/0!</v>
      </c>
    </row>
    <row r="119" spans="1:18" x14ac:dyDescent="0.2">
      <c r="A119" s="57" t="s">
        <v>187</v>
      </c>
      <c r="B119" s="58" t="s">
        <v>188</v>
      </c>
      <c r="C119" s="58" t="s">
        <v>336</v>
      </c>
      <c r="D119" s="58" t="s">
        <v>361</v>
      </c>
      <c r="E119" s="59" t="s">
        <v>209</v>
      </c>
      <c r="F119" s="58" t="s">
        <v>192</v>
      </c>
      <c r="G119" s="58" t="s">
        <v>167</v>
      </c>
      <c r="H119" s="58" t="s">
        <v>11</v>
      </c>
      <c r="I119" s="58" t="s">
        <v>133</v>
      </c>
      <c r="J119" s="60">
        <v>6</v>
      </c>
      <c r="K119" s="60">
        <f t="shared" si="5"/>
        <v>4.7058823529411766</v>
      </c>
      <c r="L119" s="61">
        <f>prodnorm43</f>
        <v>0</v>
      </c>
      <c r="M119" s="58" t="s">
        <v>41</v>
      </c>
      <c r="N119" s="62">
        <f>uurtarief43</f>
        <v>0</v>
      </c>
      <c r="O119" s="60" t="e">
        <f t="shared" si="6"/>
        <v>#DIV/0!</v>
      </c>
      <c r="P119" s="62" t="e">
        <f t="shared" si="7"/>
        <v>#DIV/0!</v>
      </c>
      <c r="Q119" s="60" t="e">
        <f t="shared" si="8"/>
        <v>#DIV/0!</v>
      </c>
      <c r="R119" s="63" t="e">
        <f t="shared" si="9"/>
        <v>#DIV/0!</v>
      </c>
    </row>
    <row r="120" spans="1:18" x14ac:dyDescent="0.2">
      <c r="A120" s="57" t="s">
        <v>187</v>
      </c>
      <c r="B120" s="58" t="s">
        <v>188</v>
      </c>
      <c r="C120" s="58" t="s">
        <v>336</v>
      </c>
      <c r="D120" s="58" t="s">
        <v>362</v>
      </c>
      <c r="E120" s="59" t="s">
        <v>363</v>
      </c>
      <c r="F120" s="58" t="s">
        <v>192</v>
      </c>
      <c r="G120" s="58" t="s">
        <v>153</v>
      </c>
      <c r="H120" s="58" t="s">
        <v>11</v>
      </c>
      <c r="I120" s="58" t="s">
        <v>133</v>
      </c>
      <c r="J120" s="60">
        <v>62</v>
      </c>
      <c r="K120" s="60">
        <f t="shared" si="5"/>
        <v>48.627450980392155</v>
      </c>
      <c r="L120" s="61">
        <f>prodnorm36</f>
        <v>0</v>
      </c>
      <c r="M120" s="58" t="s">
        <v>41</v>
      </c>
      <c r="N120" s="62">
        <f>uurtarief36</f>
        <v>0</v>
      </c>
      <c r="O120" s="60" t="e">
        <f t="shared" si="6"/>
        <v>#DIV/0!</v>
      </c>
      <c r="P120" s="62" t="e">
        <f t="shared" si="7"/>
        <v>#DIV/0!</v>
      </c>
      <c r="Q120" s="60" t="e">
        <f t="shared" si="8"/>
        <v>#DIV/0!</v>
      </c>
      <c r="R120" s="63" t="e">
        <f t="shared" si="9"/>
        <v>#DIV/0!</v>
      </c>
    </row>
    <row r="121" spans="1:18" x14ac:dyDescent="0.2">
      <c r="A121" s="57" t="s">
        <v>187</v>
      </c>
      <c r="B121" s="58" t="s">
        <v>188</v>
      </c>
      <c r="C121" s="58" t="s">
        <v>336</v>
      </c>
      <c r="D121" s="58" t="s">
        <v>364</v>
      </c>
      <c r="E121" s="59" t="s">
        <v>236</v>
      </c>
      <c r="F121" s="58" t="s">
        <v>192</v>
      </c>
      <c r="G121" s="58" t="s">
        <v>169</v>
      </c>
      <c r="H121" s="58" t="s">
        <v>11</v>
      </c>
      <c r="I121" s="58" t="s">
        <v>133</v>
      </c>
      <c r="J121" s="60">
        <v>21</v>
      </c>
      <c r="K121" s="60">
        <f t="shared" si="5"/>
        <v>16.470588235294116</v>
      </c>
      <c r="L121" s="61">
        <f>prodnorm44</f>
        <v>0</v>
      </c>
      <c r="M121" s="58" t="s">
        <v>41</v>
      </c>
      <c r="N121" s="62">
        <f>uurtarief44</f>
        <v>0</v>
      </c>
      <c r="O121" s="60" t="e">
        <f t="shared" si="6"/>
        <v>#DIV/0!</v>
      </c>
      <c r="P121" s="62" t="e">
        <f t="shared" si="7"/>
        <v>#DIV/0!</v>
      </c>
      <c r="Q121" s="60" t="e">
        <f t="shared" si="8"/>
        <v>#DIV/0!</v>
      </c>
      <c r="R121" s="63" t="e">
        <f t="shared" si="9"/>
        <v>#DIV/0!</v>
      </c>
    </row>
    <row r="122" spans="1:18" x14ac:dyDescent="0.2">
      <c r="A122" s="57" t="s">
        <v>187</v>
      </c>
      <c r="B122" s="58" t="s">
        <v>188</v>
      </c>
      <c r="C122" s="58" t="s">
        <v>336</v>
      </c>
      <c r="D122" s="58" t="s">
        <v>365</v>
      </c>
      <c r="E122" s="59" t="s">
        <v>366</v>
      </c>
      <c r="F122" s="58" t="s">
        <v>192</v>
      </c>
      <c r="G122" s="58" t="s">
        <v>153</v>
      </c>
      <c r="H122" s="58" t="s">
        <v>11</v>
      </c>
      <c r="I122" s="58" t="s">
        <v>133</v>
      </c>
      <c r="J122" s="60">
        <v>103</v>
      </c>
      <c r="K122" s="60">
        <f t="shared" si="5"/>
        <v>80.784313725490193</v>
      </c>
      <c r="L122" s="61">
        <f t="shared" ref="L122:L128" si="10">prodnorm36</f>
        <v>0</v>
      </c>
      <c r="M122" s="58" t="s">
        <v>41</v>
      </c>
      <c r="N122" s="62">
        <f t="shared" ref="N122:N128" si="11">uurtarief36</f>
        <v>0</v>
      </c>
      <c r="O122" s="60" t="e">
        <f t="shared" si="6"/>
        <v>#DIV/0!</v>
      </c>
      <c r="P122" s="62" t="e">
        <f t="shared" si="7"/>
        <v>#DIV/0!</v>
      </c>
      <c r="Q122" s="60" t="e">
        <f t="shared" si="8"/>
        <v>#DIV/0!</v>
      </c>
      <c r="R122" s="63" t="e">
        <f t="shared" si="9"/>
        <v>#DIV/0!</v>
      </c>
    </row>
    <row r="123" spans="1:18" x14ac:dyDescent="0.2">
      <c r="A123" s="57" t="s">
        <v>187</v>
      </c>
      <c r="B123" s="58" t="s">
        <v>188</v>
      </c>
      <c r="C123" s="58" t="s">
        <v>367</v>
      </c>
      <c r="D123" s="58" t="s">
        <v>368</v>
      </c>
      <c r="E123" s="59" t="s">
        <v>369</v>
      </c>
      <c r="F123" s="58" t="s">
        <v>192</v>
      </c>
      <c r="G123" s="58" t="s">
        <v>153</v>
      </c>
      <c r="H123" s="58" t="s">
        <v>11</v>
      </c>
      <c r="I123" s="58" t="s">
        <v>133</v>
      </c>
      <c r="J123" s="60">
        <v>61</v>
      </c>
      <c r="K123" s="60">
        <f t="shared" si="5"/>
        <v>47.843137254901961</v>
      </c>
      <c r="L123" s="61">
        <f t="shared" si="10"/>
        <v>0</v>
      </c>
      <c r="M123" s="58" t="s">
        <v>41</v>
      </c>
      <c r="N123" s="62">
        <f t="shared" si="11"/>
        <v>0</v>
      </c>
      <c r="O123" s="60" t="e">
        <f t="shared" si="6"/>
        <v>#DIV/0!</v>
      </c>
      <c r="P123" s="62" t="e">
        <f t="shared" si="7"/>
        <v>#DIV/0!</v>
      </c>
      <c r="Q123" s="60" t="e">
        <f t="shared" si="8"/>
        <v>#DIV/0!</v>
      </c>
      <c r="R123" s="63" t="e">
        <f t="shared" si="9"/>
        <v>#DIV/0!</v>
      </c>
    </row>
    <row r="124" spans="1:18" x14ac:dyDescent="0.2">
      <c r="A124" s="57" t="s">
        <v>187</v>
      </c>
      <c r="B124" s="58" t="s">
        <v>188</v>
      </c>
      <c r="C124" s="58" t="s">
        <v>367</v>
      </c>
      <c r="D124" s="58" t="s">
        <v>370</v>
      </c>
      <c r="E124" s="59" t="s">
        <v>238</v>
      </c>
      <c r="F124" s="58" t="s">
        <v>192</v>
      </c>
      <c r="G124" s="58" t="s">
        <v>153</v>
      </c>
      <c r="H124" s="58" t="s">
        <v>11</v>
      </c>
      <c r="I124" s="58" t="s">
        <v>133</v>
      </c>
      <c r="J124" s="60">
        <v>20</v>
      </c>
      <c r="K124" s="60">
        <f t="shared" si="5"/>
        <v>15.686274509803921</v>
      </c>
      <c r="L124" s="61">
        <f t="shared" si="10"/>
        <v>0</v>
      </c>
      <c r="M124" s="58" t="s">
        <v>41</v>
      </c>
      <c r="N124" s="62">
        <f t="shared" si="11"/>
        <v>0</v>
      </c>
      <c r="O124" s="60" t="e">
        <f t="shared" si="6"/>
        <v>#DIV/0!</v>
      </c>
      <c r="P124" s="62" t="e">
        <f t="shared" si="7"/>
        <v>#DIV/0!</v>
      </c>
      <c r="Q124" s="60" t="e">
        <f t="shared" si="8"/>
        <v>#DIV/0!</v>
      </c>
      <c r="R124" s="63" t="e">
        <f t="shared" si="9"/>
        <v>#DIV/0!</v>
      </c>
    </row>
    <row r="125" spans="1:18" x14ac:dyDescent="0.2">
      <c r="A125" s="57" t="s">
        <v>187</v>
      </c>
      <c r="B125" s="58" t="s">
        <v>188</v>
      </c>
      <c r="C125" s="58" t="s">
        <v>367</v>
      </c>
      <c r="D125" s="58" t="s">
        <v>371</v>
      </c>
      <c r="E125" s="59" t="s">
        <v>372</v>
      </c>
      <c r="F125" s="58" t="s">
        <v>192</v>
      </c>
      <c r="G125" s="58" t="s">
        <v>153</v>
      </c>
      <c r="H125" s="58" t="s">
        <v>11</v>
      </c>
      <c r="I125" s="58" t="s">
        <v>133</v>
      </c>
      <c r="J125" s="60">
        <v>50</v>
      </c>
      <c r="K125" s="60">
        <f t="shared" si="5"/>
        <v>39.215686274509807</v>
      </c>
      <c r="L125" s="61">
        <f t="shared" si="10"/>
        <v>0</v>
      </c>
      <c r="M125" s="58" t="s">
        <v>41</v>
      </c>
      <c r="N125" s="62">
        <f t="shared" si="11"/>
        <v>0</v>
      </c>
      <c r="O125" s="60" t="e">
        <f t="shared" si="6"/>
        <v>#DIV/0!</v>
      </c>
      <c r="P125" s="62" t="e">
        <f t="shared" si="7"/>
        <v>#DIV/0!</v>
      </c>
      <c r="Q125" s="60" t="e">
        <f t="shared" si="8"/>
        <v>#DIV/0!</v>
      </c>
      <c r="R125" s="63" t="e">
        <f t="shared" si="9"/>
        <v>#DIV/0!</v>
      </c>
    </row>
    <row r="126" spans="1:18" x14ac:dyDescent="0.2">
      <c r="A126" s="57" t="s">
        <v>187</v>
      </c>
      <c r="B126" s="58" t="s">
        <v>188</v>
      </c>
      <c r="C126" s="58" t="s">
        <v>367</v>
      </c>
      <c r="D126" s="58" t="s">
        <v>373</v>
      </c>
      <c r="E126" s="59" t="s">
        <v>374</v>
      </c>
      <c r="F126" s="58" t="s">
        <v>192</v>
      </c>
      <c r="G126" s="58" t="s">
        <v>153</v>
      </c>
      <c r="H126" s="58" t="s">
        <v>11</v>
      </c>
      <c r="I126" s="58" t="s">
        <v>133</v>
      </c>
      <c r="J126" s="60">
        <v>52</v>
      </c>
      <c r="K126" s="60">
        <f t="shared" si="5"/>
        <v>40.784313725490193</v>
      </c>
      <c r="L126" s="61">
        <f t="shared" si="10"/>
        <v>0</v>
      </c>
      <c r="M126" s="58" t="s">
        <v>41</v>
      </c>
      <c r="N126" s="62">
        <f t="shared" si="11"/>
        <v>0</v>
      </c>
      <c r="O126" s="60" t="e">
        <f t="shared" si="6"/>
        <v>#DIV/0!</v>
      </c>
      <c r="P126" s="62" t="e">
        <f t="shared" si="7"/>
        <v>#DIV/0!</v>
      </c>
      <c r="Q126" s="60" t="e">
        <f t="shared" si="8"/>
        <v>#DIV/0!</v>
      </c>
      <c r="R126" s="63" t="e">
        <f t="shared" si="9"/>
        <v>#DIV/0!</v>
      </c>
    </row>
    <row r="127" spans="1:18" x14ac:dyDescent="0.2">
      <c r="A127" s="57" t="s">
        <v>187</v>
      </c>
      <c r="B127" s="58" t="s">
        <v>188</v>
      </c>
      <c r="C127" s="58" t="s">
        <v>367</v>
      </c>
      <c r="D127" s="58" t="s">
        <v>375</v>
      </c>
      <c r="E127" s="59" t="s">
        <v>238</v>
      </c>
      <c r="F127" s="58" t="s">
        <v>192</v>
      </c>
      <c r="G127" s="58" t="s">
        <v>153</v>
      </c>
      <c r="H127" s="58" t="s">
        <v>11</v>
      </c>
      <c r="I127" s="58" t="s">
        <v>133</v>
      </c>
      <c r="J127" s="60">
        <v>32</v>
      </c>
      <c r="K127" s="60">
        <f t="shared" si="5"/>
        <v>25.098039215686274</v>
      </c>
      <c r="L127" s="61">
        <f t="shared" si="10"/>
        <v>0</v>
      </c>
      <c r="M127" s="58" t="s">
        <v>41</v>
      </c>
      <c r="N127" s="62">
        <f t="shared" si="11"/>
        <v>0</v>
      </c>
      <c r="O127" s="60" t="e">
        <f t="shared" si="6"/>
        <v>#DIV/0!</v>
      </c>
      <c r="P127" s="62" t="e">
        <f t="shared" si="7"/>
        <v>#DIV/0!</v>
      </c>
      <c r="Q127" s="60" t="e">
        <f t="shared" si="8"/>
        <v>#DIV/0!</v>
      </c>
      <c r="R127" s="63" t="e">
        <f t="shared" si="9"/>
        <v>#DIV/0!</v>
      </c>
    </row>
    <row r="128" spans="1:18" x14ac:dyDescent="0.2">
      <c r="A128" s="57" t="s">
        <v>187</v>
      </c>
      <c r="B128" s="58" t="s">
        <v>188</v>
      </c>
      <c r="C128" s="58" t="s">
        <v>367</v>
      </c>
      <c r="D128" s="58" t="s">
        <v>376</v>
      </c>
      <c r="E128" s="59" t="s">
        <v>377</v>
      </c>
      <c r="F128" s="58" t="s">
        <v>192</v>
      </c>
      <c r="G128" s="58" t="s">
        <v>153</v>
      </c>
      <c r="H128" s="58" t="s">
        <v>11</v>
      </c>
      <c r="I128" s="58" t="s">
        <v>133</v>
      </c>
      <c r="J128" s="60">
        <v>31</v>
      </c>
      <c r="K128" s="60">
        <f t="shared" si="5"/>
        <v>24.313725490196077</v>
      </c>
      <c r="L128" s="61">
        <f t="shared" si="10"/>
        <v>0</v>
      </c>
      <c r="M128" s="58" t="s">
        <v>41</v>
      </c>
      <c r="N128" s="62">
        <f t="shared" si="11"/>
        <v>0</v>
      </c>
      <c r="O128" s="60" t="e">
        <f t="shared" si="6"/>
        <v>#DIV/0!</v>
      </c>
      <c r="P128" s="62" t="e">
        <f t="shared" si="7"/>
        <v>#DIV/0!</v>
      </c>
      <c r="Q128" s="60" t="e">
        <f t="shared" si="8"/>
        <v>#DIV/0!</v>
      </c>
      <c r="R128" s="63" t="e">
        <f t="shared" si="9"/>
        <v>#DIV/0!</v>
      </c>
    </row>
    <row r="129" spans="1:18" x14ac:dyDescent="0.2">
      <c r="A129" s="57" t="s">
        <v>187</v>
      </c>
      <c r="B129" s="58" t="s">
        <v>378</v>
      </c>
      <c r="C129" s="58" t="s">
        <v>193</v>
      </c>
      <c r="D129" s="58" t="s">
        <v>379</v>
      </c>
      <c r="E129" s="59" t="s">
        <v>380</v>
      </c>
      <c r="F129" s="58" t="s">
        <v>199</v>
      </c>
      <c r="G129" s="58" t="s">
        <v>143</v>
      </c>
      <c r="H129" s="58" t="s">
        <v>11</v>
      </c>
      <c r="I129" s="58" t="s">
        <v>133</v>
      </c>
      <c r="J129" s="60">
        <v>16</v>
      </c>
      <c r="K129" s="60">
        <f t="shared" si="5"/>
        <v>12.549019607843137</v>
      </c>
      <c r="L129" s="61">
        <f>prodnorm29</f>
        <v>0</v>
      </c>
      <c r="M129" s="58" t="s">
        <v>41</v>
      </c>
      <c r="N129" s="62">
        <f>uurtarief29</f>
        <v>0</v>
      </c>
      <c r="O129" s="60" t="e">
        <f t="shared" si="6"/>
        <v>#DIV/0!</v>
      </c>
      <c r="P129" s="62" t="e">
        <f t="shared" si="7"/>
        <v>#DIV/0!</v>
      </c>
      <c r="Q129" s="60" t="e">
        <f t="shared" si="8"/>
        <v>#DIV/0!</v>
      </c>
      <c r="R129" s="63" t="e">
        <f t="shared" si="9"/>
        <v>#DIV/0!</v>
      </c>
    </row>
    <row r="130" spans="1:18" x14ac:dyDescent="0.2">
      <c r="A130" s="57" t="s">
        <v>187</v>
      </c>
      <c r="B130" s="58" t="s">
        <v>378</v>
      </c>
      <c r="C130" s="58" t="s">
        <v>193</v>
      </c>
      <c r="D130" s="58" t="s">
        <v>381</v>
      </c>
      <c r="E130" s="59" t="s">
        <v>207</v>
      </c>
      <c r="F130" s="58" t="s">
        <v>199</v>
      </c>
      <c r="G130" s="58" t="s">
        <v>171</v>
      </c>
      <c r="H130" s="58" t="s">
        <v>11</v>
      </c>
      <c r="I130" s="58" t="s">
        <v>133</v>
      </c>
      <c r="J130" s="60">
        <v>50</v>
      </c>
      <c r="K130" s="60">
        <f t="shared" si="5"/>
        <v>39.215686274509807</v>
      </c>
      <c r="L130" s="61">
        <f>prodnorm45</f>
        <v>0</v>
      </c>
      <c r="M130" s="58" t="s">
        <v>41</v>
      </c>
      <c r="N130" s="62">
        <f>uurtarief45</f>
        <v>0</v>
      </c>
      <c r="O130" s="60" t="e">
        <f t="shared" si="6"/>
        <v>#DIV/0!</v>
      </c>
      <c r="P130" s="62" t="e">
        <f t="shared" si="7"/>
        <v>#DIV/0!</v>
      </c>
      <c r="Q130" s="60" t="e">
        <f t="shared" si="8"/>
        <v>#DIV/0!</v>
      </c>
      <c r="R130" s="63" t="e">
        <f t="shared" si="9"/>
        <v>#DIV/0!</v>
      </c>
    </row>
    <row r="131" spans="1:18" x14ac:dyDescent="0.2">
      <c r="A131" s="57" t="s">
        <v>187</v>
      </c>
      <c r="B131" s="58" t="s">
        <v>378</v>
      </c>
      <c r="C131" s="58" t="s">
        <v>193</v>
      </c>
      <c r="D131" s="58" t="s">
        <v>382</v>
      </c>
      <c r="E131" s="59" t="s">
        <v>383</v>
      </c>
      <c r="F131" s="58" t="s">
        <v>192</v>
      </c>
      <c r="G131" s="58" t="s">
        <v>153</v>
      </c>
      <c r="H131" s="58" t="s">
        <v>11</v>
      </c>
      <c r="I131" s="58" t="s">
        <v>133</v>
      </c>
      <c r="J131" s="60">
        <v>54.620000000000005</v>
      </c>
      <c r="K131" s="60">
        <f t="shared" si="5"/>
        <v>42.839215686274514</v>
      </c>
      <c r="L131" s="61">
        <f>prodnorm36</f>
        <v>0</v>
      </c>
      <c r="M131" s="58" t="s">
        <v>41</v>
      </c>
      <c r="N131" s="62">
        <f>uurtarief36</f>
        <v>0</v>
      </c>
      <c r="O131" s="60" t="e">
        <f t="shared" si="6"/>
        <v>#DIV/0!</v>
      </c>
      <c r="P131" s="62" t="e">
        <f t="shared" si="7"/>
        <v>#DIV/0!</v>
      </c>
      <c r="Q131" s="60" t="e">
        <f t="shared" si="8"/>
        <v>#DIV/0!</v>
      </c>
      <c r="R131" s="63" t="e">
        <f t="shared" si="9"/>
        <v>#DIV/0!</v>
      </c>
    </row>
    <row r="132" spans="1:18" x14ac:dyDescent="0.2">
      <c r="A132" s="57" t="s">
        <v>187</v>
      </c>
      <c r="B132" s="58" t="s">
        <v>378</v>
      </c>
      <c r="C132" s="58" t="s">
        <v>193</v>
      </c>
      <c r="D132" s="58" t="s">
        <v>384</v>
      </c>
      <c r="E132" s="59" t="s">
        <v>385</v>
      </c>
      <c r="F132" s="58" t="s">
        <v>192</v>
      </c>
      <c r="G132" s="58" t="s">
        <v>153</v>
      </c>
      <c r="H132" s="58" t="s">
        <v>11</v>
      </c>
      <c r="I132" s="58" t="s">
        <v>133</v>
      </c>
      <c r="J132" s="60">
        <v>118.49000000000001</v>
      </c>
      <c r="K132" s="60">
        <f t="shared" si="5"/>
        <v>92.933333333333337</v>
      </c>
      <c r="L132" s="61">
        <f>prodnorm36</f>
        <v>0</v>
      </c>
      <c r="M132" s="58" t="s">
        <v>41</v>
      </c>
      <c r="N132" s="62">
        <f>uurtarief36</f>
        <v>0</v>
      </c>
      <c r="O132" s="60" t="e">
        <f t="shared" si="6"/>
        <v>#DIV/0!</v>
      </c>
      <c r="P132" s="62" t="e">
        <f t="shared" si="7"/>
        <v>#DIV/0!</v>
      </c>
      <c r="Q132" s="60" t="e">
        <f t="shared" si="8"/>
        <v>#DIV/0!</v>
      </c>
      <c r="R132" s="63" t="e">
        <f t="shared" si="9"/>
        <v>#DIV/0!</v>
      </c>
    </row>
    <row r="133" spans="1:18" x14ac:dyDescent="0.2">
      <c r="A133" s="57" t="s">
        <v>187</v>
      </c>
      <c r="B133" s="58" t="s">
        <v>378</v>
      </c>
      <c r="C133" s="58" t="s">
        <v>193</v>
      </c>
      <c r="D133" s="58" t="s">
        <v>386</v>
      </c>
      <c r="E133" s="59" t="s">
        <v>387</v>
      </c>
      <c r="F133" s="58" t="s">
        <v>192</v>
      </c>
      <c r="G133" s="58" t="s">
        <v>153</v>
      </c>
      <c r="H133" s="58" t="s">
        <v>11</v>
      </c>
      <c r="I133" s="58" t="s">
        <v>133</v>
      </c>
      <c r="J133" s="60">
        <v>72.05</v>
      </c>
      <c r="K133" s="60">
        <f t="shared" ref="K133:K196" si="12">J133*VLOOKUP(H133,dagsoorttabel1,2,FALSE)</f>
        <v>56.509803921568626</v>
      </c>
      <c r="L133" s="61">
        <f>prodnorm36</f>
        <v>0</v>
      </c>
      <c r="M133" s="58" t="s">
        <v>41</v>
      </c>
      <c r="N133" s="62">
        <f>uurtarief36</f>
        <v>0</v>
      </c>
      <c r="O133" s="60" t="e">
        <f t="shared" ref="O133:O196" si="13">IF(ISBLANK(L133),0,K133/ROUND(L133,4))</f>
        <v>#DIV/0!</v>
      </c>
      <c r="P133" s="62" t="e">
        <f t="shared" ref="P133:P196" si="14">ROUND(N133,2)*O133</f>
        <v>#DIV/0!</v>
      </c>
      <c r="Q133" s="60" t="e">
        <f t="shared" ref="Q133:Q196" si="15">O133*dagenperjaar1</f>
        <v>#DIV/0!</v>
      </c>
      <c r="R133" s="63" t="e">
        <f t="shared" ref="R133:R196" si="16">Q133*ROUND(N133,2)</f>
        <v>#DIV/0!</v>
      </c>
    </row>
    <row r="134" spans="1:18" x14ac:dyDescent="0.2">
      <c r="A134" s="57" t="s">
        <v>187</v>
      </c>
      <c r="B134" s="58" t="s">
        <v>378</v>
      </c>
      <c r="C134" s="58" t="s">
        <v>193</v>
      </c>
      <c r="D134" s="58" t="s">
        <v>388</v>
      </c>
      <c r="E134" s="59" t="s">
        <v>389</v>
      </c>
      <c r="F134" s="58" t="s">
        <v>192</v>
      </c>
      <c r="G134" s="58" t="s">
        <v>153</v>
      </c>
      <c r="H134" s="58" t="s">
        <v>11</v>
      </c>
      <c r="I134" s="58" t="s">
        <v>133</v>
      </c>
      <c r="J134" s="60">
        <v>11.860000000000001</v>
      </c>
      <c r="K134" s="60">
        <f t="shared" si="12"/>
        <v>9.3019607843137262</v>
      </c>
      <c r="L134" s="61">
        <f>prodnorm36</f>
        <v>0</v>
      </c>
      <c r="M134" s="58" t="s">
        <v>41</v>
      </c>
      <c r="N134" s="62">
        <f>uurtarief36</f>
        <v>0</v>
      </c>
      <c r="O134" s="60" t="e">
        <f t="shared" si="13"/>
        <v>#DIV/0!</v>
      </c>
      <c r="P134" s="62" t="e">
        <f t="shared" si="14"/>
        <v>#DIV/0!</v>
      </c>
      <c r="Q134" s="60" t="e">
        <f t="shared" si="15"/>
        <v>#DIV/0!</v>
      </c>
      <c r="R134" s="63" t="e">
        <f t="shared" si="16"/>
        <v>#DIV/0!</v>
      </c>
    </row>
    <row r="135" spans="1:18" x14ac:dyDescent="0.2">
      <c r="A135" s="57" t="s">
        <v>187</v>
      </c>
      <c r="B135" s="58" t="s">
        <v>378</v>
      </c>
      <c r="C135" s="58" t="s">
        <v>193</v>
      </c>
      <c r="D135" s="58" t="s">
        <v>390</v>
      </c>
      <c r="E135" s="59" t="s">
        <v>391</v>
      </c>
      <c r="F135" s="58" t="s">
        <v>192</v>
      </c>
      <c r="G135" s="58" t="s">
        <v>153</v>
      </c>
      <c r="H135" s="58" t="s">
        <v>11</v>
      </c>
      <c r="I135" s="58" t="s">
        <v>133</v>
      </c>
      <c r="J135" s="60">
        <v>60.67</v>
      </c>
      <c r="K135" s="60">
        <f t="shared" si="12"/>
        <v>47.584313725490198</v>
      </c>
      <c r="L135" s="61">
        <f>prodnorm36</f>
        <v>0</v>
      </c>
      <c r="M135" s="58" t="s">
        <v>41</v>
      </c>
      <c r="N135" s="62">
        <f>uurtarief36</f>
        <v>0</v>
      </c>
      <c r="O135" s="60" t="e">
        <f t="shared" si="13"/>
        <v>#DIV/0!</v>
      </c>
      <c r="P135" s="62" t="e">
        <f t="shared" si="14"/>
        <v>#DIV/0!</v>
      </c>
      <c r="Q135" s="60" t="e">
        <f t="shared" si="15"/>
        <v>#DIV/0!</v>
      </c>
      <c r="R135" s="63" t="e">
        <f t="shared" si="16"/>
        <v>#DIV/0!</v>
      </c>
    </row>
    <row r="136" spans="1:18" x14ac:dyDescent="0.2">
      <c r="A136" s="57" t="s">
        <v>187</v>
      </c>
      <c r="B136" s="58" t="s">
        <v>378</v>
      </c>
      <c r="C136" s="58" t="s">
        <v>193</v>
      </c>
      <c r="D136" s="58" t="s">
        <v>392</v>
      </c>
      <c r="E136" s="59" t="s">
        <v>209</v>
      </c>
      <c r="F136" s="58" t="s">
        <v>199</v>
      </c>
      <c r="G136" s="58" t="s">
        <v>167</v>
      </c>
      <c r="H136" s="58" t="s">
        <v>11</v>
      </c>
      <c r="I136" s="58" t="s">
        <v>133</v>
      </c>
      <c r="J136" s="60">
        <v>5.37</v>
      </c>
      <c r="K136" s="60">
        <f t="shared" si="12"/>
        <v>4.2117647058823531</v>
      </c>
      <c r="L136" s="61">
        <f>prodnorm43</f>
        <v>0</v>
      </c>
      <c r="M136" s="58" t="s">
        <v>41</v>
      </c>
      <c r="N136" s="62">
        <f>uurtarief43</f>
        <v>0</v>
      </c>
      <c r="O136" s="60" t="e">
        <f t="shared" si="13"/>
        <v>#DIV/0!</v>
      </c>
      <c r="P136" s="62" t="e">
        <f t="shared" si="14"/>
        <v>#DIV/0!</v>
      </c>
      <c r="Q136" s="60" t="e">
        <f t="shared" si="15"/>
        <v>#DIV/0!</v>
      </c>
      <c r="R136" s="63" t="e">
        <f t="shared" si="16"/>
        <v>#DIV/0!</v>
      </c>
    </row>
    <row r="137" spans="1:18" x14ac:dyDescent="0.2">
      <c r="A137" s="57" t="s">
        <v>187</v>
      </c>
      <c r="B137" s="58" t="s">
        <v>378</v>
      </c>
      <c r="C137" s="58" t="s">
        <v>193</v>
      </c>
      <c r="D137" s="58" t="s">
        <v>393</v>
      </c>
      <c r="E137" s="59" t="s">
        <v>209</v>
      </c>
      <c r="F137" s="58" t="s">
        <v>199</v>
      </c>
      <c r="G137" s="58" t="s">
        <v>167</v>
      </c>
      <c r="H137" s="58" t="s">
        <v>11</v>
      </c>
      <c r="I137" s="58" t="s">
        <v>133</v>
      </c>
      <c r="J137" s="60">
        <v>7</v>
      </c>
      <c r="K137" s="60">
        <f t="shared" si="12"/>
        <v>5.4901960784313726</v>
      </c>
      <c r="L137" s="61">
        <f>prodnorm43</f>
        <v>0</v>
      </c>
      <c r="M137" s="58" t="s">
        <v>41</v>
      </c>
      <c r="N137" s="62">
        <f>uurtarief43</f>
        <v>0</v>
      </c>
      <c r="O137" s="60" t="e">
        <f t="shared" si="13"/>
        <v>#DIV/0!</v>
      </c>
      <c r="P137" s="62" t="e">
        <f t="shared" si="14"/>
        <v>#DIV/0!</v>
      </c>
      <c r="Q137" s="60" t="e">
        <f t="shared" si="15"/>
        <v>#DIV/0!</v>
      </c>
      <c r="R137" s="63" t="e">
        <f t="shared" si="16"/>
        <v>#DIV/0!</v>
      </c>
    </row>
    <row r="138" spans="1:18" x14ac:dyDescent="0.2">
      <c r="A138" s="57" t="s">
        <v>187</v>
      </c>
      <c r="B138" s="58" t="s">
        <v>378</v>
      </c>
      <c r="C138" s="58" t="s">
        <v>193</v>
      </c>
      <c r="D138" s="58" t="s">
        <v>394</v>
      </c>
      <c r="E138" s="59" t="s">
        <v>395</v>
      </c>
      <c r="F138" s="58" t="s">
        <v>192</v>
      </c>
      <c r="G138" s="58" t="s">
        <v>173</v>
      </c>
      <c r="H138" s="58" t="s">
        <v>12</v>
      </c>
      <c r="I138" s="58" t="s">
        <v>174</v>
      </c>
      <c r="J138" s="60">
        <v>38.770000000000003</v>
      </c>
      <c r="K138" s="60">
        <f t="shared" si="12"/>
        <v>24.326274509803923</v>
      </c>
      <c r="L138" s="61">
        <f>prodnorm21</f>
        <v>0</v>
      </c>
      <c r="M138" s="58" t="s">
        <v>41</v>
      </c>
      <c r="N138" s="62">
        <f>uurtarief21</f>
        <v>0</v>
      </c>
      <c r="O138" s="60" t="e">
        <f t="shared" si="13"/>
        <v>#DIV/0!</v>
      </c>
      <c r="P138" s="62" t="e">
        <f t="shared" si="14"/>
        <v>#DIV/0!</v>
      </c>
      <c r="Q138" s="60" t="e">
        <f t="shared" si="15"/>
        <v>#DIV/0!</v>
      </c>
      <c r="R138" s="63" t="e">
        <f t="shared" si="16"/>
        <v>#DIV/0!</v>
      </c>
    </row>
    <row r="139" spans="1:18" x14ac:dyDescent="0.2">
      <c r="A139" s="57" t="s">
        <v>187</v>
      </c>
      <c r="B139" s="58" t="s">
        <v>378</v>
      </c>
      <c r="C139" s="58" t="s">
        <v>193</v>
      </c>
      <c r="D139" s="58" t="s">
        <v>394</v>
      </c>
      <c r="E139" s="59" t="s">
        <v>395</v>
      </c>
      <c r="F139" s="58" t="s">
        <v>192</v>
      </c>
      <c r="G139" s="58" t="s">
        <v>135</v>
      </c>
      <c r="H139" s="58" t="s">
        <v>18</v>
      </c>
      <c r="I139" s="58" t="s">
        <v>133</v>
      </c>
      <c r="J139" s="60">
        <v>38.770000000000003</v>
      </c>
      <c r="K139" s="60">
        <f t="shared" si="12"/>
        <v>6.0815686274509808</v>
      </c>
      <c r="L139" s="61">
        <f>prodnorm24</f>
        <v>0</v>
      </c>
      <c r="M139" s="58" t="s">
        <v>41</v>
      </c>
      <c r="N139" s="62">
        <f>uurtarief24</f>
        <v>0</v>
      </c>
      <c r="O139" s="60" t="e">
        <f t="shared" si="13"/>
        <v>#DIV/0!</v>
      </c>
      <c r="P139" s="62" t="e">
        <f t="shared" si="14"/>
        <v>#DIV/0!</v>
      </c>
      <c r="Q139" s="60" t="e">
        <f t="shared" si="15"/>
        <v>#DIV/0!</v>
      </c>
      <c r="R139" s="63" t="e">
        <f t="shared" si="16"/>
        <v>#DIV/0!</v>
      </c>
    </row>
    <row r="140" spans="1:18" x14ac:dyDescent="0.2">
      <c r="A140" s="57" t="s">
        <v>187</v>
      </c>
      <c r="B140" s="58" t="s">
        <v>378</v>
      </c>
      <c r="C140" s="58" t="s">
        <v>193</v>
      </c>
      <c r="D140" s="58" t="s">
        <v>396</v>
      </c>
      <c r="E140" s="59" t="s">
        <v>209</v>
      </c>
      <c r="F140" s="58" t="s">
        <v>199</v>
      </c>
      <c r="G140" s="58" t="s">
        <v>167</v>
      </c>
      <c r="H140" s="58" t="s">
        <v>11</v>
      </c>
      <c r="I140" s="58" t="s">
        <v>133</v>
      </c>
      <c r="J140" s="60">
        <v>5.37</v>
      </c>
      <c r="K140" s="60">
        <f t="shared" si="12"/>
        <v>4.2117647058823531</v>
      </c>
      <c r="L140" s="61">
        <f>prodnorm43</f>
        <v>0</v>
      </c>
      <c r="M140" s="58" t="s">
        <v>41</v>
      </c>
      <c r="N140" s="62">
        <f>uurtarief43</f>
        <v>0</v>
      </c>
      <c r="O140" s="60" t="e">
        <f t="shared" si="13"/>
        <v>#DIV/0!</v>
      </c>
      <c r="P140" s="62" t="e">
        <f t="shared" si="14"/>
        <v>#DIV/0!</v>
      </c>
      <c r="Q140" s="60" t="e">
        <f t="shared" si="15"/>
        <v>#DIV/0!</v>
      </c>
      <c r="R140" s="63" t="e">
        <f t="shared" si="16"/>
        <v>#DIV/0!</v>
      </c>
    </row>
    <row r="141" spans="1:18" x14ac:dyDescent="0.2">
      <c r="A141" s="57" t="s">
        <v>187</v>
      </c>
      <c r="B141" s="58" t="s">
        <v>378</v>
      </c>
      <c r="C141" s="58" t="s">
        <v>193</v>
      </c>
      <c r="D141" s="58" t="s">
        <v>397</v>
      </c>
      <c r="E141" s="59" t="s">
        <v>398</v>
      </c>
      <c r="F141" s="58" t="s">
        <v>199</v>
      </c>
      <c r="G141" s="58" t="s">
        <v>169</v>
      </c>
      <c r="H141" s="58" t="s">
        <v>11</v>
      </c>
      <c r="I141" s="58" t="s">
        <v>133</v>
      </c>
      <c r="J141" s="60">
        <v>18.939999999999998</v>
      </c>
      <c r="K141" s="60">
        <f t="shared" si="12"/>
        <v>14.854901960784312</v>
      </c>
      <c r="L141" s="61">
        <f>prodnorm44</f>
        <v>0</v>
      </c>
      <c r="M141" s="58" t="s">
        <v>41</v>
      </c>
      <c r="N141" s="62">
        <f>uurtarief44</f>
        <v>0</v>
      </c>
      <c r="O141" s="60" t="e">
        <f t="shared" si="13"/>
        <v>#DIV/0!</v>
      </c>
      <c r="P141" s="62" t="e">
        <f t="shared" si="14"/>
        <v>#DIV/0!</v>
      </c>
      <c r="Q141" s="60" t="e">
        <f t="shared" si="15"/>
        <v>#DIV/0!</v>
      </c>
      <c r="R141" s="63" t="e">
        <f t="shared" si="16"/>
        <v>#DIV/0!</v>
      </c>
    </row>
    <row r="142" spans="1:18" x14ac:dyDescent="0.2">
      <c r="A142" s="57" t="s">
        <v>187</v>
      </c>
      <c r="B142" s="58" t="s">
        <v>378</v>
      </c>
      <c r="C142" s="58" t="s">
        <v>252</v>
      </c>
      <c r="D142" s="58" t="s">
        <v>399</v>
      </c>
      <c r="E142" s="59" t="s">
        <v>207</v>
      </c>
      <c r="F142" s="58" t="s">
        <v>199</v>
      </c>
      <c r="G142" s="58" t="s">
        <v>171</v>
      </c>
      <c r="H142" s="58" t="s">
        <v>11</v>
      </c>
      <c r="I142" s="58" t="s">
        <v>133</v>
      </c>
      <c r="J142" s="60">
        <v>42.74</v>
      </c>
      <c r="K142" s="60">
        <f t="shared" si="12"/>
        <v>33.521568627450982</v>
      </c>
      <c r="L142" s="61">
        <f>prodnorm45</f>
        <v>0</v>
      </c>
      <c r="M142" s="58" t="s">
        <v>41</v>
      </c>
      <c r="N142" s="62">
        <f>uurtarief45</f>
        <v>0</v>
      </c>
      <c r="O142" s="60" t="e">
        <f t="shared" si="13"/>
        <v>#DIV/0!</v>
      </c>
      <c r="P142" s="62" t="e">
        <f t="shared" si="14"/>
        <v>#DIV/0!</v>
      </c>
      <c r="Q142" s="60" t="e">
        <f t="shared" si="15"/>
        <v>#DIV/0!</v>
      </c>
      <c r="R142" s="63" t="e">
        <f t="shared" si="16"/>
        <v>#DIV/0!</v>
      </c>
    </row>
    <row r="143" spans="1:18" x14ac:dyDescent="0.2">
      <c r="A143" s="57" t="s">
        <v>187</v>
      </c>
      <c r="B143" s="58" t="s">
        <v>378</v>
      </c>
      <c r="C143" s="58" t="s">
        <v>252</v>
      </c>
      <c r="D143" s="58" t="s">
        <v>400</v>
      </c>
      <c r="E143" s="59" t="s">
        <v>401</v>
      </c>
      <c r="F143" s="58" t="s">
        <v>199</v>
      </c>
      <c r="G143" s="58" t="s">
        <v>173</v>
      </c>
      <c r="H143" s="58" t="s">
        <v>12</v>
      </c>
      <c r="I143" s="58" t="s">
        <v>174</v>
      </c>
      <c r="J143" s="60">
        <v>22.150000000000002</v>
      </c>
      <c r="K143" s="60">
        <f t="shared" si="12"/>
        <v>13.898039215686275</v>
      </c>
      <c r="L143" s="61">
        <f>prodnorm21</f>
        <v>0</v>
      </c>
      <c r="M143" s="58" t="s">
        <v>41</v>
      </c>
      <c r="N143" s="62">
        <f>uurtarief21</f>
        <v>0</v>
      </c>
      <c r="O143" s="60" t="e">
        <f t="shared" si="13"/>
        <v>#DIV/0!</v>
      </c>
      <c r="P143" s="62" t="e">
        <f t="shared" si="14"/>
        <v>#DIV/0!</v>
      </c>
      <c r="Q143" s="60" t="e">
        <f t="shared" si="15"/>
        <v>#DIV/0!</v>
      </c>
      <c r="R143" s="63" t="e">
        <f t="shared" si="16"/>
        <v>#DIV/0!</v>
      </c>
    </row>
    <row r="144" spans="1:18" x14ac:dyDescent="0.2">
      <c r="A144" s="57" t="s">
        <v>187</v>
      </c>
      <c r="B144" s="58" t="s">
        <v>378</v>
      </c>
      <c r="C144" s="58" t="s">
        <v>252</v>
      </c>
      <c r="D144" s="58" t="s">
        <v>400</v>
      </c>
      <c r="E144" s="59" t="s">
        <v>401</v>
      </c>
      <c r="F144" s="58" t="s">
        <v>199</v>
      </c>
      <c r="G144" s="58" t="s">
        <v>135</v>
      </c>
      <c r="H144" s="58" t="s">
        <v>18</v>
      </c>
      <c r="I144" s="58" t="s">
        <v>133</v>
      </c>
      <c r="J144" s="60">
        <v>22.150000000000002</v>
      </c>
      <c r="K144" s="60">
        <f t="shared" si="12"/>
        <v>3.4745098039215687</v>
      </c>
      <c r="L144" s="61">
        <f>prodnorm24</f>
        <v>0</v>
      </c>
      <c r="M144" s="58" t="s">
        <v>41</v>
      </c>
      <c r="N144" s="62">
        <f>uurtarief24</f>
        <v>0</v>
      </c>
      <c r="O144" s="60" t="e">
        <f t="shared" si="13"/>
        <v>#DIV/0!</v>
      </c>
      <c r="P144" s="62" t="e">
        <f t="shared" si="14"/>
        <v>#DIV/0!</v>
      </c>
      <c r="Q144" s="60" t="e">
        <f t="shared" si="15"/>
        <v>#DIV/0!</v>
      </c>
      <c r="R144" s="63" t="e">
        <f t="shared" si="16"/>
        <v>#DIV/0!</v>
      </c>
    </row>
    <row r="145" spans="1:18" x14ac:dyDescent="0.2">
      <c r="A145" s="57" t="s">
        <v>187</v>
      </c>
      <c r="B145" s="58" t="s">
        <v>378</v>
      </c>
      <c r="C145" s="58" t="s">
        <v>252</v>
      </c>
      <c r="D145" s="58" t="s">
        <v>402</v>
      </c>
      <c r="E145" s="59" t="s">
        <v>403</v>
      </c>
      <c r="F145" s="58" t="s">
        <v>192</v>
      </c>
      <c r="G145" s="58" t="s">
        <v>153</v>
      </c>
      <c r="H145" s="58" t="s">
        <v>11</v>
      </c>
      <c r="I145" s="58" t="s">
        <v>133</v>
      </c>
      <c r="J145" s="60">
        <v>59.160000000000004</v>
      </c>
      <c r="K145" s="60">
        <f t="shared" si="12"/>
        <v>46.400000000000006</v>
      </c>
      <c r="L145" s="61">
        <f>prodnorm36</f>
        <v>0</v>
      </c>
      <c r="M145" s="58" t="s">
        <v>41</v>
      </c>
      <c r="N145" s="62">
        <f>uurtarief36</f>
        <v>0</v>
      </c>
      <c r="O145" s="60" t="e">
        <f t="shared" si="13"/>
        <v>#DIV/0!</v>
      </c>
      <c r="P145" s="62" t="e">
        <f t="shared" si="14"/>
        <v>#DIV/0!</v>
      </c>
      <c r="Q145" s="60" t="e">
        <f t="shared" si="15"/>
        <v>#DIV/0!</v>
      </c>
      <c r="R145" s="63" t="e">
        <f t="shared" si="16"/>
        <v>#DIV/0!</v>
      </c>
    </row>
    <row r="146" spans="1:18" x14ac:dyDescent="0.2">
      <c r="A146" s="57" t="s">
        <v>187</v>
      </c>
      <c r="B146" s="58" t="s">
        <v>378</v>
      </c>
      <c r="C146" s="58" t="s">
        <v>252</v>
      </c>
      <c r="D146" s="58" t="s">
        <v>404</v>
      </c>
      <c r="E146" s="59" t="s">
        <v>405</v>
      </c>
      <c r="F146" s="58" t="s">
        <v>192</v>
      </c>
      <c r="G146" s="58" t="s">
        <v>153</v>
      </c>
      <c r="H146" s="58" t="s">
        <v>11</v>
      </c>
      <c r="I146" s="58" t="s">
        <v>133</v>
      </c>
      <c r="J146" s="60">
        <v>72.040000000000006</v>
      </c>
      <c r="K146" s="60">
        <f t="shared" si="12"/>
        <v>56.501960784313731</v>
      </c>
      <c r="L146" s="61">
        <f>prodnorm36</f>
        <v>0</v>
      </c>
      <c r="M146" s="58" t="s">
        <v>41</v>
      </c>
      <c r="N146" s="62">
        <f>uurtarief36</f>
        <v>0</v>
      </c>
      <c r="O146" s="60" t="e">
        <f t="shared" si="13"/>
        <v>#DIV/0!</v>
      </c>
      <c r="P146" s="62" t="e">
        <f t="shared" si="14"/>
        <v>#DIV/0!</v>
      </c>
      <c r="Q146" s="60" t="e">
        <f t="shared" si="15"/>
        <v>#DIV/0!</v>
      </c>
      <c r="R146" s="63" t="e">
        <f t="shared" si="16"/>
        <v>#DIV/0!</v>
      </c>
    </row>
    <row r="147" spans="1:18" x14ac:dyDescent="0.2">
      <c r="A147" s="57" t="s">
        <v>187</v>
      </c>
      <c r="B147" s="58" t="s">
        <v>378</v>
      </c>
      <c r="C147" s="58" t="s">
        <v>252</v>
      </c>
      <c r="D147" s="58" t="s">
        <v>406</v>
      </c>
      <c r="E147" s="59" t="s">
        <v>407</v>
      </c>
      <c r="F147" s="58" t="s">
        <v>192</v>
      </c>
      <c r="G147" s="58" t="s">
        <v>153</v>
      </c>
      <c r="H147" s="58" t="s">
        <v>11</v>
      </c>
      <c r="I147" s="58" t="s">
        <v>133</v>
      </c>
      <c r="J147" s="60">
        <v>57.83</v>
      </c>
      <c r="K147" s="60">
        <f t="shared" si="12"/>
        <v>45.356862745098034</v>
      </c>
      <c r="L147" s="61">
        <f>prodnorm36</f>
        <v>0</v>
      </c>
      <c r="M147" s="58" t="s">
        <v>41</v>
      </c>
      <c r="N147" s="62">
        <f>uurtarief36</f>
        <v>0</v>
      </c>
      <c r="O147" s="60" t="e">
        <f t="shared" si="13"/>
        <v>#DIV/0!</v>
      </c>
      <c r="P147" s="62" t="e">
        <f t="shared" si="14"/>
        <v>#DIV/0!</v>
      </c>
      <c r="Q147" s="60" t="e">
        <f t="shared" si="15"/>
        <v>#DIV/0!</v>
      </c>
      <c r="R147" s="63" t="e">
        <f t="shared" si="16"/>
        <v>#DIV/0!</v>
      </c>
    </row>
    <row r="148" spans="1:18" x14ac:dyDescent="0.2">
      <c r="A148" s="57" t="s">
        <v>187</v>
      </c>
      <c r="B148" s="58" t="s">
        <v>378</v>
      </c>
      <c r="C148" s="58" t="s">
        <v>252</v>
      </c>
      <c r="D148" s="58" t="s">
        <v>408</v>
      </c>
      <c r="E148" s="59" t="s">
        <v>409</v>
      </c>
      <c r="F148" s="58" t="s">
        <v>192</v>
      </c>
      <c r="G148" s="58" t="s">
        <v>153</v>
      </c>
      <c r="H148" s="58" t="s">
        <v>11</v>
      </c>
      <c r="I148" s="58" t="s">
        <v>133</v>
      </c>
      <c r="J148" s="60">
        <v>75.760000000000005</v>
      </c>
      <c r="K148" s="60">
        <f t="shared" si="12"/>
        <v>59.419607843137257</v>
      </c>
      <c r="L148" s="61">
        <f>prodnorm36</f>
        <v>0</v>
      </c>
      <c r="M148" s="58" t="s">
        <v>41</v>
      </c>
      <c r="N148" s="62">
        <f>uurtarief36</f>
        <v>0</v>
      </c>
      <c r="O148" s="60" t="e">
        <f t="shared" si="13"/>
        <v>#DIV/0!</v>
      </c>
      <c r="P148" s="62" t="e">
        <f t="shared" si="14"/>
        <v>#DIV/0!</v>
      </c>
      <c r="Q148" s="60" t="e">
        <f t="shared" si="15"/>
        <v>#DIV/0!</v>
      </c>
      <c r="R148" s="63" t="e">
        <f t="shared" si="16"/>
        <v>#DIV/0!</v>
      </c>
    </row>
    <row r="149" spans="1:18" x14ac:dyDescent="0.2">
      <c r="A149" s="57" t="s">
        <v>187</v>
      </c>
      <c r="B149" s="58" t="s">
        <v>378</v>
      </c>
      <c r="C149" s="58" t="s">
        <v>252</v>
      </c>
      <c r="D149" s="58" t="s">
        <v>410</v>
      </c>
      <c r="E149" s="59" t="s">
        <v>209</v>
      </c>
      <c r="F149" s="58" t="s">
        <v>199</v>
      </c>
      <c r="G149" s="58" t="s">
        <v>167</v>
      </c>
      <c r="H149" s="58" t="s">
        <v>11</v>
      </c>
      <c r="I149" s="58" t="s">
        <v>133</v>
      </c>
      <c r="J149" s="60">
        <v>5.37</v>
      </c>
      <c r="K149" s="60">
        <f t="shared" si="12"/>
        <v>4.2117647058823531</v>
      </c>
      <c r="L149" s="61">
        <f>prodnorm43</f>
        <v>0</v>
      </c>
      <c r="M149" s="58" t="s">
        <v>41</v>
      </c>
      <c r="N149" s="62">
        <f>uurtarief43</f>
        <v>0</v>
      </c>
      <c r="O149" s="60" t="e">
        <f t="shared" si="13"/>
        <v>#DIV/0!</v>
      </c>
      <c r="P149" s="62" t="e">
        <f t="shared" si="14"/>
        <v>#DIV/0!</v>
      </c>
      <c r="Q149" s="60" t="e">
        <f t="shared" si="15"/>
        <v>#DIV/0!</v>
      </c>
      <c r="R149" s="63" t="e">
        <f t="shared" si="16"/>
        <v>#DIV/0!</v>
      </c>
    </row>
    <row r="150" spans="1:18" x14ac:dyDescent="0.2">
      <c r="A150" s="57" t="s">
        <v>187</v>
      </c>
      <c r="B150" s="58" t="s">
        <v>378</v>
      </c>
      <c r="C150" s="58" t="s">
        <v>252</v>
      </c>
      <c r="D150" s="58" t="s">
        <v>411</v>
      </c>
      <c r="E150" s="59" t="s">
        <v>209</v>
      </c>
      <c r="F150" s="58" t="s">
        <v>199</v>
      </c>
      <c r="G150" s="58" t="s">
        <v>167</v>
      </c>
      <c r="H150" s="58" t="s">
        <v>11</v>
      </c>
      <c r="I150" s="58" t="s">
        <v>133</v>
      </c>
      <c r="J150" s="60">
        <v>5.37</v>
      </c>
      <c r="K150" s="60">
        <f t="shared" si="12"/>
        <v>4.2117647058823531</v>
      </c>
      <c r="L150" s="61">
        <f>prodnorm43</f>
        <v>0</v>
      </c>
      <c r="M150" s="58" t="s">
        <v>41</v>
      </c>
      <c r="N150" s="62">
        <f>uurtarief43</f>
        <v>0</v>
      </c>
      <c r="O150" s="60" t="e">
        <f t="shared" si="13"/>
        <v>#DIV/0!</v>
      </c>
      <c r="P150" s="62" t="e">
        <f t="shared" si="14"/>
        <v>#DIV/0!</v>
      </c>
      <c r="Q150" s="60" t="e">
        <f t="shared" si="15"/>
        <v>#DIV/0!</v>
      </c>
      <c r="R150" s="63" t="e">
        <f t="shared" si="16"/>
        <v>#DIV/0!</v>
      </c>
    </row>
    <row r="151" spans="1:18" x14ac:dyDescent="0.2">
      <c r="A151" s="57" t="s">
        <v>187</v>
      </c>
      <c r="B151" s="58" t="s">
        <v>378</v>
      </c>
      <c r="C151" s="58" t="s">
        <v>252</v>
      </c>
      <c r="D151" s="58" t="s">
        <v>412</v>
      </c>
      <c r="E151" s="59" t="s">
        <v>413</v>
      </c>
      <c r="F151" s="58" t="s">
        <v>192</v>
      </c>
      <c r="G151" s="58" t="s">
        <v>173</v>
      </c>
      <c r="H151" s="58" t="s">
        <v>12</v>
      </c>
      <c r="I151" s="58" t="s">
        <v>174</v>
      </c>
      <c r="J151" s="60">
        <v>30.650000000000002</v>
      </c>
      <c r="K151" s="60">
        <f t="shared" si="12"/>
        <v>19.231372549019611</v>
      </c>
      <c r="L151" s="61">
        <f>prodnorm21</f>
        <v>0</v>
      </c>
      <c r="M151" s="58" t="s">
        <v>41</v>
      </c>
      <c r="N151" s="62">
        <f>uurtarief21</f>
        <v>0</v>
      </c>
      <c r="O151" s="60" t="e">
        <f t="shared" si="13"/>
        <v>#DIV/0!</v>
      </c>
      <c r="P151" s="62" t="e">
        <f t="shared" si="14"/>
        <v>#DIV/0!</v>
      </c>
      <c r="Q151" s="60" t="e">
        <f t="shared" si="15"/>
        <v>#DIV/0!</v>
      </c>
      <c r="R151" s="63" t="e">
        <f t="shared" si="16"/>
        <v>#DIV/0!</v>
      </c>
    </row>
    <row r="152" spans="1:18" x14ac:dyDescent="0.2">
      <c r="A152" s="57" t="s">
        <v>187</v>
      </c>
      <c r="B152" s="58" t="s">
        <v>378</v>
      </c>
      <c r="C152" s="58" t="s">
        <v>252</v>
      </c>
      <c r="D152" s="58" t="s">
        <v>412</v>
      </c>
      <c r="E152" s="59" t="s">
        <v>413</v>
      </c>
      <c r="F152" s="58" t="s">
        <v>192</v>
      </c>
      <c r="G152" s="58" t="s">
        <v>135</v>
      </c>
      <c r="H152" s="58" t="s">
        <v>18</v>
      </c>
      <c r="I152" s="58" t="s">
        <v>133</v>
      </c>
      <c r="J152" s="60">
        <v>30.650000000000002</v>
      </c>
      <c r="K152" s="60">
        <f t="shared" si="12"/>
        <v>4.8078431372549026</v>
      </c>
      <c r="L152" s="61">
        <f>prodnorm24</f>
        <v>0</v>
      </c>
      <c r="M152" s="58" t="s">
        <v>41</v>
      </c>
      <c r="N152" s="62">
        <f>uurtarief24</f>
        <v>0</v>
      </c>
      <c r="O152" s="60" t="e">
        <f t="shared" si="13"/>
        <v>#DIV/0!</v>
      </c>
      <c r="P152" s="62" t="e">
        <f t="shared" si="14"/>
        <v>#DIV/0!</v>
      </c>
      <c r="Q152" s="60" t="e">
        <f t="shared" si="15"/>
        <v>#DIV/0!</v>
      </c>
      <c r="R152" s="63" t="e">
        <f t="shared" si="16"/>
        <v>#DIV/0!</v>
      </c>
    </row>
    <row r="153" spans="1:18" x14ac:dyDescent="0.2">
      <c r="A153" s="57" t="s">
        <v>187</v>
      </c>
      <c r="B153" s="58" t="s">
        <v>378</v>
      </c>
      <c r="C153" s="58" t="s">
        <v>252</v>
      </c>
      <c r="D153" s="58" t="s">
        <v>414</v>
      </c>
      <c r="E153" s="59" t="s">
        <v>415</v>
      </c>
      <c r="F153" s="58" t="s">
        <v>192</v>
      </c>
      <c r="G153" s="58" t="s">
        <v>173</v>
      </c>
      <c r="H153" s="58" t="s">
        <v>12</v>
      </c>
      <c r="I153" s="58" t="s">
        <v>174</v>
      </c>
      <c r="J153" s="60">
        <v>32.75</v>
      </c>
      <c r="K153" s="60">
        <f t="shared" si="12"/>
        <v>20.549019607843135</v>
      </c>
      <c r="L153" s="61">
        <f>prodnorm21</f>
        <v>0</v>
      </c>
      <c r="M153" s="58" t="s">
        <v>41</v>
      </c>
      <c r="N153" s="62">
        <f>uurtarief21</f>
        <v>0</v>
      </c>
      <c r="O153" s="60" t="e">
        <f t="shared" si="13"/>
        <v>#DIV/0!</v>
      </c>
      <c r="P153" s="62" t="e">
        <f t="shared" si="14"/>
        <v>#DIV/0!</v>
      </c>
      <c r="Q153" s="60" t="e">
        <f t="shared" si="15"/>
        <v>#DIV/0!</v>
      </c>
      <c r="R153" s="63" t="e">
        <f t="shared" si="16"/>
        <v>#DIV/0!</v>
      </c>
    </row>
    <row r="154" spans="1:18" x14ac:dyDescent="0.2">
      <c r="A154" s="57" t="s">
        <v>187</v>
      </c>
      <c r="B154" s="58" t="s">
        <v>378</v>
      </c>
      <c r="C154" s="58" t="s">
        <v>252</v>
      </c>
      <c r="D154" s="58" t="s">
        <v>414</v>
      </c>
      <c r="E154" s="59" t="s">
        <v>415</v>
      </c>
      <c r="F154" s="58" t="s">
        <v>192</v>
      </c>
      <c r="G154" s="58" t="s">
        <v>135</v>
      </c>
      <c r="H154" s="58" t="s">
        <v>18</v>
      </c>
      <c r="I154" s="58" t="s">
        <v>133</v>
      </c>
      <c r="J154" s="60">
        <v>32.75</v>
      </c>
      <c r="K154" s="60">
        <f t="shared" si="12"/>
        <v>5.1372549019607838</v>
      </c>
      <c r="L154" s="61">
        <f>prodnorm24</f>
        <v>0</v>
      </c>
      <c r="M154" s="58" t="s">
        <v>41</v>
      </c>
      <c r="N154" s="62">
        <f>uurtarief24</f>
        <v>0</v>
      </c>
      <c r="O154" s="60" t="e">
        <f t="shared" si="13"/>
        <v>#DIV/0!</v>
      </c>
      <c r="P154" s="62" t="e">
        <f t="shared" si="14"/>
        <v>#DIV/0!</v>
      </c>
      <c r="Q154" s="60" t="e">
        <f t="shared" si="15"/>
        <v>#DIV/0!</v>
      </c>
      <c r="R154" s="63" t="e">
        <f t="shared" si="16"/>
        <v>#DIV/0!</v>
      </c>
    </row>
    <row r="155" spans="1:18" x14ac:dyDescent="0.2">
      <c r="A155" s="57" t="s">
        <v>187</v>
      </c>
      <c r="B155" s="58" t="s">
        <v>378</v>
      </c>
      <c r="C155" s="58" t="s">
        <v>252</v>
      </c>
      <c r="D155" s="58" t="s">
        <v>416</v>
      </c>
      <c r="E155" s="59" t="s">
        <v>417</v>
      </c>
      <c r="F155" s="58" t="s">
        <v>199</v>
      </c>
      <c r="G155" s="58" t="s">
        <v>169</v>
      </c>
      <c r="H155" s="58" t="s">
        <v>11</v>
      </c>
      <c r="I155" s="58" t="s">
        <v>133</v>
      </c>
      <c r="J155" s="60">
        <v>13.5</v>
      </c>
      <c r="K155" s="60">
        <f t="shared" si="12"/>
        <v>10.588235294117647</v>
      </c>
      <c r="L155" s="61">
        <f>prodnorm44</f>
        <v>0</v>
      </c>
      <c r="M155" s="58" t="s">
        <v>41</v>
      </c>
      <c r="N155" s="62">
        <f>uurtarief44</f>
        <v>0</v>
      </c>
      <c r="O155" s="60" t="e">
        <f t="shared" si="13"/>
        <v>#DIV/0!</v>
      </c>
      <c r="P155" s="62" t="e">
        <f t="shared" si="14"/>
        <v>#DIV/0!</v>
      </c>
      <c r="Q155" s="60" t="e">
        <f t="shared" si="15"/>
        <v>#DIV/0!</v>
      </c>
      <c r="R155" s="63" t="e">
        <f t="shared" si="16"/>
        <v>#DIV/0!</v>
      </c>
    </row>
    <row r="156" spans="1:18" x14ac:dyDescent="0.2">
      <c r="A156" s="57" t="s">
        <v>187</v>
      </c>
      <c r="B156" s="58" t="s">
        <v>378</v>
      </c>
      <c r="C156" s="58" t="s">
        <v>252</v>
      </c>
      <c r="D156" s="58" t="s">
        <v>418</v>
      </c>
      <c r="E156" s="59" t="s">
        <v>238</v>
      </c>
      <c r="F156" s="58" t="s">
        <v>192</v>
      </c>
      <c r="G156" s="58" t="s">
        <v>153</v>
      </c>
      <c r="H156" s="58" t="s">
        <v>11</v>
      </c>
      <c r="I156" s="58" t="s">
        <v>133</v>
      </c>
      <c r="J156" s="60">
        <v>10.89</v>
      </c>
      <c r="K156" s="60">
        <f t="shared" si="12"/>
        <v>8.5411764705882351</v>
      </c>
      <c r="L156" s="61">
        <f>prodnorm36</f>
        <v>0</v>
      </c>
      <c r="M156" s="58" t="s">
        <v>41</v>
      </c>
      <c r="N156" s="62">
        <f>uurtarief36</f>
        <v>0</v>
      </c>
      <c r="O156" s="60" t="e">
        <f t="shared" si="13"/>
        <v>#DIV/0!</v>
      </c>
      <c r="P156" s="62" t="e">
        <f t="shared" si="14"/>
        <v>#DIV/0!</v>
      </c>
      <c r="Q156" s="60" t="e">
        <f t="shared" si="15"/>
        <v>#DIV/0!</v>
      </c>
      <c r="R156" s="63" t="e">
        <f t="shared" si="16"/>
        <v>#DIV/0!</v>
      </c>
    </row>
    <row r="157" spans="1:18" x14ac:dyDescent="0.2">
      <c r="A157" s="57" t="s">
        <v>187</v>
      </c>
      <c r="B157" s="58" t="s">
        <v>378</v>
      </c>
      <c r="C157" s="58" t="s">
        <v>252</v>
      </c>
      <c r="D157" s="58" t="s">
        <v>419</v>
      </c>
      <c r="E157" s="59" t="s">
        <v>238</v>
      </c>
      <c r="F157" s="58" t="s">
        <v>192</v>
      </c>
      <c r="G157" s="58" t="s">
        <v>153</v>
      </c>
      <c r="H157" s="58" t="s">
        <v>11</v>
      </c>
      <c r="I157" s="58" t="s">
        <v>133</v>
      </c>
      <c r="J157" s="60">
        <v>17.89</v>
      </c>
      <c r="K157" s="60">
        <f t="shared" si="12"/>
        <v>14.031372549019608</v>
      </c>
      <c r="L157" s="61">
        <f>prodnorm36</f>
        <v>0</v>
      </c>
      <c r="M157" s="58" t="s">
        <v>41</v>
      </c>
      <c r="N157" s="62">
        <f>uurtarief36</f>
        <v>0</v>
      </c>
      <c r="O157" s="60" t="e">
        <f t="shared" si="13"/>
        <v>#DIV/0!</v>
      </c>
      <c r="P157" s="62" t="e">
        <f t="shared" si="14"/>
        <v>#DIV/0!</v>
      </c>
      <c r="Q157" s="60" t="e">
        <f t="shared" si="15"/>
        <v>#DIV/0!</v>
      </c>
      <c r="R157" s="63" t="e">
        <f t="shared" si="16"/>
        <v>#DIV/0!</v>
      </c>
    </row>
    <row r="158" spans="1:18" x14ac:dyDescent="0.2">
      <c r="A158" s="57" t="s">
        <v>187</v>
      </c>
      <c r="B158" s="58" t="s">
        <v>420</v>
      </c>
      <c r="C158" s="58" t="s">
        <v>189</v>
      </c>
      <c r="D158" s="58" t="s">
        <v>421</v>
      </c>
      <c r="E158" s="59" t="s">
        <v>422</v>
      </c>
      <c r="F158" s="58" t="s">
        <v>423</v>
      </c>
      <c r="G158" s="58" t="s">
        <v>147</v>
      </c>
      <c r="H158" s="58" t="s">
        <v>11</v>
      </c>
      <c r="I158" s="58" t="s">
        <v>133</v>
      </c>
      <c r="J158" s="60">
        <v>255.88000000000002</v>
      </c>
      <c r="K158" s="60">
        <f t="shared" si="12"/>
        <v>200.6901960784314</v>
      </c>
      <c r="L158" s="61">
        <f>prodnorm32</f>
        <v>0</v>
      </c>
      <c r="M158" s="58" t="s">
        <v>41</v>
      </c>
      <c r="N158" s="62">
        <f>uurtarief32</f>
        <v>0</v>
      </c>
      <c r="O158" s="60" t="e">
        <f t="shared" si="13"/>
        <v>#DIV/0!</v>
      </c>
      <c r="P158" s="62" t="e">
        <f t="shared" si="14"/>
        <v>#DIV/0!</v>
      </c>
      <c r="Q158" s="60" t="e">
        <f t="shared" si="15"/>
        <v>#DIV/0!</v>
      </c>
      <c r="R158" s="63" t="e">
        <f t="shared" si="16"/>
        <v>#DIV/0!</v>
      </c>
    </row>
    <row r="159" spans="1:18" x14ac:dyDescent="0.2">
      <c r="A159" s="57" t="s">
        <v>187</v>
      </c>
      <c r="B159" s="58" t="s">
        <v>420</v>
      </c>
      <c r="C159" s="58" t="s">
        <v>189</v>
      </c>
      <c r="D159" s="58" t="s">
        <v>424</v>
      </c>
      <c r="E159" s="59" t="s">
        <v>425</v>
      </c>
      <c r="F159" s="58" t="s">
        <v>423</v>
      </c>
      <c r="G159" s="58" t="s">
        <v>147</v>
      </c>
      <c r="H159" s="58" t="s">
        <v>11</v>
      </c>
      <c r="I159" s="58" t="s">
        <v>133</v>
      </c>
      <c r="J159" s="60">
        <v>255.88000000000002</v>
      </c>
      <c r="K159" s="60">
        <f t="shared" si="12"/>
        <v>200.6901960784314</v>
      </c>
      <c r="L159" s="61">
        <f>prodnorm32</f>
        <v>0</v>
      </c>
      <c r="M159" s="58" t="s">
        <v>41</v>
      </c>
      <c r="N159" s="62">
        <f>uurtarief32</f>
        <v>0</v>
      </c>
      <c r="O159" s="60" t="e">
        <f t="shared" si="13"/>
        <v>#DIV/0!</v>
      </c>
      <c r="P159" s="62" t="e">
        <f t="shared" si="14"/>
        <v>#DIV/0!</v>
      </c>
      <c r="Q159" s="60" t="e">
        <f t="shared" si="15"/>
        <v>#DIV/0!</v>
      </c>
      <c r="R159" s="63" t="e">
        <f t="shared" si="16"/>
        <v>#DIV/0!</v>
      </c>
    </row>
    <row r="160" spans="1:18" x14ac:dyDescent="0.2">
      <c r="A160" s="57" t="s">
        <v>187</v>
      </c>
      <c r="B160" s="58" t="s">
        <v>420</v>
      </c>
      <c r="C160" s="58" t="s">
        <v>189</v>
      </c>
      <c r="D160" s="58" t="s">
        <v>426</v>
      </c>
      <c r="E160" s="59" t="s">
        <v>207</v>
      </c>
      <c r="F160" s="58" t="s">
        <v>199</v>
      </c>
      <c r="G160" s="58" t="s">
        <v>171</v>
      </c>
      <c r="H160" s="58" t="s">
        <v>11</v>
      </c>
      <c r="I160" s="58" t="s">
        <v>133</v>
      </c>
      <c r="J160" s="60">
        <v>27.1</v>
      </c>
      <c r="K160" s="60">
        <f t="shared" si="12"/>
        <v>21.254901960784313</v>
      </c>
      <c r="L160" s="61">
        <f>prodnorm45</f>
        <v>0</v>
      </c>
      <c r="M160" s="58" t="s">
        <v>41</v>
      </c>
      <c r="N160" s="62">
        <f>uurtarief45</f>
        <v>0</v>
      </c>
      <c r="O160" s="60" t="e">
        <f t="shared" si="13"/>
        <v>#DIV/0!</v>
      </c>
      <c r="P160" s="62" t="e">
        <f t="shared" si="14"/>
        <v>#DIV/0!</v>
      </c>
      <c r="Q160" s="60" t="e">
        <f t="shared" si="15"/>
        <v>#DIV/0!</v>
      </c>
      <c r="R160" s="63" t="e">
        <f t="shared" si="16"/>
        <v>#DIV/0!</v>
      </c>
    </row>
    <row r="161" spans="1:18" x14ac:dyDescent="0.2">
      <c r="A161" s="57" t="s">
        <v>187</v>
      </c>
      <c r="B161" s="58" t="s">
        <v>420</v>
      </c>
      <c r="C161" s="58" t="s">
        <v>189</v>
      </c>
      <c r="D161" s="58" t="s">
        <v>427</v>
      </c>
      <c r="E161" s="59" t="s">
        <v>428</v>
      </c>
      <c r="F161" s="58" t="s">
        <v>199</v>
      </c>
      <c r="G161" s="58" t="s">
        <v>171</v>
      </c>
      <c r="H161" s="58" t="s">
        <v>11</v>
      </c>
      <c r="I161" s="58" t="s">
        <v>133</v>
      </c>
      <c r="J161" s="60">
        <v>30</v>
      </c>
      <c r="K161" s="60">
        <f t="shared" si="12"/>
        <v>23.52941176470588</v>
      </c>
      <c r="L161" s="61">
        <f>prodnorm45</f>
        <v>0</v>
      </c>
      <c r="M161" s="58" t="s">
        <v>41</v>
      </c>
      <c r="N161" s="62">
        <f>uurtarief45</f>
        <v>0</v>
      </c>
      <c r="O161" s="60" t="e">
        <f t="shared" si="13"/>
        <v>#DIV/0!</v>
      </c>
      <c r="P161" s="62" t="e">
        <f t="shared" si="14"/>
        <v>#DIV/0!</v>
      </c>
      <c r="Q161" s="60" t="e">
        <f t="shared" si="15"/>
        <v>#DIV/0!</v>
      </c>
      <c r="R161" s="63" t="e">
        <f t="shared" si="16"/>
        <v>#DIV/0!</v>
      </c>
    </row>
    <row r="162" spans="1:18" x14ac:dyDescent="0.2">
      <c r="A162" s="57" t="s">
        <v>187</v>
      </c>
      <c r="B162" s="58" t="s">
        <v>420</v>
      </c>
      <c r="C162" s="58" t="s">
        <v>189</v>
      </c>
      <c r="D162" s="58" t="s">
        <v>429</v>
      </c>
      <c r="E162" s="59" t="s">
        <v>428</v>
      </c>
      <c r="F162" s="58" t="s">
        <v>199</v>
      </c>
      <c r="G162" s="58" t="s">
        <v>171</v>
      </c>
      <c r="H162" s="58" t="s">
        <v>11</v>
      </c>
      <c r="I162" s="58" t="s">
        <v>133</v>
      </c>
      <c r="J162" s="60">
        <v>30.2</v>
      </c>
      <c r="K162" s="60">
        <f t="shared" si="12"/>
        <v>23.686274509803919</v>
      </c>
      <c r="L162" s="61">
        <f>prodnorm45</f>
        <v>0</v>
      </c>
      <c r="M162" s="58" t="s">
        <v>41</v>
      </c>
      <c r="N162" s="62">
        <f>uurtarief45</f>
        <v>0</v>
      </c>
      <c r="O162" s="60" t="e">
        <f t="shared" si="13"/>
        <v>#DIV/0!</v>
      </c>
      <c r="P162" s="62" t="e">
        <f t="shared" si="14"/>
        <v>#DIV/0!</v>
      </c>
      <c r="Q162" s="60" t="e">
        <f t="shared" si="15"/>
        <v>#DIV/0!</v>
      </c>
      <c r="R162" s="63" t="e">
        <f t="shared" si="16"/>
        <v>#DIV/0!</v>
      </c>
    </row>
    <row r="163" spans="1:18" x14ac:dyDescent="0.2">
      <c r="A163" s="57" t="s">
        <v>187</v>
      </c>
      <c r="B163" s="58" t="s">
        <v>420</v>
      </c>
      <c r="C163" s="58" t="s">
        <v>189</v>
      </c>
      <c r="D163" s="58" t="s">
        <v>430</v>
      </c>
      <c r="E163" s="59" t="s">
        <v>209</v>
      </c>
      <c r="F163" s="58" t="s">
        <v>199</v>
      </c>
      <c r="G163" s="58" t="s">
        <v>167</v>
      </c>
      <c r="H163" s="58" t="s">
        <v>11</v>
      </c>
      <c r="I163" s="58" t="s">
        <v>133</v>
      </c>
      <c r="J163" s="60">
        <v>6</v>
      </c>
      <c r="K163" s="60">
        <f t="shared" si="12"/>
        <v>4.7058823529411766</v>
      </c>
      <c r="L163" s="61">
        <f>prodnorm43</f>
        <v>0</v>
      </c>
      <c r="M163" s="58" t="s">
        <v>41</v>
      </c>
      <c r="N163" s="62">
        <f>uurtarief43</f>
        <v>0</v>
      </c>
      <c r="O163" s="60" t="e">
        <f t="shared" si="13"/>
        <v>#DIV/0!</v>
      </c>
      <c r="P163" s="62" t="e">
        <f t="shared" si="14"/>
        <v>#DIV/0!</v>
      </c>
      <c r="Q163" s="60" t="e">
        <f t="shared" si="15"/>
        <v>#DIV/0!</v>
      </c>
      <c r="R163" s="63" t="e">
        <f t="shared" si="16"/>
        <v>#DIV/0!</v>
      </c>
    </row>
    <row r="164" spans="1:18" x14ac:dyDescent="0.2">
      <c r="A164" s="57" t="s">
        <v>187</v>
      </c>
      <c r="B164" s="58" t="s">
        <v>420</v>
      </c>
      <c r="C164" s="58" t="s">
        <v>189</v>
      </c>
      <c r="D164" s="58" t="s">
        <v>431</v>
      </c>
      <c r="E164" s="59" t="s">
        <v>209</v>
      </c>
      <c r="F164" s="58" t="s">
        <v>199</v>
      </c>
      <c r="G164" s="58" t="s">
        <v>167</v>
      </c>
      <c r="H164" s="58" t="s">
        <v>11</v>
      </c>
      <c r="I164" s="58" t="s">
        <v>133</v>
      </c>
      <c r="J164" s="60">
        <v>6</v>
      </c>
      <c r="K164" s="60">
        <f t="shared" si="12"/>
        <v>4.7058823529411766</v>
      </c>
      <c r="L164" s="61">
        <f>prodnorm43</f>
        <v>0</v>
      </c>
      <c r="M164" s="58" t="s">
        <v>41</v>
      </c>
      <c r="N164" s="62">
        <f>uurtarief43</f>
        <v>0</v>
      </c>
      <c r="O164" s="60" t="e">
        <f t="shared" si="13"/>
        <v>#DIV/0!</v>
      </c>
      <c r="P164" s="62" t="e">
        <f t="shared" si="14"/>
        <v>#DIV/0!</v>
      </c>
      <c r="Q164" s="60" t="e">
        <f t="shared" si="15"/>
        <v>#DIV/0!</v>
      </c>
      <c r="R164" s="63" t="e">
        <f t="shared" si="16"/>
        <v>#DIV/0!</v>
      </c>
    </row>
    <row r="165" spans="1:18" x14ac:dyDescent="0.2">
      <c r="A165" s="57" t="s">
        <v>187</v>
      </c>
      <c r="B165" s="58" t="s">
        <v>420</v>
      </c>
      <c r="C165" s="58" t="s">
        <v>189</v>
      </c>
      <c r="D165" s="58" t="s">
        <v>432</v>
      </c>
      <c r="E165" s="59" t="s">
        <v>209</v>
      </c>
      <c r="F165" s="58" t="s">
        <v>199</v>
      </c>
      <c r="G165" s="58" t="s">
        <v>167</v>
      </c>
      <c r="H165" s="58" t="s">
        <v>11</v>
      </c>
      <c r="I165" s="58" t="s">
        <v>133</v>
      </c>
      <c r="J165" s="60">
        <v>6</v>
      </c>
      <c r="K165" s="60">
        <f t="shared" si="12"/>
        <v>4.7058823529411766</v>
      </c>
      <c r="L165" s="61">
        <f>prodnorm43</f>
        <v>0</v>
      </c>
      <c r="M165" s="58" t="s">
        <v>41</v>
      </c>
      <c r="N165" s="62">
        <f>uurtarief43</f>
        <v>0</v>
      </c>
      <c r="O165" s="60" t="e">
        <f t="shared" si="13"/>
        <v>#DIV/0!</v>
      </c>
      <c r="P165" s="62" t="e">
        <f t="shared" si="14"/>
        <v>#DIV/0!</v>
      </c>
      <c r="Q165" s="60" t="e">
        <f t="shared" si="15"/>
        <v>#DIV/0!</v>
      </c>
      <c r="R165" s="63" t="e">
        <f t="shared" si="16"/>
        <v>#DIV/0!</v>
      </c>
    </row>
    <row r="166" spans="1:18" x14ac:dyDescent="0.2">
      <c r="A166" s="57" t="s">
        <v>187</v>
      </c>
      <c r="B166" s="58" t="s">
        <v>420</v>
      </c>
      <c r="C166" s="58" t="s">
        <v>189</v>
      </c>
      <c r="D166" s="58" t="s">
        <v>433</v>
      </c>
      <c r="E166" s="59" t="s">
        <v>434</v>
      </c>
      <c r="F166" s="58" t="s">
        <v>199</v>
      </c>
      <c r="G166" s="58" t="s">
        <v>141</v>
      </c>
      <c r="H166" s="58" t="s">
        <v>11</v>
      </c>
      <c r="I166" s="58" t="s">
        <v>133</v>
      </c>
      <c r="J166" s="60">
        <v>10</v>
      </c>
      <c r="K166" s="60">
        <f t="shared" si="12"/>
        <v>7.8431372549019605</v>
      </c>
      <c r="L166" s="61">
        <f>prodnorm28</f>
        <v>0</v>
      </c>
      <c r="M166" s="58" t="s">
        <v>41</v>
      </c>
      <c r="N166" s="62">
        <f>uurtarief28</f>
        <v>0</v>
      </c>
      <c r="O166" s="60" t="e">
        <f t="shared" si="13"/>
        <v>#DIV/0!</v>
      </c>
      <c r="P166" s="62" t="e">
        <f t="shared" si="14"/>
        <v>#DIV/0!</v>
      </c>
      <c r="Q166" s="60" t="e">
        <f t="shared" si="15"/>
        <v>#DIV/0!</v>
      </c>
      <c r="R166" s="63" t="e">
        <f t="shared" si="16"/>
        <v>#DIV/0!</v>
      </c>
    </row>
    <row r="167" spans="1:18" x14ac:dyDescent="0.2">
      <c r="A167" s="57" t="s">
        <v>187</v>
      </c>
      <c r="B167" s="58" t="s">
        <v>420</v>
      </c>
      <c r="C167" s="58" t="s">
        <v>189</v>
      </c>
      <c r="D167" s="58" t="s">
        <v>435</v>
      </c>
      <c r="E167" s="59" t="s">
        <v>436</v>
      </c>
      <c r="F167" s="58" t="s">
        <v>199</v>
      </c>
      <c r="G167" s="58" t="s">
        <v>151</v>
      </c>
      <c r="H167" s="58" t="s">
        <v>14</v>
      </c>
      <c r="I167" s="58" t="s">
        <v>133</v>
      </c>
      <c r="J167" s="60">
        <v>20.2</v>
      </c>
      <c r="K167" s="60">
        <f t="shared" si="12"/>
        <v>9.5058823529411764</v>
      </c>
      <c r="L167" s="61">
        <f>prodnorm34</f>
        <v>0</v>
      </c>
      <c r="M167" s="58" t="s">
        <v>41</v>
      </c>
      <c r="N167" s="62">
        <f>uurtarief34</f>
        <v>0</v>
      </c>
      <c r="O167" s="60" t="e">
        <f t="shared" si="13"/>
        <v>#DIV/0!</v>
      </c>
      <c r="P167" s="62" t="e">
        <f t="shared" si="14"/>
        <v>#DIV/0!</v>
      </c>
      <c r="Q167" s="60" t="e">
        <f t="shared" si="15"/>
        <v>#DIV/0!</v>
      </c>
      <c r="R167" s="63" t="e">
        <f t="shared" si="16"/>
        <v>#DIV/0!</v>
      </c>
    </row>
    <row r="168" spans="1:18" x14ac:dyDescent="0.2">
      <c r="A168" s="57" t="s">
        <v>187</v>
      </c>
      <c r="B168" s="58" t="s">
        <v>420</v>
      </c>
      <c r="C168" s="58" t="s">
        <v>189</v>
      </c>
      <c r="D168" s="58" t="s">
        <v>437</v>
      </c>
      <c r="E168" s="59" t="s">
        <v>434</v>
      </c>
      <c r="F168" s="58" t="s">
        <v>199</v>
      </c>
      <c r="G168" s="58" t="s">
        <v>141</v>
      </c>
      <c r="H168" s="58" t="s">
        <v>11</v>
      </c>
      <c r="I168" s="58" t="s">
        <v>133</v>
      </c>
      <c r="J168" s="60">
        <v>10</v>
      </c>
      <c r="K168" s="60">
        <f t="shared" si="12"/>
        <v>7.8431372549019605</v>
      </c>
      <c r="L168" s="61">
        <f>prodnorm28</f>
        <v>0</v>
      </c>
      <c r="M168" s="58" t="s">
        <v>41</v>
      </c>
      <c r="N168" s="62">
        <f>uurtarief28</f>
        <v>0</v>
      </c>
      <c r="O168" s="60" t="e">
        <f t="shared" si="13"/>
        <v>#DIV/0!</v>
      </c>
      <c r="P168" s="62" t="e">
        <f t="shared" si="14"/>
        <v>#DIV/0!</v>
      </c>
      <c r="Q168" s="60" t="e">
        <f t="shared" si="15"/>
        <v>#DIV/0!</v>
      </c>
      <c r="R168" s="63" t="e">
        <f t="shared" si="16"/>
        <v>#DIV/0!</v>
      </c>
    </row>
    <row r="169" spans="1:18" x14ac:dyDescent="0.2">
      <c r="A169" s="57" t="s">
        <v>187</v>
      </c>
      <c r="B169" s="58" t="s">
        <v>420</v>
      </c>
      <c r="C169" s="58" t="s">
        <v>189</v>
      </c>
      <c r="D169" s="58" t="s">
        <v>438</v>
      </c>
      <c r="E169" s="59" t="s">
        <v>436</v>
      </c>
      <c r="F169" s="58" t="s">
        <v>199</v>
      </c>
      <c r="G169" s="58" t="s">
        <v>151</v>
      </c>
      <c r="H169" s="58" t="s">
        <v>14</v>
      </c>
      <c r="I169" s="58" t="s">
        <v>133</v>
      </c>
      <c r="J169" s="60">
        <v>17.3</v>
      </c>
      <c r="K169" s="60">
        <f t="shared" si="12"/>
        <v>8.1411764705882348</v>
      </c>
      <c r="L169" s="61">
        <f>prodnorm34</f>
        <v>0</v>
      </c>
      <c r="M169" s="58" t="s">
        <v>41</v>
      </c>
      <c r="N169" s="62">
        <f>uurtarief34</f>
        <v>0</v>
      </c>
      <c r="O169" s="60" t="e">
        <f t="shared" si="13"/>
        <v>#DIV/0!</v>
      </c>
      <c r="P169" s="62" t="e">
        <f t="shared" si="14"/>
        <v>#DIV/0!</v>
      </c>
      <c r="Q169" s="60" t="e">
        <f t="shared" si="15"/>
        <v>#DIV/0!</v>
      </c>
      <c r="R169" s="63" t="e">
        <f t="shared" si="16"/>
        <v>#DIV/0!</v>
      </c>
    </row>
    <row r="170" spans="1:18" x14ac:dyDescent="0.2">
      <c r="A170" s="57" t="s">
        <v>187</v>
      </c>
      <c r="B170" s="58" t="s">
        <v>420</v>
      </c>
      <c r="C170" s="58" t="s">
        <v>189</v>
      </c>
      <c r="D170" s="58" t="s">
        <v>439</v>
      </c>
      <c r="E170" s="59" t="s">
        <v>436</v>
      </c>
      <c r="F170" s="58" t="s">
        <v>199</v>
      </c>
      <c r="G170" s="58" t="s">
        <v>151</v>
      </c>
      <c r="H170" s="58" t="s">
        <v>14</v>
      </c>
      <c r="I170" s="58" t="s">
        <v>133</v>
      </c>
      <c r="J170" s="60">
        <v>8.1</v>
      </c>
      <c r="K170" s="60">
        <f t="shared" si="12"/>
        <v>3.8117647058823527</v>
      </c>
      <c r="L170" s="61">
        <f>prodnorm34</f>
        <v>0</v>
      </c>
      <c r="M170" s="58" t="s">
        <v>41</v>
      </c>
      <c r="N170" s="62">
        <f>uurtarief34</f>
        <v>0</v>
      </c>
      <c r="O170" s="60" t="e">
        <f t="shared" si="13"/>
        <v>#DIV/0!</v>
      </c>
      <c r="P170" s="62" t="e">
        <f t="shared" si="14"/>
        <v>#DIV/0!</v>
      </c>
      <c r="Q170" s="60" t="e">
        <f t="shared" si="15"/>
        <v>#DIV/0!</v>
      </c>
      <c r="R170" s="63" t="e">
        <f t="shared" si="16"/>
        <v>#DIV/0!</v>
      </c>
    </row>
    <row r="171" spans="1:18" x14ac:dyDescent="0.2">
      <c r="A171" s="57" t="s">
        <v>187</v>
      </c>
      <c r="B171" s="58" t="s">
        <v>420</v>
      </c>
      <c r="C171" s="58" t="s">
        <v>189</v>
      </c>
      <c r="D171" s="58" t="s">
        <v>440</v>
      </c>
      <c r="E171" s="59" t="s">
        <v>434</v>
      </c>
      <c r="F171" s="58" t="s">
        <v>199</v>
      </c>
      <c r="G171" s="58" t="s">
        <v>141</v>
      </c>
      <c r="H171" s="58" t="s">
        <v>11</v>
      </c>
      <c r="I171" s="58" t="s">
        <v>133</v>
      </c>
      <c r="J171" s="60">
        <v>10</v>
      </c>
      <c r="K171" s="60">
        <f t="shared" si="12"/>
        <v>7.8431372549019605</v>
      </c>
      <c r="L171" s="61">
        <f>prodnorm28</f>
        <v>0</v>
      </c>
      <c r="M171" s="58" t="s">
        <v>41</v>
      </c>
      <c r="N171" s="62">
        <f>uurtarief28</f>
        <v>0</v>
      </c>
      <c r="O171" s="60" t="e">
        <f t="shared" si="13"/>
        <v>#DIV/0!</v>
      </c>
      <c r="P171" s="62" t="e">
        <f t="shared" si="14"/>
        <v>#DIV/0!</v>
      </c>
      <c r="Q171" s="60" t="e">
        <f t="shared" si="15"/>
        <v>#DIV/0!</v>
      </c>
      <c r="R171" s="63" t="e">
        <f t="shared" si="16"/>
        <v>#DIV/0!</v>
      </c>
    </row>
    <row r="172" spans="1:18" x14ac:dyDescent="0.2">
      <c r="A172" s="57" t="s">
        <v>187</v>
      </c>
      <c r="B172" s="58" t="s">
        <v>420</v>
      </c>
      <c r="C172" s="58" t="s">
        <v>189</v>
      </c>
      <c r="D172" s="58" t="s">
        <v>441</v>
      </c>
      <c r="E172" s="59" t="s">
        <v>436</v>
      </c>
      <c r="F172" s="58" t="s">
        <v>199</v>
      </c>
      <c r="G172" s="58" t="s">
        <v>151</v>
      </c>
      <c r="H172" s="58" t="s">
        <v>14</v>
      </c>
      <c r="I172" s="58" t="s">
        <v>133</v>
      </c>
      <c r="J172" s="60">
        <v>17.7</v>
      </c>
      <c r="K172" s="60">
        <f t="shared" si="12"/>
        <v>8.3294117647058812</v>
      </c>
      <c r="L172" s="61">
        <f>prodnorm34</f>
        <v>0</v>
      </c>
      <c r="M172" s="58" t="s">
        <v>41</v>
      </c>
      <c r="N172" s="62">
        <f>uurtarief34</f>
        <v>0</v>
      </c>
      <c r="O172" s="60" t="e">
        <f t="shared" si="13"/>
        <v>#DIV/0!</v>
      </c>
      <c r="P172" s="62" t="e">
        <f t="shared" si="14"/>
        <v>#DIV/0!</v>
      </c>
      <c r="Q172" s="60" t="e">
        <f t="shared" si="15"/>
        <v>#DIV/0!</v>
      </c>
      <c r="R172" s="63" t="e">
        <f t="shared" si="16"/>
        <v>#DIV/0!</v>
      </c>
    </row>
    <row r="173" spans="1:18" x14ac:dyDescent="0.2">
      <c r="A173" s="57" t="s">
        <v>187</v>
      </c>
      <c r="B173" s="58" t="s">
        <v>420</v>
      </c>
      <c r="C173" s="58" t="s">
        <v>189</v>
      </c>
      <c r="D173" s="58" t="s">
        <v>442</v>
      </c>
      <c r="E173" s="59" t="s">
        <v>434</v>
      </c>
      <c r="F173" s="58" t="s">
        <v>199</v>
      </c>
      <c r="G173" s="58" t="s">
        <v>141</v>
      </c>
      <c r="H173" s="58" t="s">
        <v>11</v>
      </c>
      <c r="I173" s="58" t="s">
        <v>133</v>
      </c>
      <c r="J173" s="60">
        <v>10</v>
      </c>
      <c r="K173" s="60">
        <f t="shared" si="12"/>
        <v>7.8431372549019605</v>
      </c>
      <c r="L173" s="61">
        <f>prodnorm28</f>
        <v>0</v>
      </c>
      <c r="M173" s="58" t="s">
        <v>41</v>
      </c>
      <c r="N173" s="62">
        <f>uurtarief28</f>
        <v>0</v>
      </c>
      <c r="O173" s="60" t="e">
        <f t="shared" si="13"/>
        <v>#DIV/0!</v>
      </c>
      <c r="P173" s="62" t="e">
        <f t="shared" si="14"/>
        <v>#DIV/0!</v>
      </c>
      <c r="Q173" s="60" t="e">
        <f t="shared" si="15"/>
        <v>#DIV/0!</v>
      </c>
      <c r="R173" s="63" t="e">
        <f t="shared" si="16"/>
        <v>#DIV/0!</v>
      </c>
    </row>
    <row r="174" spans="1:18" x14ac:dyDescent="0.2">
      <c r="A174" s="57" t="s">
        <v>187</v>
      </c>
      <c r="B174" s="58" t="s">
        <v>420</v>
      </c>
      <c r="C174" s="58" t="s">
        <v>189</v>
      </c>
      <c r="D174" s="58" t="s">
        <v>443</v>
      </c>
      <c r="E174" s="59" t="s">
        <v>436</v>
      </c>
      <c r="F174" s="58" t="s">
        <v>199</v>
      </c>
      <c r="G174" s="58" t="s">
        <v>151</v>
      </c>
      <c r="H174" s="58" t="s">
        <v>14</v>
      </c>
      <c r="I174" s="58" t="s">
        <v>133</v>
      </c>
      <c r="J174" s="60">
        <v>19.600000000000001</v>
      </c>
      <c r="K174" s="60">
        <f t="shared" si="12"/>
        <v>9.2235294117647069</v>
      </c>
      <c r="L174" s="61">
        <f>prodnorm34</f>
        <v>0</v>
      </c>
      <c r="M174" s="58" t="s">
        <v>41</v>
      </c>
      <c r="N174" s="62">
        <f>uurtarief34</f>
        <v>0</v>
      </c>
      <c r="O174" s="60" t="e">
        <f t="shared" si="13"/>
        <v>#DIV/0!</v>
      </c>
      <c r="P174" s="62" t="e">
        <f t="shared" si="14"/>
        <v>#DIV/0!</v>
      </c>
      <c r="Q174" s="60" t="e">
        <f t="shared" si="15"/>
        <v>#DIV/0!</v>
      </c>
      <c r="R174" s="63" t="e">
        <f t="shared" si="16"/>
        <v>#DIV/0!</v>
      </c>
    </row>
    <row r="175" spans="1:18" x14ac:dyDescent="0.2">
      <c r="A175" s="57" t="s">
        <v>187</v>
      </c>
      <c r="B175" s="58" t="s">
        <v>420</v>
      </c>
      <c r="C175" s="58" t="s">
        <v>189</v>
      </c>
      <c r="D175" s="58" t="s">
        <v>444</v>
      </c>
      <c r="E175" s="59" t="s">
        <v>434</v>
      </c>
      <c r="F175" s="58" t="s">
        <v>199</v>
      </c>
      <c r="G175" s="58" t="s">
        <v>141</v>
      </c>
      <c r="H175" s="58" t="s">
        <v>11</v>
      </c>
      <c r="I175" s="58" t="s">
        <v>133</v>
      </c>
      <c r="J175" s="60">
        <v>10</v>
      </c>
      <c r="K175" s="60">
        <f t="shared" si="12"/>
        <v>7.8431372549019605</v>
      </c>
      <c r="L175" s="61">
        <f>prodnorm28</f>
        <v>0</v>
      </c>
      <c r="M175" s="58" t="s">
        <v>41</v>
      </c>
      <c r="N175" s="62">
        <f>uurtarief28</f>
        <v>0</v>
      </c>
      <c r="O175" s="60" t="e">
        <f t="shared" si="13"/>
        <v>#DIV/0!</v>
      </c>
      <c r="P175" s="62" t="e">
        <f t="shared" si="14"/>
        <v>#DIV/0!</v>
      </c>
      <c r="Q175" s="60" t="e">
        <f t="shared" si="15"/>
        <v>#DIV/0!</v>
      </c>
      <c r="R175" s="63" t="e">
        <f t="shared" si="16"/>
        <v>#DIV/0!</v>
      </c>
    </row>
    <row r="176" spans="1:18" x14ac:dyDescent="0.2">
      <c r="A176" s="57" t="s">
        <v>187</v>
      </c>
      <c r="B176" s="58" t="s">
        <v>420</v>
      </c>
      <c r="C176" s="58" t="s">
        <v>189</v>
      </c>
      <c r="D176" s="58" t="s">
        <v>445</v>
      </c>
      <c r="E176" s="59" t="s">
        <v>209</v>
      </c>
      <c r="F176" s="58" t="s">
        <v>199</v>
      </c>
      <c r="G176" s="58" t="s">
        <v>167</v>
      </c>
      <c r="H176" s="58" t="s">
        <v>11</v>
      </c>
      <c r="I176" s="58" t="s">
        <v>133</v>
      </c>
      <c r="J176" s="60">
        <v>6</v>
      </c>
      <c r="K176" s="60">
        <f t="shared" si="12"/>
        <v>4.7058823529411766</v>
      </c>
      <c r="L176" s="61">
        <f>prodnorm43</f>
        <v>0</v>
      </c>
      <c r="M176" s="58" t="s">
        <v>41</v>
      </c>
      <c r="N176" s="62">
        <f>uurtarief43</f>
        <v>0</v>
      </c>
      <c r="O176" s="60" t="e">
        <f t="shared" si="13"/>
        <v>#DIV/0!</v>
      </c>
      <c r="P176" s="62" t="e">
        <f t="shared" si="14"/>
        <v>#DIV/0!</v>
      </c>
      <c r="Q176" s="60" t="e">
        <f t="shared" si="15"/>
        <v>#DIV/0!</v>
      </c>
      <c r="R176" s="63" t="e">
        <f t="shared" si="16"/>
        <v>#DIV/0!</v>
      </c>
    </row>
    <row r="177" spans="1:18" x14ac:dyDescent="0.2">
      <c r="A177" s="57" t="s">
        <v>187</v>
      </c>
      <c r="B177" s="58" t="s">
        <v>420</v>
      </c>
      <c r="C177" s="58" t="s">
        <v>189</v>
      </c>
      <c r="D177" s="58" t="s">
        <v>446</v>
      </c>
      <c r="E177" s="59" t="s">
        <v>209</v>
      </c>
      <c r="F177" s="58" t="s">
        <v>199</v>
      </c>
      <c r="G177" s="58" t="s">
        <v>167</v>
      </c>
      <c r="H177" s="58" t="s">
        <v>11</v>
      </c>
      <c r="I177" s="58" t="s">
        <v>133</v>
      </c>
      <c r="J177" s="60">
        <v>6</v>
      </c>
      <c r="K177" s="60">
        <f t="shared" si="12"/>
        <v>4.7058823529411766</v>
      </c>
      <c r="L177" s="61">
        <f>prodnorm43</f>
        <v>0</v>
      </c>
      <c r="M177" s="58" t="s">
        <v>41</v>
      </c>
      <c r="N177" s="62">
        <f>uurtarief43</f>
        <v>0</v>
      </c>
      <c r="O177" s="60" t="e">
        <f t="shared" si="13"/>
        <v>#DIV/0!</v>
      </c>
      <c r="P177" s="62" t="e">
        <f t="shared" si="14"/>
        <v>#DIV/0!</v>
      </c>
      <c r="Q177" s="60" t="e">
        <f t="shared" si="15"/>
        <v>#DIV/0!</v>
      </c>
      <c r="R177" s="63" t="e">
        <f t="shared" si="16"/>
        <v>#DIV/0!</v>
      </c>
    </row>
    <row r="178" spans="1:18" x14ac:dyDescent="0.2">
      <c r="A178" s="57" t="s">
        <v>187</v>
      </c>
      <c r="B178" s="58" t="s">
        <v>420</v>
      </c>
      <c r="C178" s="58" t="s">
        <v>189</v>
      </c>
      <c r="D178" s="58" t="s">
        <v>447</v>
      </c>
      <c r="E178" s="59" t="s">
        <v>209</v>
      </c>
      <c r="F178" s="58" t="s">
        <v>199</v>
      </c>
      <c r="G178" s="58" t="s">
        <v>167</v>
      </c>
      <c r="H178" s="58" t="s">
        <v>11</v>
      </c>
      <c r="I178" s="58" t="s">
        <v>133</v>
      </c>
      <c r="J178" s="60">
        <v>6</v>
      </c>
      <c r="K178" s="60">
        <f t="shared" si="12"/>
        <v>4.7058823529411766</v>
      </c>
      <c r="L178" s="61">
        <f>prodnorm43</f>
        <v>0</v>
      </c>
      <c r="M178" s="58" t="s">
        <v>41</v>
      </c>
      <c r="N178" s="62">
        <f>uurtarief43</f>
        <v>0</v>
      </c>
      <c r="O178" s="60" t="e">
        <f t="shared" si="13"/>
        <v>#DIV/0!</v>
      </c>
      <c r="P178" s="62" t="e">
        <f t="shared" si="14"/>
        <v>#DIV/0!</v>
      </c>
      <c r="Q178" s="60" t="e">
        <f t="shared" si="15"/>
        <v>#DIV/0!</v>
      </c>
      <c r="R178" s="63" t="e">
        <f t="shared" si="16"/>
        <v>#DIV/0!</v>
      </c>
    </row>
    <row r="179" spans="1:18" x14ac:dyDescent="0.2">
      <c r="A179" s="57" t="s">
        <v>187</v>
      </c>
      <c r="B179" s="58" t="s">
        <v>420</v>
      </c>
      <c r="C179" s="58" t="s">
        <v>193</v>
      </c>
      <c r="D179" s="58" t="s">
        <v>448</v>
      </c>
      <c r="E179" s="59" t="s">
        <v>428</v>
      </c>
      <c r="F179" s="58" t="s">
        <v>199</v>
      </c>
      <c r="G179" s="58" t="s">
        <v>171</v>
      </c>
      <c r="H179" s="58" t="s">
        <v>11</v>
      </c>
      <c r="I179" s="58" t="s">
        <v>133</v>
      </c>
      <c r="J179" s="60">
        <v>87.7</v>
      </c>
      <c r="K179" s="60">
        <f t="shared" si="12"/>
        <v>68.784313725490193</v>
      </c>
      <c r="L179" s="61">
        <f>prodnorm45</f>
        <v>0</v>
      </c>
      <c r="M179" s="58" t="s">
        <v>41</v>
      </c>
      <c r="N179" s="62">
        <f>uurtarief45</f>
        <v>0</v>
      </c>
      <c r="O179" s="60" t="e">
        <f t="shared" si="13"/>
        <v>#DIV/0!</v>
      </c>
      <c r="P179" s="62" t="e">
        <f t="shared" si="14"/>
        <v>#DIV/0!</v>
      </c>
      <c r="Q179" s="60" t="e">
        <f t="shared" si="15"/>
        <v>#DIV/0!</v>
      </c>
      <c r="R179" s="63" t="e">
        <f t="shared" si="16"/>
        <v>#DIV/0!</v>
      </c>
    </row>
    <row r="180" spans="1:18" x14ac:dyDescent="0.2">
      <c r="A180" s="57" t="s">
        <v>187</v>
      </c>
      <c r="B180" s="58" t="s">
        <v>420</v>
      </c>
      <c r="C180" s="58" t="s">
        <v>193</v>
      </c>
      <c r="D180" s="58" t="s">
        <v>449</v>
      </c>
      <c r="E180" s="59" t="s">
        <v>428</v>
      </c>
      <c r="F180" s="58" t="s">
        <v>199</v>
      </c>
      <c r="G180" s="58" t="s">
        <v>171</v>
      </c>
      <c r="H180" s="58" t="s">
        <v>11</v>
      </c>
      <c r="I180" s="58" t="s">
        <v>133</v>
      </c>
      <c r="J180" s="60">
        <v>5.0999999999999996</v>
      </c>
      <c r="K180" s="60">
        <f t="shared" si="12"/>
        <v>3.9999999999999996</v>
      </c>
      <c r="L180" s="61">
        <f>prodnorm45</f>
        <v>0</v>
      </c>
      <c r="M180" s="58" t="s">
        <v>41</v>
      </c>
      <c r="N180" s="62">
        <f>uurtarief45</f>
        <v>0</v>
      </c>
      <c r="O180" s="60" t="e">
        <f t="shared" si="13"/>
        <v>#DIV/0!</v>
      </c>
      <c r="P180" s="62" t="e">
        <f t="shared" si="14"/>
        <v>#DIV/0!</v>
      </c>
      <c r="Q180" s="60" t="e">
        <f t="shared" si="15"/>
        <v>#DIV/0!</v>
      </c>
      <c r="R180" s="63" t="e">
        <f t="shared" si="16"/>
        <v>#DIV/0!</v>
      </c>
    </row>
    <row r="181" spans="1:18" x14ac:dyDescent="0.2">
      <c r="A181" s="57" t="s">
        <v>187</v>
      </c>
      <c r="B181" s="58" t="s">
        <v>420</v>
      </c>
      <c r="C181" s="58" t="s">
        <v>193</v>
      </c>
      <c r="D181" s="58" t="s">
        <v>450</v>
      </c>
      <c r="E181" s="59" t="s">
        <v>428</v>
      </c>
      <c r="F181" s="58" t="s">
        <v>199</v>
      </c>
      <c r="G181" s="58" t="s">
        <v>171</v>
      </c>
      <c r="H181" s="58" t="s">
        <v>11</v>
      </c>
      <c r="I181" s="58" t="s">
        <v>133</v>
      </c>
      <c r="J181" s="60">
        <v>2</v>
      </c>
      <c r="K181" s="60">
        <f t="shared" si="12"/>
        <v>1.5686274509803921</v>
      </c>
      <c r="L181" s="61">
        <f>prodnorm45</f>
        <v>0</v>
      </c>
      <c r="M181" s="58" t="s">
        <v>41</v>
      </c>
      <c r="N181" s="62">
        <f>uurtarief45</f>
        <v>0</v>
      </c>
      <c r="O181" s="60" t="e">
        <f t="shared" si="13"/>
        <v>#DIV/0!</v>
      </c>
      <c r="P181" s="62" t="e">
        <f t="shared" si="14"/>
        <v>#DIV/0!</v>
      </c>
      <c r="Q181" s="60" t="e">
        <f t="shared" si="15"/>
        <v>#DIV/0!</v>
      </c>
      <c r="R181" s="63" t="e">
        <f t="shared" si="16"/>
        <v>#DIV/0!</v>
      </c>
    </row>
    <row r="182" spans="1:18" x14ac:dyDescent="0.2">
      <c r="A182" s="57" t="s">
        <v>187</v>
      </c>
      <c r="B182" s="58" t="s">
        <v>420</v>
      </c>
      <c r="C182" s="58" t="s">
        <v>252</v>
      </c>
      <c r="D182" s="58" t="s">
        <v>281</v>
      </c>
      <c r="E182" s="59" t="s">
        <v>209</v>
      </c>
      <c r="F182" s="58" t="s">
        <v>199</v>
      </c>
      <c r="G182" s="58" t="s">
        <v>167</v>
      </c>
      <c r="H182" s="58" t="s">
        <v>11</v>
      </c>
      <c r="I182" s="58" t="s">
        <v>133</v>
      </c>
      <c r="J182" s="60">
        <v>6</v>
      </c>
      <c r="K182" s="60">
        <f t="shared" si="12"/>
        <v>4.7058823529411766</v>
      </c>
      <c r="L182" s="61">
        <f>prodnorm43</f>
        <v>0</v>
      </c>
      <c r="M182" s="58" t="s">
        <v>41</v>
      </c>
      <c r="N182" s="62">
        <f>uurtarief43</f>
        <v>0</v>
      </c>
      <c r="O182" s="60" t="e">
        <f t="shared" si="13"/>
        <v>#DIV/0!</v>
      </c>
      <c r="P182" s="62" t="e">
        <f t="shared" si="14"/>
        <v>#DIV/0!</v>
      </c>
      <c r="Q182" s="60" t="e">
        <f t="shared" si="15"/>
        <v>#DIV/0!</v>
      </c>
      <c r="R182" s="63" t="e">
        <f t="shared" si="16"/>
        <v>#DIV/0!</v>
      </c>
    </row>
    <row r="183" spans="1:18" x14ac:dyDescent="0.2">
      <c r="A183" s="57" t="s">
        <v>187</v>
      </c>
      <c r="B183" s="58" t="s">
        <v>420</v>
      </c>
      <c r="C183" s="58" t="s">
        <v>252</v>
      </c>
      <c r="D183" s="58" t="s">
        <v>451</v>
      </c>
      <c r="E183" s="59" t="s">
        <v>428</v>
      </c>
      <c r="F183" s="58" t="s">
        <v>199</v>
      </c>
      <c r="G183" s="58" t="s">
        <v>171</v>
      </c>
      <c r="H183" s="58" t="s">
        <v>11</v>
      </c>
      <c r="I183" s="58" t="s">
        <v>133</v>
      </c>
      <c r="J183" s="60">
        <v>46.8</v>
      </c>
      <c r="K183" s="60">
        <f t="shared" si="12"/>
        <v>36.705882352941174</v>
      </c>
      <c r="L183" s="61">
        <f>prodnorm45</f>
        <v>0</v>
      </c>
      <c r="M183" s="58" t="s">
        <v>41</v>
      </c>
      <c r="N183" s="62">
        <f>uurtarief45</f>
        <v>0</v>
      </c>
      <c r="O183" s="60" t="e">
        <f t="shared" si="13"/>
        <v>#DIV/0!</v>
      </c>
      <c r="P183" s="62" t="e">
        <f t="shared" si="14"/>
        <v>#DIV/0!</v>
      </c>
      <c r="Q183" s="60" t="e">
        <f t="shared" si="15"/>
        <v>#DIV/0!</v>
      </c>
      <c r="R183" s="63" t="e">
        <f t="shared" si="16"/>
        <v>#DIV/0!</v>
      </c>
    </row>
    <row r="184" spans="1:18" x14ac:dyDescent="0.2">
      <c r="A184" s="57" t="s">
        <v>187</v>
      </c>
      <c r="B184" s="58" t="s">
        <v>420</v>
      </c>
      <c r="C184" s="58" t="s">
        <v>252</v>
      </c>
      <c r="D184" s="58" t="s">
        <v>452</v>
      </c>
      <c r="E184" s="59" t="s">
        <v>453</v>
      </c>
      <c r="F184" s="58" t="s">
        <v>192</v>
      </c>
      <c r="G184" s="58" t="s">
        <v>147</v>
      </c>
      <c r="H184" s="58" t="s">
        <v>11</v>
      </c>
      <c r="I184" s="58" t="s">
        <v>133</v>
      </c>
      <c r="J184" s="60">
        <v>93.7</v>
      </c>
      <c r="K184" s="60">
        <f t="shared" si="12"/>
        <v>73.490196078431367</v>
      </c>
      <c r="L184" s="61">
        <f>prodnorm32</f>
        <v>0</v>
      </c>
      <c r="M184" s="58" t="s">
        <v>41</v>
      </c>
      <c r="N184" s="62">
        <f>uurtarief32</f>
        <v>0</v>
      </c>
      <c r="O184" s="60" t="e">
        <f t="shared" si="13"/>
        <v>#DIV/0!</v>
      </c>
      <c r="P184" s="62" t="e">
        <f t="shared" si="14"/>
        <v>#DIV/0!</v>
      </c>
      <c r="Q184" s="60" t="e">
        <f t="shared" si="15"/>
        <v>#DIV/0!</v>
      </c>
      <c r="R184" s="63" t="e">
        <f t="shared" si="16"/>
        <v>#DIV/0!</v>
      </c>
    </row>
    <row r="185" spans="1:18" x14ac:dyDescent="0.2">
      <c r="A185" s="57" t="s">
        <v>187</v>
      </c>
      <c r="B185" s="58" t="s">
        <v>420</v>
      </c>
      <c r="C185" s="58" t="s">
        <v>252</v>
      </c>
      <c r="D185" s="58" t="s">
        <v>454</v>
      </c>
      <c r="E185" s="59" t="s">
        <v>207</v>
      </c>
      <c r="F185" s="58" t="s">
        <v>199</v>
      </c>
      <c r="G185" s="58" t="s">
        <v>171</v>
      </c>
      <c r="H185" s="58" t="s">
        <v>11</v>
      </c>
      <c r="I185" s="58" t="s">
        <v>133</v>
      </c>
      <c r="J185" s="60">
        <v>25.6</v>
      </c>
      <c r="K185" s="60">
        <f t="shared" si="12"/>
        <v>20.078431372549019</v>
      </c>
      <c r="L185" s="61">
        <f>prodnorm45</f>
        <v>0</v>
      </c>
      <c r="M185" s="58" t="s">
        <v>41</v>
      </c>
      <c r="N185" s="62">
        <f>uurtarief45</f>
        <v>0</v>
      </c>
      <c r="O185" s="60" t="e">
        <f t="shared" si="13"/>
        <v>#DIV/0!</v>
      </c>
      <c r="P185" s="62" t="e">
        <f t="shared" si="14"/>
        <v>#DIV/0!</v>
      </c>
      <c r="Q185" s="60" t="e">
        <f t="shared" si="15"/>
        <v>#DIV/0!</v>
      </c>
      <c r="R185" s="63" t="e">
        <f t="shared" si="16"/>
        <v>#DIV/0!</v>
      </c>
    </row>
    <row r="186" spans="1:18" x14ac:dyDescent="0.2">
      <c r="A186" s="57" t="s">
        <v>187</v>
      </c>
      <c r="B186" s="58" t="s">
        <v>420</v>
      </c>
      <c r="C186" s="58" t="s">
        <v>252</v>
      </c>
      <c r="D186" s="58" t="s">
        <v>455</v>
      </c>
      <c r="E186" s="59" t="s">
        <v>436</v>
      </c>
      <c r="F186" s="58" t="s">
        <v>199</v>
      </c>
      <c r="G186" s="58" t="s">
        <v>151</v>
      </c>
      <c r="H186" s="58" t="s">
        <v>14</v>
      </c>
      <c r="I186" s="58" t="s">
        <v>133</v>
      </c>
      <c r="J186" s="60">
        <v>23.3</v>
      </c>
      <c r="K186" s="60">
        <f t="shared" si="12"/>
        <v>10.964705882352941</v>
      </c>
      <c r="L186" s="61">
        <f>prodnorm34</f>
        <v>0</v>
      </c>
      <c r="M186" s="58" t="s">
        <v>41</v>
      </c>
      <c r="N186" s="62">
        <f>uurtarief34</f>
        <v>0</v>
      </c>
      <c r="O186" s="60" t="e">
        <f t="shared" si="13"/>
        <v>#DIV/0!</v>
      </c>
      <c r="P186" s="62" t="e">
        <f t="shared" si="14"/>
        <v>#DIV/0!</v>
      </c>
      <c r="Q186" s="60" t="e">
        <f t="shared" si="15"/>
        <v>#DIV/0!</v>
      </c>
      <c r="R186" s="63" t="e">
        <f t="shared" si="16"/>
        <v>#DIV/0!</v>
      </c>
    </row>
    <row r="187" spans="1:18" x14ac:dyDescent="0.2">
      <c r="A187" s="57" t="s">
        <v>187</v>
      </c>
      <c r="B187" s="58" t="s">
        <v>420</v>
      </c>
      <c r="C187" s="58" t="s">
        <v>252</v>
      </c>
      <c r="D187" s="58" t="s">
        <v>456</v>
      </c>
      <c r="E187" s="59" t="s">
        <v>434</v>
      </c>
      <c r="F187" s="58" t="s">
        <v>199</v>
      </c>
      <c r="G187" s="58" t="s">
        <v>141</v>
      </c>
      <c r="H187" s="58" t="s">
        <v>11</v>
      </c>
      <c r="I187" s="58" t="s">
        <v>133</v>
      </c>
      <c r="J187" s="60">
        <v>10</v>
      </c>
      <c r="K187" s="60">
        <f t="shared" si="12"/>
        <v>7.8431372549019605</v>
      </c>
      <c r="L187" s="61">
        <f>prodnorm28</f>
        <v>0</v>
      </c>
      <c r="M187" s="58" t="s">
        <v>41</v>
      </c>
      <c r="N187" s="62">
        <f>uurtarief28</f>
        <v>0</v>
      </c>
      <c r="O187" s="60" t="e">
        <f t="shared" si="13"/>
        <v>#DIV/0!</v>
      </c>
      <c r="P187" s="62" t="e">
        <f t="shared" si="14"/>
        <v>#DIV/0!</v>
      </c>
      <c r="Q187" s="60" t="e">
        <f t="shared" si="15"/>
        <v>#DIV/0!</v>
      </c>
      <c r="R187" s="63" t="e">
        <f t="shared" si="16"/>
        <v>#DIV/0!</v>
      </c>
    </row>
    <row r="188" spans="1:18" x14ac:dyDescent="0.2">
      <c r="A188" s="57" t="s">
        <v>187</v>
      </c>
      <c r="B188" s="58" t="s">
        <v>420</v>
      </c>
      <c r="C188" s="58" t="s">
        <v>252</v>
      </c>
      <c r="D188" s="58" t="s">
        <v>457</v>
      </c>
      <c r="E188" s="59" t="s">
        <v>209</v>
      </c>
      <c r="F188" s="58" t="s">
        <v>199</v>
      </c>
      <c r="G188" s="58" t="s">
        <v>167</v>
      </c>
      <c r="H188" s="58" t="s">
        <v>11</v>
      </c>
      <c r="I188" s="58" t="s">
        <v>133</v>
      </c>
      <c r="J188" s="60">
        <v>6</v>
      </c>
      <c r="K188" s="60">
        <f t="shared" si="12"/>
        <v>4.7058823529411766</v>
      </c>
      <c r="L188" s="61">
        <f>prodnorm43</f>
        <v>0</v>
      </c>
      <c r="M188" s="58" t="s">
        <v>41</v>
      </c>
      <c r="N188" s="62">
        <f>uurtarief43</f>
        <v>0</v>
      </c>
      <c r="O188" s="60" t="e">
        <f t="shared" si="13"/>
        <v>#DIV/0!</v>
      </c>
      <c r="P188" s="62" t="e">
        <f t="shared" si="14"/>
        <v>#DIV/0!</v>
      </c>
      <c r="Q188" s="60" t="e">
        <f t="shared" si="15"/>
        <v>#DIV/0!</v>
      </c>
      <c r="R188" s="63" t="e">
        <f t="shared" si="16"/>
        <v>#DIV/0!</v>
      </c>
    </row>
    <row r="189" spans="1:18" x14ac:dyDescent="0.2">
      <c r="A189" s="57" t="s">
        <v>187</v>
      </c>
      <c r="B189" s="58" t="s">
        <v>420</v>
      </c>
      <c r="C189" s="58" t="s">
        <v>252</v>
      </c>
      <c r="D189" s="58" t="s">
        <v>458</v>
      </c>
      <c r="E189" s="59" t="s">
        <v>436</v>
      </c>
      <c r="F189" s="58" t="s">
        <v>199</v>
      </c>
      <c r="G189" s="58" t="s">
        <v>151</v>
      </c>
      <c r="H189" s="58" t="s">
        <v>14</v>
      </c>
      <c r="I189" s="58" t="s">
        <v>133</v>
      </c>
      <c r="J189" s="60">
        <v>23</v>
      </c>
      <c r="K189" s="60">
        <f t="shared" si="12"/>
        <v>10.823529411764707</v>
      </c>
      <c r="L189" s="61">
        <f>prodnorm34</f>
        <v>0</v>
      </c>
      <c r="M189" s="58" t="s">
        <v>41</v>
      </c>
      <c r="N189" s="62">
        <f>uurtarief34</f>
        <v>0</v>
      </c>
      <c r="O189" s="60" t="e">
        <f t="shared" si="13"/>
        <v>#DIV/0!</v>
      </c>
      <c r="P189" s="62" t="e">
        <f t="shared" si="14"/>
        <v>#DIV/0!</v>
      </c>
      <c r="Q189" s="60" t="e">
        <f t="shared" si="15"/>
        <v>#DIV/0!</v>
      </c>
      <c r="R189" s="63" t="e">
        <f t="shared" si="16"/>
        <v>#DIV/0!</v>
      </c>
    </row>
    <row r="190" spans="1:18" x14ac:dyDescent="0.2">
      <c r="A190" s="57" t="s">
        <v>187</v>
      </c>
      <c r="B190" s="58" t="s">
        <v>420</v>
      </c>
      <c r="C190" s="58" t="s">
        <v>252</v>
      </c>
      <c r="D190" s="58" t="s">
        <v>459</v>
      </c>
      <c r="E190" s="59" t="s">
        <v>434</v>
      </c>
      <c r="F190" s="58" t="s">
        <v>199</v>
      </c>
      <c r="G190" s="58" t="s">
        <v>141</v>
      </c>
      <c r="H190" s="58" t="s">
        <v>11</v>
      </c>
      <c r="I190" s="58" t="s">
        <v>133</v>
      </c>
      <c r="J190" s="60">
        <v>10</v>
      </c>
      <c r="K190" s="60">
        <f t="shared" si="12"/>
        <v>7.8431372549019605</v>
      </c>
      <c r="L190" s="61">
        <f>prodnorm28</f>
        <v>0</v>
      </c>
      <c r="M190" s="58" t="s">
        <v>41</v>
      </c>
      <c r="N190" s="62">
        <f>uurtarief28</f>
        <v>0</v>
      </c>
      <c r="O190" s="60" t="e">
        <f t="shared" si="13"/>
        <v>#DIV/0!</v>
      </c>
      <c r="P190" s="62" t="e">
        <f t="shared" si="14"/>
        <v>#DIV/0!</v>
      </c>
      <c r="Q190" s="60" t="e">
        <f t="shared" si="15"/>
        <v>#DIV/0!</v>
      </c>
      <c r="R190" s="63" t="e">
        <f t="shared" si="16"/>
        <v>#DIV/0!</v>
      </c>
    </row>
    <row r="191" spans="1:18" x14ac:dyDescent="0.2">
      <c r="A191" s="57" t="s">
        <v>187</v>
      </c>
      <c r="B191" s="58" t="s">
        <v>420</v>
      </c>
      <c r="C191" s="58" t="s">
        <v>252</v>
      </c>
      <c r="D191" s="58" t="s">
        <v>460</v>
      </c>
      <c r="E191" s="59" t="s">
        <v>209</v>
      </c>
      <c r="F191" s="58" t="s">
        <v>199</v>
      </c>
      <c r="G191" s="58" t="s">
        <v>167</v>
      </c>
      <c r="H191" s="58" t="s">
        <v>11</v>
      </c>
      <c r="I191" s="58" t="s">
        <v>133</v>
      </c>
      <c r="J191" s="60">
        <v>6</v>
      </c>
      <c r="K191" s="60">
        <f t="shared" si="12"/>
        <v>4.7058823529411766</v>
      </c>
      <c r="L191" s="61">
        <f>prodnorm43</f>
        <v>0</v>
      </c>
      <c r="M191" s="58" t="s">
        <v>41</v>
      </c>
      <c r="N191" s="62">
        <f>uurtarief43</f>
        <v>0</v>
      </c>
      <c r="O191" s="60" t="e">
        <f t="shared" si="13"/>
        <v>#DIV/0!</v>
      </c>
      <c r="P191" s="62" t="e">
        <f t="shared" si="14"/>
        <v>#DIV/0!</v>
      </c>
      <c r="Q191" s="60" t="e">
        <f t="shared" si="15"/>
        <v>#DIV/0!</v>
      </c>
      <c r="R191" s="63" t="e">
        <f t="shared" si="16"/>
        <v>#DIV/0!</v>
      </c>
    </row>
    <row r="192" spans="1:18" x14ac:dyDescent="0.2">
      <c r="A192" s="57" t="s">
        <v>187</v>
      </c>
      <c r="B192" s="58" t="s">
        <v>420</v>
      </c>
      <c r="C192" s="58" t="s">
        <v>252</v>
      </c>
      <c r="D192" s="58" t="s">
        <v>461</v>
      </c>
      <c r="E192" s="59" t="s">
        <v>209</v>
      </c>
      <c r="F192" s="58" t="s">
        <v>199</v>
      </c>
      <c r="G192" s="58" t="s">
        <v>167</v>
      </c>
      <c r="H192" s="58" t="s">
        <v>11</v>
      </c>
      <c r="I192" s="58" t="s">
        <v>133</v>
      </c>
      <c r="J192" s="60">
        <v>6</v>
      </c>
      <c r="K192" s="60">
        <f t="shared" si="12"/>
        <v>4.7058823529411766</v>
      </c>
      <c r="L192" s="61">
        <f>prodnorm43</f>
        <v>0</v>
      </c>
      <c r="M192" s="58" t="s">
        <v>41</v>
      </c>
      <c r="N192" s="62">
        <f>uurtarief43</f>
        <v>0</v>
      </c>
      <c r="O192" s="60" t="e">
        <f t="shared" si="13"/>
        <v>#DIV/0!</v>
      </c>
      <c r="P192" s="62" t="e">
        <f t="shared" si="14"/>
        <v>#DIV/0!</v>
      </c>
      <c r="Q192" s="60" t="e">
        <f t="shared" si="15"/>
        <v>#DIV/0!</v>
      </c>
      <c r="R192" s="63" t="e">
        <f t="shared" si="16"/>
        <v>#DIV/0!</v>
      </c>
    </row>
    <row r="193" spans="1:18" x14ac:dyDescent="0.2">
      <c r="A193" s="57" t="s">
        <v>187</v>
      </c>
      <c r="B193" s="58" t="s">
        <v>420</v>
      </c>
      <c r="C193" s="58" t="s">
        <v>252</v>
      </c>
      <c r="D193" s="58" t="s">
        <v>462</v>
      </c>
      <c r="E193" s="59" t="s">
        <v>434</v>
      </c>
      <c r="F193" s="58" t="s">
        <v>199</v>
      </c>
      <c r="G193" s="58" t="s">
        <v>141</v>
      </c>
      <c r="H193" s="58" t="s">
        <v>11</v>
      </c>
      <c r="I193" s="58" t="s">
        <v>133</v>
      </c>
      <c r="J193" s="60">
        <v>10</v>
      </c>
      <c r="K193" s="60">
        <f t="shared" si="12"/>
        <v>7.8431372549019605</v>
      </c>
      <c r="L193" s="61">
        <f>prodnorm28</f>
        <v>0</v>
      </c>
      <c r="M193" s="58" t="s">
        <v>41</v>
      </c>
      <c r="N193" s="62">
        <f>uurtarief28</f>
        <v>0</v>
      </c>
      <c r="O193" s="60" t="e">
        <f t="shared" si="13"/>
        <v>#DIV/0!</v>
      </c>
      <c r="P193" s="62" t="e">
        <f t="shared" si="14"/>
        <v>#DIV/0!</v>
      </c>
      <c r="Q193" s="60" t="e">
        <f t="shared" si="15"/>
        <v>#DIV/0!</v>
      </c>
      <c r="R193" s="63" t="e">
        <f t="shared" si="16"/>
        <v>#DIV/0!</v>
      </c>
    </row>
    <row r="194" spans="1:18" x14ac:dyDescent="0.2">
      <c r="A194" s="57" t="s">
        <v>187</v>
      </c>
      <c r="B194" s="58" t="s">
        <v>420</v>
      </c>
      <c r="C194" s="58" t="s">
        <v>252</v>
      </c>
      <c r="D194" s="58" t="s">
        <v>463</v>
      </c>
      <c r="E194" s="59" t="s">
        <v>464</v>
      </c>
      <c r="F194" s="58" t="s">
        <v>199</v>
      </c>
      <c r="G194" s="58" t="s">
        <v>173</v>
      </c>
      <c r="H194" s="58" t="s">
        <v>12</v>
      </c>
      <c r="I194" s="58" t="s">
        <v>174</v>
      </c>
      <c r="J194" s="60">
        <v>7.5</v>
      </c>
      <c r="K194" s="60">
        <f t="shared" si="12"/>
        <v>4.7058823529411766</v>
      </c>
      <c r="L194" s="61">
        <f>prodnorm21</f>
        <v>0</v>
      </c>
      <c r="M194" s="58" t="s">
        <v>41</v>
      </c>
      <c r="N194" s="62">
        <f>uurtarief21</f>
        <v>0</v>
      </c>
      <c r="O194" s="60" t="e">
        <f t="shared" si="13"/>
        <v>#DIV/0!</v>
      </c>
      <c r="P194" s="62" t="e">
        <f t="shared" si="14"/>
        <v>#DIV/0!</v>
      </c>
      <c r="Q194" s="60" t="e">
        <f t="shared" si="15"/>
        <v>#DIV/0!</v>
      </c>
      <c r="R194" s="63" t="e">
        <f t="shared" si="16"/>
        <v>#DIV/0!</v>
      </c>
    </row>
    <row r="195" spans="1:18" x14ac:dyDescent="0.2">
      <c r="A195" s="57" t="s">
        <v>187</v>
      </c>
      <c r="B195" s="58" t="s">
        <v>420</v>
      </c>
      <c r="C195" s="58" t="s">
        <v>252</v>
      </c>
      <c r="D195" s="58" t="s">
        <v>463</v>
      </c>
      <c r="E195" s="59" t="s">
        <v>464</v>
      </c>
      <c r="F195" s="58" t="s">
        <v>199</v>
      </c>
      <c r="G195" s="58" t="s">
        <v>135</v>
      </c>
      <c r="H195" s="58" t="s">
        <v>18</v>
      </c>
      <c r="I195" s="58" t="s">
        <v>133</v>
      </c>
      <c r="J195" s="60">
        <v>7.5</v>
      </c>
      <c r="K195" s="60">
        <f t="shared" si="12"/>
        <v>1.1764705882352942</v>
      </c>
      <c r="L195" s="61">
        <f>prodnorm24</f>
        <v>0</v>
      </c>
      <c r="M195" s="58" t="s">
        <v>41</v>
      </c>
      <c r="N195" s="62">
        <f>uurtarief24</f>
        <v>0</v>
      </c>
      <c r="O195" s="60" t="e">
        <f t="shared" si="13"/>
        <v>#DIV/0!</v>
      </c>
      <c r="P195" s="62" t="e">
        <f t="shared" si="14"/>
        <v>#DIV/0!</v>
      </c>
      <c r="Q195" s="60" t="e">
        <f t="shared" si="15"/>
        <v>#DIV/0!</v>
      </c>
      <c r="R195" s="63" t="e">
        <f t="shared" si="16"/>
        <v>#DIV/0!</v>
      </c>
    </row>
    <row r="196" spans="1:18" x14ac:dyDescent="0.2">
      <c r="A196" s="57" t="s">
        <v>187</v>
      </c>
      <c r="B196" s="58" t="s">
        <v>420</v>
      </c>
      <c r="C196" s="58" t="s">
        <v>252</v>
      </c>
      <c r="D196" s="58" t="s">
        <v>465</v>
      </c>
      <c r="E196" s="59" t="s">
        <v>466</v>
      </c>
      <c r="F196" s="58" t="s">
        <v>423</v>
      </c>
      <c r="G196" s="58" t="s">
        <v>147</v>
      </c>
      <c r="H196" s="58" t="s">
        <v>11</v>
      </c>
      <c r="I196" s="58" t="s">
        <v>133</v>
      </c>
      <c r="J196" s="60">
        <v>272.7</v>
      </c>
      <c r="K196" s="60">
        <f t="shared" si="12"/>
        <v>213.88235294117646</v>
      </c>
      <c r="L196" s="61">
        <f>prodnorm32</f>
        <v>0</v>
      </c>
      <c r="M196" s="58" t="s">
        <v>41</v>
      </c>
      <c r="N196" s="62">
        <f>uurtarief32</f>
        <v>0</v>
      </c>
      <c r="O196" s="60" t="e">
        <f t="shared" si="13"/>
        <v>#DIV/0!</v>
      </c>
      <c r="P196" s="62" t="e">
        <f t="shared" si="14"/>
        <v>#DIV/0!</v>
      </c>
      <c r="Q196" s="60" t="e">
        <f t="shared" si="15"/>
        <v>#DIV/0!</v>
      </c>
      <c r="R196" s="63" t="e">
        <f t="shared" si="16"/>
        <v>#DIV/0!</v>
      </c>
    </row>
    <row r="197" spans="1:18" x14ac:dyDescent="0.2">
      <c r="A197" s="57" t="s">
        <v>187</v>
      </c>
      <c r="B197" s="58" t="s">
        <v>420</v>
      </c>
      <c r="C197" s="58" t="s">
        <v>299</v>
      </c>
      <c r="D197" s="58" t="s">
        <v>467</v>
      </c>
      <c r="E197" s="59" t="s">
        <v>207</v>
      </c>
      <c r="F197" s="58" t="s">
        <v>199</v>
      </c>
      <c r="G197" s="58" t="s">
        <v>171</v>
      </c>
      <c r="H197" s="58" t="s">
        <v>11</v>
      </c>
      <c r="I197" s="58" t="s">
        <v>133</v>
      </c>
      <c r="J197" s="60">
        <v>13.1</v>
      </c>
      <c r="K197" s="60">
        <f t="shared" ref="K197:K206" si="17">J197*VLOOKUP(H197,dagsoorttabel1,2,FALSE)</f>
        <v>10.274509803921568</v>
      </c>
      <c r="L197" s="61">
        <f>prodnorm45</f>
        <v>0</v>
      </c>
      <c r="M197" s="58" t="s">
        <v>41</v>
      </c>
      <c r="N197" s="62">
        <f>uurtarief45</f>
        <v>0</v>
      </c>
      <c r="O197" s="60" t="e">
        <f t="shared" ref="O197:O206" si="18">IF(ISBLANK(L197),0,K197/ROUND(L197,4))</f>
        <v>#DIV/0!</v>
      </c>
      <c r="P197" s="62" t="e">
        <f t="shared" ref="P197:P206" si="19">ROUND(N197,2)*O197</f>
        <v>#DIV/0!</v>
      </c>
      <c r="Q197" s="60" t="e">
        <f t="shared" ref="Q197:Q206" si="20">O197*dagenperjaar1</f>
        <v>#DIV/0!</v>
      </c>
      <c r="R197" s="63" t="e">
        <f t="shared" ref="R197:R206" si="21">Q197*ROUND(N197,2)</f>
        <v>#DIV/0!</v>
      </c>
    </row>
    <row r="198" spans="1:18" x14ac:dyDescent="0.2">
      <c r="A198" s="57" t="s">
        <v>187</v>
      </c>
      <c r="B198" s="58" t="s">
        <v>420</v>
      </c>
      <c r="C198" s="58" t="s">
        <v>299</v>
      </c>
      <c r="D198" s="58" t="s">
        <v>468</v>
      </c>
      <c r="E198" s="59" t="s">
        <v>469</v>
      </c>
      <c r="F198" s="58" t="s">
        <v>192</v>
      </c>
      <c r="G198" s="58" t="s">
        <v>153</v>
      </c>
      <c r="H198" s="58" t="s">
        <v>11</v>
      </c>
      <c r="I198" s="58" t="s">
        <v>133</v>
      </c>
      <c r="J198" s="60">
        <v>80.8</v>
      </c>
      <c r="K198" s="60">
        <f t="shared" si="17"/>
        <v>63.372549019607838</v>
      </c>
      <c r="L198" s="61">
        <f>prodnorm36</f>
        <v>0</v>
      </c>
      <c r="M198" s="58" t="s">
        <v>41</v>
      </c>
      <c r="N198" s="62">
        <f>uurtarief36</f>
        <v>0</v>
      </c>
      <c r="O198" s="60" t="e">
        <f t="shared" si="18"/>
        <v>#DIV/0!</v>
      </c>
      <c r="P198" s="62" t="e">
        <f t="shared" si="19"/>
        <v>#DIV/0!</v>
      </c>
      <c r="Q198" s="60" t="e">
        <f t="shared" si="20"/>
        <v>#DIV/0!</v>
      </c>
      <c r="R198" s="63" t="e">
        <f t="shared" si="21"/>
        <v>#DIV/0!</v>
      </c>
    </row>
    <row r="199" spans="1:18" x14ac:dyDescent="0.2">
      <c r="A199" s="57" t="s">
        <v>187</v>
      </c>
      <c r="B199" s="58" t="s">
        <v>420</v>
      </c>
      <c r="C199" s="58" t="s">
        <v>299</v>
      </c>
      <c r="D199" s="58" t="s">
        <v>470</v>
      </c>
      <c r="E199" s="59" t="s">
        <v>471</v>
      </c>
      <c r="F199" s="58" t="s">
        <v>192</v>
      </c>
      <c r="G199" s="58" t="s">
        <v>153</v>
      </c>
      <c r="H199" s="58" t="s">
        <v>11</v>
      </c>
      <c r="I199" s="58" t="s">
        <v>133</v>
      </c>
      <c r="J199" s="60">
        <v>48</v>
      </c>
      <c r="K199" s="60">
        <f t="shared" si="17"/>
        <v>37.647058823529413</v>
      </c>
      <c r="L199" s="61">
        <f>prodnorm36</f>
        <v>0</v>
      </c>
      <c r="M199" s="58" t="s">
        <v>41</v>
      </c>
      <c r="N199" s="62">
        <f>uurtarief36</f>
        <v>0</v>
      </c>
      <c r="O199" s="60" t="e">
        <f t="shared" si="18"/>
        <v>#DIV/0!</v>
      </c>
      <c r="P199" s="62" t="e">
        <f t="shared" si="19"/>
        <v>#DIV/0!</v>
      </c>
      <c r="Q199" s="60" t="e">
        <f t="shared" si="20"/>
        <v>#DIV/0!</v>
      </c>
      <c r="R199" s="63" t="e">
        <f t="shared" si="21"/>
        <v>#DIV/0!</v>
      </c>
    </row>
    <row r="200" spans="1:18" x14ac:dyDescent="0.2">
      <c r="A200" s="57" t="s">
        <v>187</v>
      </c>
      <c r="B200" s="58" t="s">
        <v>420</v>
      </c>
      <c r="C200" s="58" t="s">
        <v>299</v>
      </c>
      <c r="D200" s="58" t="s">
        <v>472</v>
      </c>
      <c r="E200" s="59" t="s">
        <v>209</v>
      </c>
      <c r="F200" s="58" t="s">
        <v>199</v>
      </c>
      <c r="G200" s="58" t="s">
        <v>167</v>
      </c>
      <c r="H200" s="58" t="s">
        <v>11</v>
      </c>
      <c r="I200" s="58" t="s">
        <v>133</v>
      </c>
      <c r="J200" s="60">
        <v>6</v>
      </c>
      <c r="K200" s="60">
        <f t="shared" si="17"/>
        <v>4.7058823529411766</v>
      </c>
      <c r="L200" s="61">
        <f>prodnorm43</f>
        <v>0</v>
      </c>
      <c r="M200" s="58" t="s">
        <v>41</v>
      </c>
      <c r="N200" s="62">
        <f>uurtarief43</f>
        <v>0</v>
      </c>
      <c r="O200" s="60" t="e">
        <f t="shared" si="18"/>
        <v>#DIV/0!</v>
      </c>
      <c r="P200" s="62" t="e">
        <f t="shared" si="19"/>
        <v>#DIV/0!</v>
      </c>
      <c r="Q200" s="60" t="e">
        <f t="shared" si="20"/>
        <v>#DIV/0!</v>
      </c>
      <c r="R200" s="63" t="e">
        <f t="shared" si="21"/>
        <v>#DIV/0!</v>
      </c>
    </row>
    <row r="201" spans="1:18" x14ac:dyDescent="0.2">
      <c r="A201" s="57" t="s">
        <v>187</v>
      </c>
      <c r="B201" s="58" t="s">
        <v>420</v>
      </c>
      <c r="C201" s="58" t="s">
        <v>299</v>
      </c>
      <c r="D201" s="58" t="s">
        <v>473</v>
      </c>
      <c r="E201" s="59" t="s">
        <v>209</v>
      </c>
      <c r="F201" s="58" t="s">
        <v>199</v>
      </c>
      <c r="G201" s="58" t="s">
        <v>167</v>
      </c>
      <c r="H201" s="58" t="s">
        <v>11</v>
      </c>
      <c r="I201" s="58" t="s">
        <v>133</v>
      </c>
      <c r="J201" s="60">
        <v>6</v>
      </c>
      <c r="K201" s="60">
        <f t="shared" si="17"/>
        <v>4.7058823529411766</v>
      </c>
      <c r="L201" s="61">
        <f>prodnorm43</f>
        <v>0</v>
      </c>
      <c r="M201" s="58" t="s">
        <v>41</v>
      </c>
      <c r="N201" s="62">
        <f>uurtarief43</f>
        <v>0</v>
      </c>
      <c r="O201" s="60" t="e">
        <f t="shared" si="18"/>
        <v>#DIV/0!</v>
      </c>
      <c r="P201" s="62" t="e">
        <f t="shared" si="19"/>
        <v>#DIV/0!</v>
      </c>
      <c r="Q201" s="60" t="e">
        <f t="shared" si="20"/>
        <v>#DIV/0!</v>
      </c>
      <c r="R201" s="63" t="e">
        <f t="shared" si="21"/>
        <v>#DIV/0!</v>
      </c>
    </row>
    <row r="202" spans="1:18" x14ac:dyDescent="0.2">
      <c r="A202" s="57" t="s">
        <v>187</v>
      </c>
      <c r="B202" s="58" t="s">
        <v>420</v>
      </c>
      <c r="C202" s="58" t="s">
        <v>299</v>
      </c>
      <c r="D202" s="58" t="s">
        <v>474</v>
      </c>
      <c r="E202" s="59" t="s">
        <v>475</v>
      </c>
      <c r="F202" s="58" t="s">
        <v>192</v>
      </c>
      <c r="G202" s="58" t="s">
        <v>153</v>
      </c>
      <c r="H202" s="58" t="s">
        <v>11</v>
      </c>
      <c r="I202" s="58" t="s">
        <v>133</v>
      </c>
      <c r="J202" s="60">
        <v>16</v>
      </c>
      <c r="K202" s="60">
        <f t="shared" si="17"/>
        <v>12.549019607843137</v>
      </c>
      <c r="L202" s="61">
        <f>prodnorm36</f>
        <v>0</v>
      </c>
      <c r="M202" s="58" t="s">
        <v>41</v>
      </c>
      <c r="N202" s="62">
        <f>uurtarief36</f>
        <v>0</v>
      </c>
      <c r="O202" s="60" t="e">
        <f t="shared" si="18"/>
        <v>#DIV/0!</v>
      </c>
      <c r="P202" s="62" t="e">
        <f t="shared" si="19"/>
        <v>#DIV/0!</v>
      </c>
      <c r="Q202" s="60" t="e">
        <f t="shared" si="20"/>
        <v>#DIV/0!</v>
      </c>
      <c r="R202" s="63" t="e">
        <f t="shared" si="21"/>
        <v>#DIV/0!</v>
      </c>
    </row>
    <row r="203" spans="1:18" x14ac:dyDescent="0.2">
      <c r="A203" s="57" t="s">
        <v>187</v>
      </c>
      <c r="B203" s="58" t="s">
        <v>420</v>
      </c>
      <c r="C203" s="58" t="s">
        <v>299</v>
      </c>
      <c r="D203" s="58" t="s">
        <v>476</v>
      </c>
      <c r="E203" s="59" t="s">
        <v>477</v>
      </c>
      <c r="F203" s="58" t="s">
        <v>192</v>
      </c>
      <c r="G203" s="58" t="s">
        <v>153</v>
      </c>
      <c r="H203" s="58" t="s">
        <v>11</v>
      </c>
      <c r="I203" s="58" t="s">
        <v>133</v>
      </c>
      <c r="J203" s="60">
        <v>8.8000000000000007</v>
      </c>
      <c r="K203" s="60">
        <f t="shared" si="17"/>
        <v>6.9019607843137258</v>
      </c>
      <c r="L203" s="61">
        <f>prodnorm36</f>
        <v>0</v>
      </c>
      <c r="M203" s="58" t="s">
        <v>41</v>
      </c>
      <c r="N203" s="62">
        <f>uurtarief36</f>
        <v>0</v>
      </c>
      <c r="O203" s="60" t="e">
        <f t="shared" si="18"/>
        <v>#DIV/0!</v>
      </c>
      <c r="P203" s="62" t="e">
        <f t="shared" si="19"/>
        <v>#DIV/0!</v>
      </c>
      <c r="Q203" s="60" t="e">
        <f t="shared" si="20"/>
        <v>#DIV/0!</v>
      </c>
      <c r="R203" s="63" t="e">
        <f t="shared" si="21"/>
        <v>#DIV/0!</v>
      </c>
    </row>
    <row r="204" spans="1:18" x14ac:dyDescent="0.2">
      <c r="A204" s="57" t="s">
        <v>187</v>
      </c>
      <c r="B204" s="58" t="s">
        <v>420</v>
      </c>
      <c r="C204" s="58" t="s">
        <v>299</v>
      </c>
      <c r="D204" s="58" t="s">
        <v>478</v>
      </c>
      <c r="E204" s="59" t="s">
        <v>479</v>
      </c>
      <c r="F204" s="58" t="s">
        <v>192</v>
      </c>
      <c r="G204" s="58" t="s">
        <v>153</v>
      </c>
      <c r="H204" s="58" t="s">
        <v>11</v>
      </c>
      <c r="I204" s="58" t="s">
        <v>133</v>
      </c>
      <c r="J204" s="60">
        <v>8.8000000000000007</v>
      </c>
      <c r="K204" s="60">
        <f t="shared" si="17"/>
        <v>6.9019607843137258</v>
      </c>
      <c r="L204" s="61">
        <f>prodnorm36</f>
        <v>0</v>
      </c>
      <c r="M204" s="58" t="s">
        <v>41</v>
      </c>
      <c r="N204" s="62">
        <f>uurtarief36</f>
        <v>0</v>
      </c>
      <c r="O204" s="60" t="e">
        <f t="shared" si="18"/>
        <v>#DIV/0!</v>
      </c>
      <c r="P204" s="62" t="e">
        <f t="shared" si="19"/>
        <v>#DIV/0!</v>
      </c>
      <c r="Q204" s="60" t="e">
        <f t="shared" si="20"/>
        <v>#DIV/0!</v>
      </c>
      <c r="R204" s="63" t="e">
        <f t="shared" si="21"/>
        <v>#DIV/0!</v>
      </c>
    </row>
    <row r="205" spans="1:18" x14ac:dyDescent="0.2">
      <c r="A205" s="57" t="s">
        <v>187</v>
      </c>
      <c r="B205" s="58" t="s">
        <v>420</v>
      </c>
      <c r="C205" s="58" t="s">
        <v>299</v>
      </c>
      <c r="D205" s="58" t="s">
        <v>480</v>
      </c>
      <c r="E205" s="59" t="s">
        <v>481</v>
      </c>
      <c r="F205" s="58" t="s">
        <v>192</v>
      </c>
      <c r="G205" s="58" t="s">
        <v>153</v>
      </c>
      <c r="H205" s="58" t="s">
        <v>11</v>
      </c>
      <c r="I205" s="58" t="s">
        <v>133</v>
      </c>
      <c r="J205" s="60">
        <v>8.8000000000000007</v>
      </c>
      <c r="K205" s="60">
        <f t="shared" si="17"/>
        <v>6.9019607843137258</v>
      </c>
      <c r="L205" s="61">
        <f>prodnorm36</f>
        <v>0</v>
      </c>
      <c r="M205" s="58" t="s">
        <v>41</v>
      </c>
      <c r="N205" s="62">
        <f>uurtarief36</f>
        <v>0</v>
      </c>
      <c r="O205" s="60" t="e">
        <f t="shared" si="18"/>
        <v>#DIV/0!</v>
      </c>
      <c r="P205" s="62" t="e">
        <f t="shared" si="19"/>
        <v>#DIV/0!</v>
      </c>
      <c r="Q205" s="60" t="e">
        <f t="shared" si="20"/>
        <v>#DIV/0!</v>
      </c>
      <c r="R205" s="63" t="e">
        <f t="shared" si="21"/>
        <v>#DIV/0!</v>
      </c>
    </row>
    <row r="206" spans="1:18" x14ac:dyDescent="0.2">
      <c r="A206" s="64" t="s">
        <v>187</v>
      </c>
      <c r="B206" s="65" t="s">
        <v>420</v>
      </c>
      <c r="C206" s="65" t="s">
        <v>299</v>
      </c>
      <c r="D206" s="65" t="s">
        <v>482</v>
      </c>
      <c r="E206" s="66" t="s">
        <v>483</v>
      </c>
      <c r="F206" s="65" t="s">
        <v>192</v>
      </c>
      <c r="G206" s="65" t="s">
        <v>153</v>
      </c>
      <c r="H206" s="65" t="s">
        <v>11</v>
      </c>
      <c r="I206" s="65" t="s">
        <v>133</v>
      </c>
      <c r="J206" s="67">
        <v>16.2</v>
      </c>
      <c r="K206" s="67">
        <f t="shared" si="17"/>
        <v>12.705882352941176</v>
      </c>
      <c r="L206" s="68">
        <f>prodnorm36</f>
        <v>0</v>
      </c>
      <c r="M206" s="65" t="s">
        <v>41</v>
      </c>
      <c r="N206" s="69">
        <f>uurtarief36</f>
        <v>0</v>
      </c>
      <c r="O206" s="67" t="e">
        <f t="shared" si="18"/>
        <v>#DIV/0!</v>
      </c>
      <c r="P206" s="69" t="e">
        <f t="shared" si="19"/>
        <v>#DIV/0!</v>
      </c>
      <c r="Q206" s="67" t="e">
        <f t="shared" si="20"/>
        <v>#DIV/0!</v>
      </c>
      <c r="R206" s="70" t="e">
        <f t="shared" si="21"/>
        <v>#DIV/0!</v>
      </c>
    </row>
    <row r="207" spans="1:18" x14ac:dyDescent="0.2">
      <c r="A207" s="71" t="s">
        <v>484</v>
      </c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3">
        <f>IF(_xlfn.SINGLE(object1_urenjaar1)&gt;0,_xlfn.SINGLE(object1_prijsjaar1)/_xlfn.SINGLE(object1_urenjaar1),0)</f>
        <v>0</v>
      </c>
      <c r="O207" s="42" t="e">
        <f>SUM(O5:O206)</f>
        <v>#DIV/0!</v>
      </c>
      <c r="P207" s="43" t="e">
        <f>SUM(P5:P206)</f>
        <v>#DIV/0!</v>
      </c>
      <c r="Q207" s="42" t="e">
        <f>SUM(Q5:Q206)</f>
        <v>#DIV/0!</v>
      </c>
      <c r="R207" s="44" t="e">
        <f>SUM(R5:R206)</f>
        <v>#DIV/0!</v>
      </c>
    </row>
    <row r="208" spans="1:18" x14ac:dyDescent="0.2">
      <c r="A208" s="49" t="s">
        <v>485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39"/>
    </row>
    <row r="209" spans="1:18" x14ac:dyDescent="0.2">
      <c r="A209" s="50" t="s">
        <v>486</v>
      </c>
      <c r="B209" s="51" t="s">
        <v>188</v>
      </c>
      <c r="C209" s="51" t="s">
        <v>193</v>
      </c>
      <c r="D209" s="51" t="s">
        <v>487</v>
      </c>
      <c r="E209" s="52" t="s">
        <v>488</v>
      </c>
      <c r="F209" s="51" t="s">
        <v>489</v>
      </c>
      <c r="G209" s="51" t="s">
        <v>135</v>
      </c>
      <c r="H209" s="51" t="s">
        <v>18</v>
      </c>
      <c r="I209" s="51" t="s">
        <v>133</v>
      </c>
      <c r="J209" s="53">
        <v>19.2</v>
      </c>
      <c r="K209" s="53">
        <f t="shared" ref="K209:K240" si="22">J209*VLOOKUP(H209,dagsoorttabel1,2,FALSE)</f>
        <v>3.0117647058823529</v>
      </c>
      <c r="L209" s="54">
        <f>prodnorm24</f>
        <v>0</v>
      </c>
      <c r="M209" s="51" t="s">
        <v>41</v>
      </c>
      <c r="N209" s="55">
        <f>uurtarief24</f>
        <v>0</v>
      </c>
      <c r="O209" s="53" t="e">
        <f t="shared" ref="O209:O240" si="23">IF(ISBLANK(L209),0,K209/ROUND(L209,4))</f>
        <v>#DIV/0!</v>
      </c>
      <c r="P209" s="55" t="e">
        <f t="shared" ref="P209:P240" si="24">ROUND(N209,2)*O209</f>
        <v>#DIV/0!</v>
      </c>
      <c r="Q209" s="53" t="e">
        <f t="shared" ref="Q209:Q240" si="25">O209*dagenperjaar1</f>
        <v>#DIV/0!</v>
      </c>
      <c r="R209" s="56" t="e">
        <f t="shared" ref="R209:R240" si="26">Q209*ROUND(N209,2)</f>
        <v>#DIV/0!</v>
      </c>
    </row>
    <row r="210" spans="1:18" x14ac:dyDescent="0.2">
      <c r="A210" s="57" t="s">
        <v>486</v>
      </c>
      <c r="B210" s="58" t="s">
        <v>188</v>
      </c>
      <c r="C210" s="58" t="s">
        <v>193</v>
      </c>
      <c r="D210" s="58" t="s">
        <v>490</v>
      </c>
      <c r="E210" s="59" t="s">
        <v>491</v>
      </c>
      <c r="F210" s="58" t="s">
        <v>489</v>
      </c>
      <c r="G210" s="58" t="s">
        <v>173</v>
      </c>
      <c r="H210" s="58" t="s">
        <v>12</v>
      </c>
      <c r="I210" s="58" t="s">
        <v>174</v>
      </c>
      <c r="J210" s="60">
        <v>19.2</v>
      </c>
      <c r="K210" s="60">
        <f t="shared" si="22"/>
        <v>12.047058823529412</v>
      </c>
      <c r="L210" s="61">
        <f>prodnorm21</f>
        <v>0</v>
      </c>
      <c r="M210" s="58" t="s">
        <v>41</v>
      </c>
      <c r="N210" s="62">
        <f>uurtarief21</f>
        <v>0</v>
      </c>
      <c r="O210" s="60" t="e">
        <f t="shared" si="23"/>
        <v>#DIV/0!</v>
      </c>
      <c r="P210" s="62" t="e">
        <f t="shared" si="24"/>
        <v>#DIV/0!</v>
      </c>
      <c r="Q210" s="60" t="e">
        <f t="shared" si="25"/>
        <v>#DIV/0!</v>
      </c>
      <c r="R210" s="63" t="e">
        <f t="shared" si="26"/>
        <v>#DIV/0!</v>
      </c>
    </row>
    <row r="211" spans="1:18" x14ac:dyDescent="0.2">
      <c r="A211" s="57" t="s">
        <v>486</v>
      </c>
      <c r="B211" s="58" t="s">
        <v>188</v>
      </c>
      <c r="C211" s="58" t="s">
        <v>193</v>
      </c>
      <c r="D211" s="58" t="s">
        <v>490</v>
      </c>
      <c r="E211" s="59" t="s">
        <v>491</v>
      </c>
      <c r="F211" s="58" t="s">
        <v>489</v>
      </c>
      <c r="G211" s="58" t="s">
        <v>135</v>
      </c>
      <c r="H211" s="58" t="s">
        <v>18</v>
      </c>
      <c r="I211" s="58" t="s">
        <v>133</v>
      </c>
      <c r="J211" s="60">
        <v>19.2</v>
      </c>
      <c r="K211" s="60">
        <f t="shared" si="22"/>
        <v>3.0117647058823529</v>
      </c>
      <c r="L211" s="61">
        <f>prodnorm24</f>
        <v>0</v>
      </c>
      <c r="M211" s="58" t="s">
        <v>41</v>
      </c>
      <c r="N211" s="62">
        <f>uurtarief24</f>
        <v>0</v>
      </c>
      <c r="O211" s="60" t="e">
        <f t="shared" si="23"/>
        <v>#DIV/0!</v>
      </c>
      <c r="P211" s="62" t="e">
        <f t="shared" si="24"/>
        <v>#DIV/0!</v>
      </c>
      <c r="Q211" s="60" t="e">
        <f t="shared" si="25"/>
        <v>#DIV/0!</v>
      </c>
      <c r="R211" s="63" t="e">
        <f t="shared" si="26"/>
        <v>#DIV/0!</v>
      </c>
    </row>
    <row r="212" spans="1:18" x14ac:dyDescent="0.2">
      <c r="A212" s="57" t="s">
        <v>486</v>
      </c>
      <c r="B212" s="58" t="s">
        <v>188</v>
      </c>
      <c r="C212" s="58" t="s">
        <v>193</v>
      </c>
      <c r="D212" s="58" t="s">
        <v>492</v>
      </c>
      <c r="E212" s="59" t="s">
        <v>493</v>
      </c>
      <c r="F212" s="58" t="s">
        <v>494</v>
      </c>
      <c r="G212" s="58" t="s">
        <v>171</v>
      </c>
      <c r="H212" s="58" t="s">
        <v>11</v>
      </c>
      <c r="I212" s="58" t="s">
        <v>133</v>
      </c>
      <c r="J212" s="60">
        <v>10.8</v>
      </c>
      <c r="K212" s="60">
        <f t="shared" si="22"/>
        <v>8.4705882352941178</v>
      </c>
      <c r="L212" s="61">
        <f>prodnorm45</f>
        <v>0</v>
      </c>
      <c r="M212" s="58" t="s">
        <v>41</v>
      </c>
      <c r="N212" s="62">
        <f>uurtarief45</f>
        <v>0</v>
      </c>
      <c r="O212" s="60" t="e">
        <f t="shared" si="23"/>
        <v>#DIV/0!</v>
      </c>
      <c r="P212" s="62" t="e">
        <f t="shared" si="24"/>
        <v>#DIV/0!</v>
      </c>
      <c r="Q212" s="60" t="e">
        <f t="shared" si="25"/>
        <v>#DIV/0!</v>
      </c>
      <c r="R212" s="63" t="e">
        <f t="shared" si="26"/>
        <v>#DIV/0!</v>
      </c>
    </row>
    <row r="213" spans="1:18" x14ac:dyDescent="0.2">
      <c r="A213" s="57" t="s">
        <v>486</v>
      </c>
      <c r="B213" s="58" t="s">
        <v>188</v>
      </c>
      <c r="C213" s="58" t="s">
        <v>193</v>
      </c>
      <c r="D213" s="58" t="s">
        <v>495</v>
      </c>
      <c r="E213" s="59" t="s">
        <v>491</v>
      </c>
      <c r="F213" s="58" t="s">
        <v>494</v>
      </c>
      <c r="G213" s="58" t="s">
        <v>173</v>
      </c>
      <c r="H213" s="58" t="s">
        <v>12</v>
      </c>
      <c r="I213" s="58" t="s">
        <v>174</v>
      </c>
      <c r="J213" s="60">
        <v>38.4</v>
      </c>
      <c r="K213" s="60">
        <f t="shared" si="22"/>
        <v>24.094117647058823</v>
      </c>
      <c r="L213" s="61">
        <f>prodnorm21</f>
        <v>0</v>
      </c>
      <c r="M213" s="58" t="s">
        <v>41</v>
      </c>
      <c r="N213" s="62">
        <f>uurtarief21</f>
        <v>0</v>
      </c>
      <c r="O213" s="60" t="e">
        <f t="shared" si="23"/>
        <v>#DIV/0!</v>
      </c>
      <c r="P213" s="62" t="e">
        <f t="shared" si="24"/>
        <v>#DIV/0!</v>
      </c>
      <c r="Q213" s="60" t="e">
        <f t="shared" si="25"/>
        <v>#DIV/0!</v>
      </c>
      <c r="R213" s="63" t="e">
        <f t="shared" si="26"/>
        <v>#DIV/0!</v>
      </c>
    </row>
    <row r="214" spans="1:18" x14ac:dyDescent="0.2">
      <c r="A214" s="57" t="s">
        <v>486</v>
      </c>
      <c r="B214" s="58" t="s">
        <v>188</v>
      </c>
      <c r="C214" s="58" t="s">
        <v>193</v>
      </c>
      <c r="D214" s="58" t="s">
        <v>495</v>
      </c>
      <c r="E214" s="59" t="s">
        <v>491</v>
      </c>
      <c r="F214" s="58" t="s">
        <v>494</v>
      </c>
      <c r="G214" s="58" t="s">
        <v>135</v>
      </c>
      <c r="H214" s="58" t="s">
        <v>18</v>
      </c>
      <c r="I214" s="58" t="s">
        <v>133</v>
      </c>
      <c r="J214" s="60">
        <v>38.4</v>
      </c>
      <c r="K214" s="60">
        <f t="shared" si="22"/>
        <v>6.0235294117647058</v>
      </c>
      <c r="L214" s="61">
        <f>prodnorm24</f>
        <v>0</v>
      </c>
      <c r="M214" s="58" t="s">
        <v>41</v>
      </c>
      <c r="N214" s="62">
        <f>uurtarief24</f>
        <v>0</v>
      </c>
      <c r="O214" s="60" t="e">
        <f t="shared" si="23"/>
        <v>#DIV/0!</v>
      </c>
      <c r="P214" s="62" t="e">
        <f t="shared" si="24"/>
        <v>#DIV/0!</v>
      </c>
      <c r="Q214" s="60" t="e">
        <f t="shared" si="25"/>
        <v>#DIV/0!</v>
      </c>
      <c r="R214" s="63" t="e">
        <f t="shared" si="26"/>
        <v>#DIV/0!</v>
      </c>
    </row>
    <row r="215" spans="1:18" x14ac:dyDescent="0.2">
      <c r="A215" s="57" t="s">
        <v>486</v>
      </c>
      <c r="B215" s="58" t="s">
        <v>188</v>
      </c>
      <c r="C215" s="58" t="s">
        <v>193</v>
      </c>
      <c r="D215" s="58" t="s">
        <v>496</v>
      </c>
      <c r="E215" s="59" t="s">
        <v>491</v>
      </c>
      <c r="F215" s="58" t="s">
        <v>497</v>
      </c>
      <c r="G215" s="58" t="s">
        <v>173</v>
      </c>
      <c r="H215" s="58" t="s">
        <v>12</v>
      </c>
      <c r="I215" s="58" t="s">
        <v>174</v>
      </c>
      <c r="J215" s="60">
        <v>19.2</v>
      </c>
      <c r="K215" s="60">
        <f t="shared" si="22"/>
        <v>12.047058823529412</v>
      </c>
      <c r="L215" s="61">
        <f>prodnorm21</f>
        <v>0</v>
      </c>
      <c r="M215" s="58" t="s">
        <v>41</v>
      </c>
      <c r="N215" s="62">
        <f>uurtarief21</f>
        <v>0</v>
      </c>
      <c r="O215" s="60" t="e">
        <f t="shared" si="23"/>
        <v>#DIV/0!</v>
      </c>
      <c r="P215" s="62" t="e">
        <f t="shared" si="24"/>
        <v>#DIV/0!</v>
      </c>
      <c r="Q215" s="60" t="e">
        <f t="shared" si="25"/>
        <v>#DIV/0!</v>
      </c>
      <c r="R215" s="63" t="e">
        <f t="shared" si="26"/>
        <v>#DIV/0!</v>
      </c>
    </row>
    <row r="216" spans="1:18" x14ac:dyDescent="0.2">
      <c r="A216" s="57" t="s">
        <v>486</v>
      </c>
      <c r="B216" s="58" t="s">
        <v>188</v>
      </c>
      <c r="C216" s="58" t="s">
        <v>193</v>
      </c>
      <c r="D216" s="58" t="s">
        <v>496</v>
      </c>
      <c r="E216" s="59" t="s">
        <v>491</v>
      </c>
      <c r="F216" s="58" t="s">
        <v>497</v>
      </c>
      <c r="G216" s="58" t="s">
        <v>137</v>
      </c>
      <c r="H216" s="58" t="s">
        <v>18</v>
      </c>
      <c r="I216" s="58" t="s">
        <v>133</v>
      </c>
      <c r="J216" s="60">
        <v>19.2</v>
      </c>
      <c r="K216" s="60">
        <f t="shared" si="22"/>
        <v>3.0117647058823529</v>
      </c>
      <c r="L216" s="61">
        <f>prodnorm26</f>
        <v>0</v>
      </c>
      <c r="M216" s="58" t="s">
        <v>41</v>
      </c>
      <c r="N216" s="62">
        <f>uurtarief26</f>
        <v>0</v>
      </c>
      <c r="O216" s="60" t="e">
        <f t="shared" si="23"/>
        <v>#DIV/0!</v>
      </c>
      <c r="P216" s="62" t="e">
        <f t="shared" si="24"/>
        <v>#DIV/0!</v>
      </c>
      <c r="Q216" s="60" t="e">
        <f t="shared" si="25"/>
        <v>#DIV/0!</v>
      </c>
      <c r="R216" s="63" t="e">
        <f t="shared" si="26"/>
        <v>#DIV/0!</v>
      </c>
    </row>
    <row r="217" spans="1:18" x14ac:dyDescent="0.2">
      <c r="A217" s="57" t="s">
        <v>486</v>
      </c>
      <c r="B217" s="58" t="s">
        <v>188</v>
      </c>
      <c r="C217" s="58" t="s">
        <v>193</v>
      </c>
      <c r="D217" s="58" t="s">
        <v>498</v>
      </c>
      <c r="E217" s="59" t="s">
        <v>491</v>
      </c>
      <c r="F217" s="58" t="s">
        <v>497</v>
      </c>
      <c r="G217" s="58" t="s">
        <v>173</v>
      </c>
      <c r="H217" s="58" t="s">
        <v>12</v>
      </c>
      <c r="I217" s="58" t="s">
        <v>174</v>
      </c>
      <c r="J217" s="60">
        <v>19.2</v>
      </c>
      <c r="K217" s="60">
        <f t="shared" si="22"/>
        <v>12.047058823529412</v>
      </c>
      <c r="L217" s="61">
        <f>prodnorm21</f>
        <v>0</v>
      </c>
      <c r="M217" s="58" t="s">
        <v>41</v>
      </c>
      <c r="N217" s="62">
        <f>uurtarief21</f>
        <v>0</v>
      </c>
      <c r="O217" s="60" t="e">
        <f t="shared" si="23"/>
        <v>#DIV/0!</v>
      </c>
      <c r="P217" s="62" t="e">
        <f t="shared" si="24"/>
        <v>#DIV/0!</v>
      </c>
      <c r="Q217" s="60" t="e">
        <f t="shared" si="25"/>
        <v>#DIV/0!</v>
      </c>
      <c r="R217" s="63" t="e">
        <f t="shared" si="26"/>
        <v>#DIV/0!</v>
      </c>
    </row>
    <row r="218" spans="1:18" x14ac:dyDescent="0.2">
      <c r="A218" s="57" t="s">
        <v>486</v>
      </c>
      <c r="B218" s="58" t="s">
        <v>188</v>
      </c>
      <c r="C218" s="58" t="s">
        <v>193</v>
      </c>
      <c r="D218" s="58" t="s">
        <v>498</v>
      </c>
      <c r="E218" s="59" t="s">
        <v>491</v>
      </c>
      <c r="F218" s="58" t="s">
        <v>497</v>
      </c>
      <c r="G218" s="58" t="s">
        <v>137</v>
      </c>
      <c r="H218" s="58" t="s">
        <v>18</v>
      </c>
      <c r="I218" s="58" t="s">
        <v>133</v>
      </c>
      <c r="J218" s="60">
        <v>19.2</v>
      </c>
      <c r="K218" s="60">
        <f t="shared" si="22"/>
        <v>3.0117647058823529</v>
      </c>
      <c r="L218" s="61">
        <f>prodnorm26</f>
        <v>0</v>
      </c>
      <c r="M218" s="58" t="s">
        <v>41</v>
      </c>
      <c r="N218" s="62">
        <f>uurtarief26</f>
        <v>0</v>
      </c>
      <c r="O218" s="60" t="e">
        <f t="shared" si="23"/>
        <v>#DIV/0!</v>
      </c>
      <c r="P218" s="62" t="e">
        <f t="shared" si="24"/>
        <v>#DIV/0!</v>
      </c>
      <c r="Q218" s="60" t="e">
        <f t="shared" si="25"/>
        <v>#DIV/0!</v>
      </c>
      <c r="R218" s="63" t="e">
        <f t="shared" si="26"/>
        <v>#DIV/0!</v>
      </c>
    </row>
    <row r="219" spans="1:18" x14ac:dyDescent="0.2">
      <c r="A219" s="57" t="s">
        <v>486</v>
      </c>
      <c r="B219" s="58" t="s">
        <v>188</v>
      </c>
      <c r="C219" s="58" t="s">
        <v>193</v>
      </c>
      <c r="D219" s="58" t="s">
        <v>499</v>
      </c>
      <c r="E219" s="59" t="s">
        <v>500</v>
      </c>
      <c r="F219" s="58" t="s">
        <v>494</v>
      </c>
      <c r="G219" s="58" t="s">
        <v>171</v>
      </c>
      <c r="H219" s="58" t="s">
        <v>11</v>
      </c>
      <c r="I219" s="58" t="s">
        <v>133</v>
      </c>
      <c r="J219" s="60">
        <v>65</v>
      </c>
      <c r="K219" s="60">
        <f t="shared" si="22"/>
        <v>50.980392156862742</v>
      </c>
      <c r="L219" s="61">
        <f>prodnorm45</f>
        <v>0</v>
      </c>
      <c r="M219" s="58" t="s">
        <v>41</v>
      </c>
      <c r="N219" s="62">
        <f>uurtarief45</f>
        <v>0</v>
      </c>
      <c r="O219" s="60" t="e">
        <f t="shared" si="23"/>
        <v>#DIV/0!</v>
      </c>
      <c r="P219" s="62" t="e">
        <f t="shared" si="24"/>
        <v>#DIV/0!</v>
      </c>
      <c r="Q219" s="60" t="e">
        <f t="shared" si="25"/>
        <v>#DIV/0!</v>
      </c>
      <c r="R219" s="63" t="e">
        <f t="shared" si="26"/>
        <v>#DIV/0!</v>
      </c>
    </row>
    <row r="220" spans="1:18" x14ac:dyDescent="0.2">
      <c r="A220" s="57" t="s">
        <v>486</v>
      </c>
      <c r="B220" s="58" t="s">
        <v>188</v>
      </c>
      <c r="C220" s="58" t="s">
        <v>193</v>
      </c>
      <c r="D220" s="58" t="s">
        <v>501</v>
      </c>
      <c r="E220" s="59" t="s">
        <v>500</v>
      </c>
      <c r="F220" s="58" t="s">
        <v>494</v>
      </c>
      <c r="G220" s="58" t="s">
        <v>171</v>
      </c>
      <c r="H220" s="58" t="s">
        <v>11</v>
      </c>
      <c r="I220" s="58" t="s">
        <v>133</v>
      </c>
      <c r="J220" s="60">
        <v>140</v>
      </c>
      <c r="K220" s="60">
        <f t="shared" si="22"/>
        <v>109.80392156862744</v>
      </c>
      <c r="L220" s="61">
        <f>prodnorm45</f>
        <v>0</v>
      </c>
      <c r="M220" s="58" t="s">
        <v>41</v>
      </c>
      <c r="N220" s="62">
        <f>uurtarief45</f>
        <v>0</v>
      </c>
      <c r="O220" s="60" t="e">
        <f t="shared" si="23"/>
        <v>#DIV/0!</v>
      </c>
      <c r="P220" s="62" t="e">
        <f t="shared" si="24"/>
        <v>#DIV/0!</v>
      </c>
      <c r="Q220" s="60" t="e">
        <f t="shared" si="25"/>
        <v>#DIV/0!</v>
      </c>
      <c r="R220" s="63" t="e">
        <f t="shared" si="26"/>
        <v>#DIV/0!</v>
      </c>
    </row>
    <row r="221" spans="1:18" x14ac:dyDescent="0.2">
      <c r="A221" s="57" t="s">
        <v>486</v>
      </c>
      <c r="B221" s="58" t="s">
        <v>188</v>
      </c>
      <c r="C221" s="58" t="s">
        <v>193</v>
      </c>
      <c r="D221" s="58" t="s">
        <v>502</v>
      </c>
      <c r="E221" s="59" t="s">
        <v>500</v>
      </c>
      <c r="F221" s="58" t="s">
        <v>494</v>
      </c>
      <c r="G221" s="58" t="s">
        <v>171</v>
      </c>
      <c r="H221" s="58" t="s">
        <v>11</v>
      </c>
      <c r="I221" s="58" t="s">
        <v>133</v>
      </c>
      <c r="J221" s="60">
        <v>50</v>
      </c>
      <c r="K221" s="60">
        <f t="shared" si="22"/>
        <v>39.215686274509807</v>
      </c>
      <c r="L221" s="61">
        <f>prodnorm45</f>
        <v>0</v>
      </c>
      <c r="M221" s="58" t="s">
        <v>41</v>
      </c>
      <c r="N221" s="62">
        <f>uurtarief45</f>
        <v>0</v>
      </c>
      <c r="O221" s="60" t="e">
        <f t="shared" si="23"/>
        <v>#DIV/0!</v>
      </c>
      <c r="P221" s="62" t="e">
        <f t="shared" si="24"/>
        <v>#DIV/0!</v>
      </c>
      <c r="Q221" s="60" t="e">
        <f t="shared" si="25"/>
        <v>#DIV/0!</v>
      </c>
      <c r="R221" s="63" t="e">
        <f t="shared" si="26"/>
        <v>#DIV/0!</v>
      </c>
    </row>
    <row r="222" spans="1:18" x14ac:dyDescent="0.2">
      <c r="A222" s="57" t="s">
        <v>486</v>
      </c>
      <c r="B222" s="58" t="s">
        <v>188</v>
      </c>
      <c r="C222" s="58" t="s">
        <v>193</v>
      </c>
      <c r="D222" s="58" t="s">
        <v>503</v>
      </c>
      <c r="E222" s="59" t="s">
        <v>500</v>
      </c>
      <c r="F222" s="58" t="s">
        <v>494</v>
      </c>
      <c r="G222" s="58" t="s">
        <v>171</v>
      </c>
      <c r="H222" s="58" t="s">
        <v>11</v>
      </c>
      <c r="I222" s="58" t="s">
        <v>133</v>
      </c>
      <c r="J222" s="60">
        <v>23</v>
      </c>
      <c r="K222" s="60">
        <f t="shared" si="22"/>
        <v>18.03921568627451</v>
      </c>
      <c r="L222" s="61">
        <f>prodnorm45</f>
        <v>0</v>
      </c>
      <c r="M222" s="58" t="s">
        <v>41</v>
      </c>
      <c r="N222" s="62">
        <f>uurtarief45</f>
        <v>0</v>
      </c>
      <c r="O222" s="60" t="e">
        <f t="shared" si="23"/>
        <v>#DIV/0!</v>
      </c>
      <c r="P222" s="62" t="e">
        <f t="shared" si="24"/>
        <v>#DIV/0!</v>
      </c>
      <c r="Q222" s="60" t="e">
        <f t="shared" si="25"/>
        <v>#DIV/0!</v>
      </c>
      <c r="R222" s="63" t="e">
        <f t="shared" si="26"/>
        <v>#DIV/0!</v>
      </c>
    </row>
    <row r="223" spans="1:18" x14ac:dyDescent="0.2">
      <c r="A223" s="57" t="s">
        <v>486</v>
      </c>
      <c r="B223" s="58" t="s">
        <v>188</v>
      </c>
      <c r="C223" s="58" t="s">
        <v>193</v>
      </c>
      <c r="D223" s="58" t="s">
        <v>504</v>
      </c>
      <c r="E223" s="59" t="s">
        <v>505</v>
      </c>
      <c r="F223" s="58" t="s">
        <v>506</v>
      </c>
      <c r="G223" s="58" t="s">
        <v>149</v>
      </c>
      <c r="H223" s="58" t="s">
        <v>11</v>
      </c>
      <c r="I223" s="58" t="s">
        <v>133</v>
      </c>
      <c r="J223" s="60">
        <v>4</v>
      </c>
      <c r="K223" s="60">
        <f t="shared" si="22"/>
        <v>3.1372549019607843</v>
      </c>
      <c r="L223" s="61">
        <f>prodnorm33</f>
        <v>0</v>
      </c>
      <c r="M223" s="58" t="s">
        <v>41</v>
      </c>
      <c r="N223" s="62">
        <f>uurtarief33</f>
        <v>0</v>
      </c>
      <c r="O223" s="60" t="e">
        <f t="shared" si="23"/>
        <v>#DIV/0!</v>
      </c>
      <c r="P223" s="62" t="e">
        <f t="shared" si="24"/>
        <v>#DIV/0!</v>
      </c>
      <c r="Q223" s="60" t="e">
        <f t="shared" si="25"/>
        <v>#DIV/0!</v>
      </c>
      <c r="R223" s="63" t="e">
        <f t="shared" si="26"/>
        <v>#DIV/0!</v>
      </c>
    </row>
    <row r="224" spans="1:18" x14ac:dyDescent="0.2">
      <c r="A224" s="57" t="s">
        <v>486</v>
      </c>
      <c r="B224" s="58" t="s">
        <v>188</v>
      </c>
      <c r="C224" s="58" t="s">
        <v>193</v>
      </c>
      <c r="D224" s="58" t="s">
        <v>507</v>
      </c>
      <c r="E224" s="59" t="s">
        <v>508</v>
      </c>
      <c r="F224" s="58" t="s">
        <v>192</v>
      </c>
      <c r="G224" s="58" t="s">
        <v>135</v>
      </c>
      <c r="H224" s="58" t="s">
        <v>18</v>
      </c>
      <c r="I224" s="58" t="s">
        <v>133</v>
      </c>
      <c r="J224" s="60">
        <v>13.2</v>
      </c>
      <c r="K224" s="60">
        <f t="shared" si="22"/>
        <v>2.0705882352941174</v>
      </c>
      <c r="L224" s="61">
        <f>prodnorm24</f>
        <v>0</v>
      </c>
      <c r="M224" s="58" t="s">
        <v>41</v>
      </c>
      <c r="N224" s="62">
        <f>uurtarief24</f>
        <v>0</v>
      </c>
      <c r="O224" s="60" t="e">
        <f t="shared" si="23"/>
        <v>#DIV/0!</v>
      </c>
      <c r="P224" s="62" t="e">
        <f t="shared" si="24"/>
        <v>#DIV/0!</v>
      </c>
      <c r="Q224" s="60" t="e">
        <f t="shared" si="25"/>
        <v>#DIV/0!</v>
      </c>
      <c r="R224" s="63" t="e">
        <f t="shared" si="26"/>
        <v>#DIV/0!</v>
      </c>
    </row>
    <row r="225" spans="1:18" x14ac:dyDescent="0.2">
      <c r="A225" s="57" t="s">
        <v>486</v>
      </c>
      <c r="B225" s="58" t="s">
        <v>188</v>
      </c>
      <c r="C225" s="58" t="s">
        <v>193</v>
      </c>
      <c r="D225" s="58" t="s">
        <v>509</v>
      </c>
      <c r="E225" s="59" t="s">
        <v>510</v>
      </c>
      <c r="F225" s="58" t="s">
        <v>489</v>
      </c>
      <c r="G225" s="58" t="s">
        <v>167</v>
      </c>
      <c r="H225" s="58" t="s">
        <v>11</v>
      </c>
      <c r="I225" s="58" t="s">
        <v>133</v>
      </c>
      <c r="J225" s="60">
        <v>12</v>
      </c>
      <c r="K225" s="60">
        <f t="shared" si="22"/>
        <v>9.4117647058823533</v>
      </c>
      <c r="L225" s="61">
        <f>prodnorm43</f>
        <v>0</v>
      </c>
      <c r="M225" s="58" t="s">
        <v>41</v>
      </c>
      <c r="N225" s="62">
        <f>uurtarief43</f>
        <v>0</v>
      </c>
      <c r="O225" s="60" t="e">
        <f t="shared" si="23"/>
        <v>#DIV/0!</v>
      </c>
      <c r="P225" s="62" t="e">
        <f t="shared" si="24"/>
        <v>#DIV/0!</v>
      </c>
      <c r="Q225" s="60" t="e">
        <f t="shared" si="25"/>
        <v>#DIV/0!</v>
      </c>
      <c r="R225" s="63" t="e">
        <f t="shared" si="26"/>
        <v>#DIV/0!</v>
      </c>
    </row>
    <row r="226" spans="1:18" x14ac:dyDescent="0.2">
      <c r="A226" s="57" t="s">
        <v>486</v>
      </c>
      <c r="B226" s="58" t="s">
        <v>188</v>
      </c>
      <c r="C226" s="58" t="s">
        <v>193</v>
      </c>
      <c r="D226" s="58" t="s">
        <v>511</v>
      </c>
      <c r="E226" s="59" t="s">
        <v>512</v>
      </c>
      <c r="F226" s="58" t="s">
        <v>489</v>
      </c>
      <c r="G226" s="58" t="s">
        <v>167</v>
      </c>
      <c r="H226" s="58" t="s">
        <v>11</v>
      </c>
      <c r="I226" s="58" t="s">
        <v>133</v>
      </c>
      <c r="J226" s="60">
        <v>12</v>
      </c>
      <c r="K226" s="60">
        <f t="shared" si="22"/>
        <v>9.4117647058823533</v>
      </c>
      <c r="L226" s="61">
        <f>prodnorm43</f>
        <v>0</v>
      </c>
      <c r="M226" s="58" t="s">
        <v>41</v>
      </c>
      <c r="N226" s="62">
        <f>uurtarief43</f>
        <v>0</v>
      </c>
      <c r="O226" s="60" t="e">
        <f t="shared" si="23"/>
        <v>#DIV/0!</v>
      </c>
      <c r="P226" s="62" t="e">
        <f t="shared" si="24"/>
        <v>#DIV/0!</v>
      </c>
      <c r="Q226" s="60" t="e">
        <f t="shared" si="25"/>
        <v>#DIV/0!</v>
      </c>
      <c r="R226" s="63" t="e">
        <f t="shared" si="26"/>
        <v>#DIV/0!</v>
      </c>
    </row>
    <row r="227" spans="1:18" x14ac:dyDescent="0.2">
      <c r="A227" s="57" t="s">
        <v>486</v>
      </c>
      <c r="B227" s="58" t="s">
        <v>188</v>
      </c>
      <c r="C227" s="58" t="s">
        <v>193</v>
      </c>
      <c r="D227" s="58" t="s">
        <v>513</v>
      </c>
      <c r="E227" s="59" t="s">
        <v>514</v>
      </c>
      <c r="F227" s="58" t="s">
        <v>497</v>
      </c>
      <c r="G227" s="58" t="s">
        <v>137</v>
      </c>
      <c r="H227" s="58" t="s">
        <v>11</v>
      </c>
      <c r="I227" s="58" t="s">
        <v>133</v>
      </c>
      <c r="J227" s="60">
        <v>108</v>
      </c>
      <c r="K227" s="60">
        <f t="shared" si="22"/>
        <v>84.705882352941174</v>
      </c>
      <c r="L227" s="61">
        <f>prodnorm25</f>
        <v>0</v>
      </c>
      <c r="M227" s="58" t="s">
        <v>41</v>
      </c>
      <c r="N227" s="62">
        <f>uurtarief25</f>
        <v>0</v>
      </c>
      <c r="O227" s="60" t="e">
        <f t="shared" si="23"/>
        <v>#DIV/0!</v>
      </c>
      <c r="P227" s="62" t="e">
        <f t="shared" si="24"/>
        <v>#DIV/0!</v>
      </c>
      <c r="Q227" s="60" t="e">
        <f t="shared" si="25"/>
        <v>#DIV/0!</v>
      </c>
      <c r="R227" s="63" t="e">
        <f t="shared" si="26"/>
        <v>#DIV/0!</v>
      </c>
    </row>
    <row r="228" spans="1:18" x14ac:dyDescent="0.2">
      <c r="A228" s="57" t="s">
        <v>486</v>
      </c>
      <c r="B228" s="58" t="s">
        <v>188</v>
      </c>
      <c r="C228" s="58" t="s">
        <v>193</v>
      </c>
      <c r="D228" s="58" t="s">
        <v>515</v>
      </c>
      <c r="E228" s="59" t="s">
        <v>516</v>
      </c>
      <c r="F228" s="58" t="s">
        <v>192</v>
      </c>
      <c r="G228" s="58" t="s">
        <v>159</v>
      </c>
      <c r="H228" s="58" t="s">
        <v>11</v>
      </c>
      <c r="I228" s="58" t="s">
        <v>133</v>
      </c>
      <c r="J228" s="60">
        <v>8</v>
      </c>
      <c r="K228" s="60">
        <f t="shared" si="22"/>
        <v>6.2745098039215685</v>
      </c>
      <c r="L228" s="61">
        <f>prodnorm39</f>
        <v>0</v>
      </c>
      <c r="M228" s="58" t="s">
        <v>41</v>
      </c>
      <c r="N228" s="62">
        <f>uurtarief39</f>
        <v>0</v>
      </c>
      <c r="O228" s="60" t="e">
        <f t="shared" si="23"/>
        <v>#DIV/0!</v>
      </c>
      <c r="P228" s="62" t="e">
        <f t="shared" si="24"/>
        <v>#DIV/0!</v>
      </c>
      <c r="Q228" s="60" t="e">
        <f t="shared" si="25"/>
        <v>#DIV/0!</v>
      </c>
      <c r="R228" s="63" t="e">
        <f t="shared" si="26"/>
        <v>#DIV/0!</v>
      </c>
    </row>
    <row r="229" spans="1:18" x14ac:dyDescent="0.2">
      <c r="A229" s="57" t="s">
        <v>486</v>
      </c>
      <c r="B229" s="58" t="s">
        <v>188</v>
      </c>
      <c r="C229" s="58" t="s">
        <v>193</v>
      </c>
      <c r="D229" s="58" t="s">
        <v>517</v>
      </c>
      <c r="E229" s="59" t="s">
        <v>518</v>
      </c>
      <c r="F229" s="58" t="s">
        <v>494</v>
      </c>
      <c r="G229" s="58" t="s">
        <v>169</v>
      </c>
      <c r="H229" s="58" t="s">
        <v>11</v>
      </c>
      <c r="I229" s="58" t="s">
        <v>133</v>
      </c>
      <c r="J229" s="60">
        <v>36.5</v>
      </c>
      <c r="K229" s="60">
        <f t="shared" si="22"/>
        <v>28.627450980392158</v>
      </c>
      <c r="L229" s="61">
        <f>prodnorm44</f>
        <v>0</v>
      </c>
      <c r="M229" s="58" t="s">
        <v>41</v>
      </c>
      <c r="N229" s="62">
        <f>uurtarief44</f>
        <v>0</v>
      </c>
      <c r="O229" s="60" t="e">
        <f t="shared" si="23"/>
        <v>#DIV/0!</v>
      </c>
      <c r="P229" s="62" t="e">
        <f t="shared" si="24"/>
        <v>#DIV/0!</v>
      </c>
      <c r="Q229" s="60" t="e">
        <f t="shared" si="25"/>
        <v>#DIV/0!</v>
      </c>
      <c r="R229" s="63" t="e">
        <f t="shared" si="26"/>
        <v>#DIV/0!</v>
      </c>
    </row>
    <row r="230" spans="1:18" x14ac:dyDescent="0.2">
      <c r="A230" s="57" t="s">
        <v>486</v>
      </c>
      <c r="B230" s="58" t="s">
        <v>188</v>
      </c>
      <c r="C230" s="58" t="s">
        <v>193</v>
      </c>
      <c r="D230" s="58" t="s">
        <v>519</v>
      </c>
      <c r="E230" s="59" t="s">
        <v>520</v>
      </c>
      <c r="F230" s="58" t="s">
        <v>521</v>
      </c>
      <c r="G230" s="58" t="s">
        <v>169</v>
      </c>
      <c r="H230" s="58" t="s">
        <v>11</v>
      </c>
      <c r="I230" s="58" t="s">
        <v>133</v>
      </c>
      <c r="J230" s="60">
        <v>185</v>
      </c>
      <c r="K230" s="60">
        <f t="shared" si="22"/>
        <v>145.09803921568627</v>
      </c>
      <c r="L230" s="61">
        <f>prodnorm44</f>
        <v>0</v>
      </c>
      <c r="M230" s="58" t="s">
        <v>41</v>
      </c>
      <c r="N230" s="62">
        <f>uurtarief44</f>
        <v>0</v>
      </c>
      <c r="O230" s="60" t="e">
        <f t="shared" si="23"/>
        <v>#DIV/0!</v>
      </c>
      <c r="P230" s="62" t="e">
        <f t="shared" si="24"/>
        <v>#DIV/0!</v>
      </c>
      <c r="Q230" s="60" t="e">
        <f t="shared" si="25"/>
        <v>#DIV/0!</v>
      </c>
      <c r="R230" s="63" t="e">
        <f t="shared" si="26"/>
        <v>#DIV/0!</v>
      </c>
    </row>
    <row r="231" spans="1:18" x14ac:dyDescent="0.2">
      <c r="A231" s="57" t="s">
        <v>486</v>
      </c>
      <c r="B231" s="58" t="s">
        <v>188</v>
      </c>
      <c r="C231" s="58" t="s">
        <v>252</v>
      </c>
      <c r="D231" s="58" t="s">
        <v>522</v>
      </c>
      <c r="E231" s="59" t="s">
        <v>523</v>
      </c>
      <c r="F231" s="58" t="s">
        <v>494</v>
      </c>
      <c r="G231" s="58" t="s">
        <v>173</v>
      </c>
      <c r="H231" s="58" t="s">
        <v>12</v>
      </c>
      <c r="I231" s="58" t="s">
        <v>174</v>
      </c>
      <c r="J231" s="60">
        <v>31</v>
      </c>
      <c r="K231" s="60">
        <f t="shared" si="22"/>
        <v>19.450980392156861</v>
      </c>
      <c r="L231" s="61">
        <f>prodnorm21</f>
        <v>0</v>
      </c>
      <c r="M231" s="58" t="s">
        <v>41</v>
      </c>
      <c r="N231" s="62">
        <f>uurtarief21</f>
        <v>0</v>
      </c>
      <c r="O231" s="60" t="e">
        <f t="shared" si="23"/>
        <v>#DIV/0!</v>
      </c>
      <c r="P231" s="62" t="e">
        <f t="shared" si="24"/>
        <v>#DIV/0!</v>
      </c>
      <c r="Q231" s="60" t="e">
        <f t="shared" si="25"/>
        <v>#DIV/0!</v>
      </c>
      <c r="R231" s="63" t="e">
        <f t="shared" si="26"/>
        <v>#DIV/0!</v>
      </c>
    </row>
    <row r="232" spans="1:18" x14ac:dyDescent="0.2">
      <c r="A232" s="57" t="s">
        <v>486</v>
      </c>
      <c r="B232" s="58" t="s">
        <v>188</v>
      </c>
      <c r="C232" s="58" t="s">
        <v>252</v>
      </c>
      <c r="D232" s="58" t="s">
        <v>522</v>
      </c>
      <c r="E232" s="59" t="s">
        <v>523</v>
      </c>
      <c r="F232" s="58" t="s">
        <v>494</v>
      </c>
      <c r="G232" s="58" t="s">
        <v>135</v>
      </c>
      <c r="H232" s="58" t="s">
        <v>18</v>
      </c>
      <c r="I232" s="58" t="s">
        <v>133</v>
      </c>
      <c r="J232" s="60">
        <v>31</v>
      </c>
      <c r="K232" s="60">
        <f t="shared" si="22"/>
        <v>4.8627450980392153</v>
      </c>
      <c r="L232" s="61">
        <f>prodnorm24</f>
        <v>0</v>
      </c>
      <c r="M232" s="58" t="s">
        <v>41</v>
      </c>
      <c r="N232" s="62">
        <f>uurtarief24</f>
        <v>0</v>
      </c>
      <c r="O232" s="60" t="e">
        <f t="shared" si="23"/>
        <v>#DIV/0!</v>
      </c>
      <c r="P232" s="62" t="e">
        <f t="shared" si="24"/>
        <v>#DIV/0!</v>
      </c>
      <c r="Q232" s="60" t="e">
        <f t="shared" si="25"/>
        <v>#DIV/0!</v>
      </c>
      <c r="R232" s="63" t="e">
        <f t="shared" si="26"/>
        <v>#DIV/0!</v>
      </c>
    </row>
    <row r="233" spans="1:18" x14ac:dyDescent="0.2">
      <c r="A233" s="57" t="s">
        <v>486</v>
      </c>
      <c r="B233" s="58" t="s">
        <v>188</v>
      </c>
      <c r="C233" s="58" t="s">
        <v>252</v>
      </c>
      <c r="D233" s="58" t="s">
        <v>524</v>
      </c>
      <c r="E233" s="59" t="s">
        <v>525</v>
      </c>
      <c r="F233" s="58" t="s">
        <v>494</v>
      </c>
      <c r="G233" s="58" t="s">
        <v>165</v>
      </c>
      <c r="H233" s="58" t="s">
        <v>11</v>
      </c>
      <c r="I233" s="58" t="s">
        <v>133</v>
      </c>
      <c r="J233" s="60">
        <v>69</v>
      </c>
      <c r="K233" s="60">
        <f t="shared" si="22"/>
        <v>54.117647058823529</v>
      </c>
      <c r="L233" s="61">
        <f>prodnorm42</f>
        <v>0</v>
      </c>
      <c r="M233" s="58" t="s">
        <v>41</v>
      </c>
      <c r="N233" s="62">
        <f>uurtarief42</f>
        <v>0</v>
      </c>
      <c r="O233" s="60" t="e">
        <f t="shared" si="23"/>
        <v>#DIV/0!</v>
      </c>
      <c r="P233" s="62" t="e">
        <f t="shared" si="24"/>
        <v>#DIV/0!</v>
      </c>
      <c r="Q233" s="60" t="e">
        <f t="shared" si="25"/>
        <v>#DIV/0!</v>
      </c>
      <c r="R233" s="63" t="e">
        <f t="shared" si="26"/>
        <v>#DIV/0!</v>
      </c>
    </row>
    <row r="234" spans="1:18" x14ac:dyDescent="0.2">
      <c r="A234" s="57" t="s">
        <v>486</v>
      </c>
      <c r="B234" s="58" t="s">
        <v>188</v>
      </c>
      <c r="C234" s="58" t="s">
        <v>252</v>
      </c>
      <c r="D234" s="58" t="s">
        <v>526</v>
      </c>
      <c r="E234" s="59" t="s">
        <v>523</v>
      </c>
      <c r="F234" s="58" t="s">
        <v>494</v>
      </c>
      <c r="G234" s="58" t="s">
        <v>173</v>
      </c>
      <c r="H234" s="58" t="s">
        <v>12</v>
      </c>
      <c r="I234" s="58" t="s">
        <v>174</v>
      </c>
      <c r="J234" s="60">
        <v>31</v>
      </c>
      <c r="K234" s="60">
        <f t="shared" si="22"/>
        <v>19.450980392156861</v>
      </c>
      <c r="L234" s="61">
        <f>prodnorm21</f>
        <v>0</v>
      </c>
      <c r="M234" s="58" t="s">
        <v>41</v>
      </c>
      <c r="N234" s="62">
        <f>uurtarief21</f>
        <v>0</v>
      </c>
      <c r="O234" s="60" t="e">
        <f t="shared" si="23"/>
        <v>#DIV/0!</v>
      </c>
      <c r="P234" s="62" t="e">
        <f t="shared" si="24"/>
        <v>#DIV/0!</v>
      </c>
      <c r="Q234" s="60" t="e">
        <f t="shared" si="25"/>
        <v>#DIV/0!</v>
      </c>
      <c r="R234" s="63" t="e">
        <f t="shared" si="26"/>
        <v>#DIV/0!</v>
      </c>
    </row>
    <row r="235" spans="1:18" x14ac:dyDescent="0.2">
      <c r="A235" s="57" t="s">
        <v>486</v>
      </c>
      <c r="B235" s="58" t="s">
        <v>188</v>
      </c>
      <c r="C235" s="58" t="s">
        <v>252</v>
      </c>
      <c r="D235" s="58" t="s">
        <v>526</v>
      </c>
      <c r="E235" s="59" t="s">
        <v>523</v>
      </c>
      <c r="F235" s="58" t="s">
        <v>494</v>
      </c>
      <c r="G235" s="58" t="s">
        <v>135</v>
      </c>
      <c r="H235" s="58" t="s">
        <v>18</v>
      </c>
      <c r="I235" s="58" t="s">
        <v>133</v>
      </c>
      <c r="J235" s="60">
        <v>31</v>
      </c>
      <c r="K235" s="60">
        <f t="shared" si="22"/>
        <v>4.8627450980392153</v>
      </c>
      <c r="L235" s="61">
        <f>prodnorm24</f>
        <v>0</v>
      </c>
      <c r="M235" s="58" t="s">
        <v>41</v>
      </c>
      <c r="N235" s="62">
        <f>uurtarief24</f>
        <v>0</v>
      </c>
      <c r="O235" s="60" t="e">
        <f t="shared" si="23"/>
        <v>#DIV/0!</v>
      </c>
      <c r="P235" s="62" t="e">
        <f t="shared" si="24"/>
        <v>#DIV/0!</v>
      </c>
      <c r="Q235" s="60" t="e">
        <f t="shared" si="25"/>
        <v>#DIV/0!</v>
      </c>
      <c r="R235" s="63" t="e">
        <f t="shared" si="26"/>
        <v>#DIV/0!</v>
      </c>
    </row>
    <row r="236" spans="1:18" x14ac:dyDescent="0.2">
      <c r="A236" s="57" t="s">
        <v>486</v>
      </c>
      <c r="B236" s="58" t="s">
        <v>188</v>
      </c>
      <c r="C236" s="58" t="s">
        <v>252</v>
      </c>
      <c r="D236" s="58" t="s">
        <v>527</v>
      </c>
      <c r="E236" s="59" t="s">
        <v>525</v>
      </c>
      <c r="F236" s="58" t="s">
        <v>494</v>
      </c>
      <c r="G236" s="58" t="s">
        <v>165</v>
      </c>
      <c r="H236" s="58" t="s">
        <v>11</v>
      </c>
      <c r="I236" s="58" t="s">
        <v>133</v>
      </c>
      <c r="J236" s="60">
        <v>69</v>
      </c>
      <c r="K236" s="60">
        <f t="shared" si="22"/>
        <v>54.117647058823529</v>
      </c>
      <c r="L236" s="61">
        <f>prodnorm42</f>
        <v>0</v>
      </c>
      <c r="M236" s="58" t="s">
        <v>41</v>
      </c>
      <c r="N236" s="62">
        <f>uurtarief42</f>
        <v>0</v>
      </c>
      <c r="O236" s="60" t="e">
        <f t="shared" si="23"/>
        <v>#DIV/0!</v>
      </c>
      <c r="P236" s="62" t="e">
        <f t="shared" si="24"/>
        <v>#DIV/0!</v>
      </c>
      <c r="Q236" s="60" t="e">
        <f t="shared" si="25"/>
        <v>#DIV/0!</v>
      </c>
      <c r="R236" s="63" t="e">
        <f t="shared" si="26"/>
        <v>#DIV/0!</v>
      </c>
    </row>
    <row r="237" spans="1:18" x14ac:dyDescent="0.2">
      <c r="A237" s="57" t="s">
        <v>486</v>
      </c>
      <c r="B237" s="58" t="s">
        <v>188</v>
      </c>
      <c r="C237" s="58" t="s">
        <v>252</v>
      </c>
      <c r="D237" s="58" t="s">
        <v>528</v>
      </c>
      <c r="E237" s="59" t="s">
        <v>525</v>
      </c>
      <c r="F237" s="58" t="s">
        <v>494</v>
      </c>
      <c r="G237" s="58" t="s">
        <v>165</v>
      </c>
      <c r="H237" s="58" t="s">
        <v>11</v>
      </c>
      <c r="I237" s="58" t="s">
        <v>133</v>
      </c>
      <c r="J237" s="60">
        <v>49</v>
      </c>
      <c r="K237" s="60">
        <f t="shared" si="22"/>
        <v>38.431372549019606</v>
      </c>
      <c r="L237" s="61">
        <f>prodnorm42</f>
        <v>0</v>
      </c>
      <c r="M237" s="58" t="s">
        <v>41</v>
      </c>
      <c r="N237" s="62">
        <f>uurtarief42</f>
        <v>0</v>
      </c>
      <c r="O237" s="60" t="e">
        <f t="shared" si="23"/>
        <v>#DIV/0!</v>
      </c>
      <c r="P237" s="62" t="e">
        <f t="shared" si="24"/>
        <v>#DIV/0!</v>
      </c>
      <c r="Q237" s="60" t="e">
        <f t="shared" si="25"/>
        <v>#DIV/0!</v>
      </c>
      <c r="R237" s="63" t="e">
        <f t="shared" si="26"/>
        <v>#DIV/0!</v>
      </c>
    </row>
    <row r="238" spans="1:18" x14ac:dyDescent="0.2">
      <c r="A238" s="57" t="s">
        <v>486</v>
      </c>
      <c r="B238" s="58" t="s">
        <v>188</v>
      </c>
      <c r="C238" s="58" t="s">
        <v>252</v>
      </c>
      <c r="D238" s="58" t="s">
        <v>529</v>
      </c>
      <c r="E238" s="59" t="s">
        <v>525</v>
      </c>
      <c r="F238" s="58" t="s">
        <v>494</v>
      </c>
      <c r="G238" s="58" t="s">
        <v>165</v>
      </c>
      <c r="H238" s="58" t="s">
        <v>11</v>
      </c>
      <c r="I238" s="58" t="s">
        <v>133</v>
      </c>
      <c r="J238" s="60">
        <v>59</v>
      </c>
      <c r="K238" s="60">
        <f t="shared" si="22"/>
        <v>46.274509803921568</v>
      </c>
      <c r="L238" s="61">
        <f>prodnorm42</f>
        <v>0</v>
      </c>
      <c r="M238" s="58" t="s">
        <v>41</v>
      </c>
      <c r="N238" s="62">
        <f>uurtarief42</f>
        <v>0</v>
      </c>
      <c r="O238" s="60" t="e">
        <f t="shared" si="23"/>
        <v>#DIV/0!</v>
      </c>
      <c r="P238" s="62" t="e">
        <f t="shared" si="24"/>
        <v>#DIV/0!</v>
      </c>
      <c r="Q238" s="60" t="e">
        <f t="shared" si="25"/>
        <v>#DIV/0!</v>
      </c>
      <c r="R238" s="63" t="e">
        <f t="shared" si="26"/>
        <v>#DIV/0!</v>
      </c>
    </row>
    <row r="239" spans="1:18" x14ac:dyDescent="0.2">
      <c r="A239" s="57" t="s">
        <v>486</v>
      </c>
      <c r="B239" s="58" t="s">
        <v>188</v>
      </c>
      <c r="C239" s="58" t="s">
        <v>252</v>
      </c>
      <c r="D239" s="58" t="s">
        <v>530</v>
      </c>
      <c r="E239" s="59" t="s">
        <v>525</v>
      </c>
      <c r="F239" s="58" t="s">
        <v>494</v>
      </c>
      <c r="G239" s="58" t="s">
        <v>165</v>
      </c>
      <c r="H239" s="58" t="s">
        <v>11</v>
      </c>
      <c r="I239" s="58" t="s">
        <v>133</v>
      </c>
      <c r="J239" s="60">
        <v>49</v>
      </c>
      <c r="K239" s="60">
        <f t="shared" si="22"/>
        <v>38.431372549019606</v>
      </c>
      <c r="L239" s="61">
        <f>prodnorm42</f>
        <v>0</v>
      </c>
      <c r="M239" s="58" t="s">
        <v>41</v>
      </c>
      <c r="N239" s="62">
        <f>uurtarief42</f>
        <v>0</v>
      </c>
      <c r="O239" s="60" t="e">
        <f t="shared" si="23"/>
        <v>#DIV/0!</v>
      </c>
      <c r="P239" s="62" t="e">
        <f t="shared" si="24"/>
        <v>#DIV/0!</v>
      </c>
      <c r="Q239" s="60" t="e">
        <f t="shared" si="25"/>
        <v>#DIV/0!</v>
      </c>
      <c r="R239" s="63" t="e">
        <f t="shared" si="26"/>
        <v>#DIV/0!</v>
      </c>
    </row>
    <row r="240" spans="1:18" x14ac:dyDescent="0.2">
      <c r="A240" s="57" t="s">
        <v>486</v>
      </c>
      <c r="B240" s="58" t="s">
        <v>188</v>
      </c>
      <c r="C240" s="58" t="s">
        <v>252</v>
      </c>
      <c r="D240" s="58" t="s">
        <v>531</v>
      </c>
      <c r="E240" s="59" t="s">
        <v>491</v>
      </c>
      <c r="F240" s="58" t="s">
        <v>494</v>
      </c>
      <c r="G240" s="58" t="s">
        <v>173</v>
      </c>
      <c r="H240" s="58" t="s">
        <v>12</v>
      </c>
      <c r="I240" s="58" t="s">
        <v>174</v>
      </c>
      <c r="J240" s="60">
        <v>19</v>
      </c>
      <c r="K240" s="60">
        <f t="shared" si="22"/>
        <v>11.921568627450981</v>
      </c>
      <c r="L240" s="61">
        <f>prodnorm21</f>
        <v>0</v>
      </c>
      <c r="M240" s="58" t="s">
        <v>41</v>
      </c>
      <c r="N240" s="62">
        <f>uurtarief21</f>
        <v>0</v>
      </c>
      <c r="O240" s="60" t="e">
        <f t="shared" si="23"/>
        <v>#DIV/0!</v>
      </c>
      <c r="P240" s="62" t="e">
        <f t="shared" si="24"/>
        <v>#DIV/0!</v>
      </c>
      <c r="Q240" s="60" t="e">
        <f t="shared" si="25"/>
        <v>#DIV/0!</v>
      </c>
      <c r="R240" s="63" t="e">
        <f t="shared" si="26"/>
        <v>#DIV/0!</v>
      </c>
    </row>
    <row r="241" spans="1:18" x14ac:dyDescent="0.2">
      <c r="A241" s="57" t="s">
        <v>486</v>
      </c>
      <c r="B241" s="58" t="s">
        <v>188</v>
      </c>
      <c r="C241" s="58" t="s">
        <v>252</v>
      </c>
      <c r="D241" s="58" t="s">
        <v>531</v>
      </c>
      <c r="E241" s="59" t="s">
        <v>491</v>
      </c>
      <c r="F241" s="58" t="s">
        <v>494</v>
      </c>
      <c r="G241" s="58" t="s">
        <v>135</v>
      </c>
      <c r="H241" s="58" t="s">
        <v>18</v>
      </c>
      <c r="I241" s="58" t="s">
        <v>133</v>
      </c>
      <c r="J241" s="60">
        <v>19</v>
      </c>
      <c r="K241" s="60">
        <f t="shared" ref="K241:K272" si="27">J241*VLOOKUP(H241,dagsoorttabel1,2,FALSE)</f>
        <v>2.9803921568627452</v>
      </c>
      <c r="L241" s="61">
        <f>prodnorm24</f>
        <v>0</v>
      </c>
      <c r="M241" s="58" t="s">
        <v>41</v>
      </c>
      <c r="N241" s="62">
        <f>uurtarief24</f>
        <v>0</v>
      </c>
      <c r="O241" s="60" t="e">
        <f t="shared" ref="O241:O272" si="28">IF(ISBLANK(L241),0,K241/ROUND(L241,4))</f>
        <v>#DIV/0!</v>
      </c>
      <c r="P241" s="62" t="e">
        <f t="shared" ref="P241:P272" si="29">ROUND(N241,2)*O241</f>
        <v>#DIV/0!</v>
      </c>
      <c r="Q241" s="60" t="e">
        <f t="shared" ref="Q241:Q272" si="30">O241*dagenperjaar1</f>
        <v>#DIV/0!</v>
      </c>
      <c r="R241" s="63" t="e">
        <f t="shared" ref="R241:R272" si="31">Q241*ROUND(N241,2)</f>
        <v>#DIV/0!</v>
      </c>
    </row>
    <row r="242" spans="1:18" x14ac:dyDescent="0.2">
      <c r="A242" s="57" t="s">
        <v>486</v>
      </c>
      <c r="B242" s="58" t="s">
        <v>188</v>
      </c>
      <c r="C242" s="58" t="s">
        <v>252</v>
      </c>
      <c r="D242" s="58" t="s">
        <v>532</v>
      </c>
      <c r="E242" s="59" t="s">
        <v>533</v>
      </c>
      <c r="F242" s="58" t="s">
        <v>494</v>
      </c>
      <c r="G242" s="58" t="s">
        <v>165</v>
      </c>
      <c r="H242" s="58" t="s">
        <v>11</v>
      </c>
      <c r="I242" s="58" t="s">
        <v>133</v>
      </c>
      <c r="J242" s="60">
        <v>94</v>
      </c>
      <c r="K242" s="60">
        <f t="shared" si="27"/>
        <v>73.725490196078425</v>
      </c>
      <c r="L242" s="61">
        <f>prodnorm42</f>
        <v>0</v>
      </c>
      <c r="M242" s="58" t="s">
        <v>41</v>
      </c>
      <c r="N242" s="62">
        <f>uurtarief42</f>
        <v>0</v>
      </c>
      <c r="O242" s="60" t="e">
        <f t="shared" si="28"/>
        <v>#DIV/0!</v>
      </c>
      <c r="P242" s="62" t="e">
        <f t="shared" si="29"/>
        <v>#DIV/0!</v>
      </c>
      <c r="Q242" s="60" t="e">
        <f t="shared" si="30"/>
        <v>#DIV/0!</v>
      </c>
      <c r="R242" s="63" t="e">
        <f t="shared" si="31"/>
        <v>#DIV/0!</v>
      </c>
    </row>
    <row r="243" spans="1:18" x14ac:dyDescent="0.2">
      <c r="A243" s="57" t="s">
        <v>486</v>
      </c>
      <c r="B243" s="58" t="s">
        <v>188</v>
      </c>
      <c r="C243" s="58" t="s">
        <v>252</v>
      </c>
      <c r="D243" s="58" t="s">
        <v>534</v>
      </c>
      <c r="E243" s="59" t="s">
        <v>535</v>
      </c>
      <c r="F243" s="58" t="s">
        <v>536</v>
      </c>
      <c r="G243" s="58" t="s">
        <v>165</v>
      </c>
      <c r="H243" s="58" t="s">
        <v>11</v>
      </c>
      <c r="I243" s="58" t="s">
        <v>133</v>
      </c>
      <c r="J243" s="60">
        <v>14</v>
      </c>
      <c r="K243" s="60">
        <f t="shared" si="27"/>
        <v>10.980392156862745</v>
      </c>
      <c r="L243" s="61">
        <f>prodnorm42</f>
        <v>0</v>
      </c>
      <c r="M243" s="58" t="s">
        <v>41</v>
      </c>
      <c r="N243" s="62">
        <f>uurtarief42</f>
        <v>0</v>
      </c>
      <c r="O243" s="60" t="e">
        <f t="shared" si="28"/>
        <v>#DIV/0!</v>
      </c>
      <c r="P243" s="62" t="e">
        <f t="shared" si="29"/>
        <v>#DIV/0!</v>
      </c>
      <c r="Q243" s="60" t="e">
        <f t="shared" si="30"/>
        <v>#DIV/0!</v>
      </c>
      <c r="R243" s="63" t="e">
        <f t="shared" si="31"/>
        <v>#DIV/0!</v>
      </c>
    </row>
    <row r="244" spans="1:18" x14ac:dyDescent="0.2">
      <c r="A244" s="57" t="s">
        <v>486</v>
      </c>
      <c r="B244" s="58" t="s">
        <v>188</v>
      </c>
      <c r="C244" s="58" t="s">
        <v>252</v>
      </c>
      <c r="D244" s="58" t="s">
        <v>537</v>
      </c>
      <c r="E244" s="59" t="s">
        <v>538</v>
      </c>
      <c r="F244" s="58" t="s">
        <v>494</v>
      </c>
      <c r="G244" s="58" t="s">
        <v>171</v>
      </c>
      <c r="H244" s="58" t="s">
        <v>11</v>
      </c>
      <c r="I244" s="58" t="s">
        <v>133</v>
      </c>
      <c r="J244" s="60">
        <v>56</v>
      </c>
      <c r="K244" s="60">
        <f t="shared" si="27"/>
        <v>43.921568627450981</v>
      </c>
      <c r="L244" s="61">
        <f>prodnorm45</f>
        <v>0</v>
      </c>
      <c r="M244" s="58" t="s">
        <v>41</v>
      </c>
      <c r="N244" s="62">
        <f>uurtarief45</f>
        <v>0</v>
      </c>
      <c r="O244" s="60" t="e">
        <f t="shared" si="28"/>
        <v>#DIV/0!</v>
      </c>
      <c r="P244" s="62" t="e">
        <f t="shared" si="29"/>
        <v>#DIV/0!</v>
      </c>
      <c r="Q244" s="60" t="e">
        <f t="shared" si="30"/>
        <v>#DIV/0!</v>
      </c>
      <c r="R244" s="63" t="e">
        <f t="shared" si="31"/>
        <v>#DIV/0!</v>
      </c>
    </row>
    <row r="245" spans="1:18" x14ac:dyDescent="0.2">
      <c r="A245" s="57" t="s">
        <v>486</v>
      </c>
      <c r="B245" s="58" t="s">
        <v>188</v>
      </c>
      <c r="C245" s="58" t="s">
        <v>252</v>
      </c>
      <c r="D245" s="58" t="s">
        <v>539</v>
      </c>
      <c r="E245" s="59" t="s">
        <v>540</v>
      </c>
      <c r="F245" s="58" t="s">
        <v>489</v>
      </c>
      <c r="G245" s="58" t="s">
        <v>167</v>
      </c>
      <c r="H245" s="58" t="s">
        <v>11</v>
      </c>
      <c r="I245" s="58" t="s">
        <v>133</v>
      </c>
      <c r="J245" s="60">
        <v>12</v>
      </c>
      <c r="K245" s="60">
        <f t="shared" si="27"/>
        <v>9.4117647058823533</v>
      </c>
      <c r="L245" s="61">
        <f>prodnorm43</f>
        <v>0</v>
      </c>
      <c r="M245" s="58" t="s">
        <v>41</v>
      </c>
      <c r="N245" s="62">
        <f>uurtarief43</f>
        <v>0</v>
      </c>
      <c r="O245" s="60" t="e">
        <f t="shared" si="28"/>
        <v>#DIV/0!</v>
      </c>
      <c r="P245" s="62" t="e">
        <f t="shared" si="29"/>
        <v>#DIV/0!</v>
      </c>
      <c r="Q245" s="60" t="e">
        <f t="shared" si="30"/>
        <v>#DIV/0!</v>
      </c>
      <c r="R245" s="63" t="e">
        <f t="shared" si="31"/>
        <v>#DIV/0!</v>
      </c>
    </row>
    <row r="246" spans="1:18" x14ac:dyDescent="0.2">
      <c r="A246" s="57" t="s">
        <v>486</v>
      </c>
      <c r="B246" s="58" t="s">
        <v>188</v>
      </c>
      <c r="C246" s="58" t="s">
        <v>252</v>
      </c>
      <c r="D246" s="58" t="s">
        <v>541</v>
      </c>
      <c r="E246" s="59" t="s">
        <v>542</v>
      </c>
      <c r="F246" s="58" t="s">
        <v>489</v>
      </c>
      <c r="G246" s="58" t="s">
        <v>167</v>
      </c>
      <c r="H246" s="58" t="s">
        <v>11</v>
      </c>
      <c r="I246" s="58" t="s">
        <v>133</v>
      </c>
      <c r="J246" s="60">
        <v>13</v>
      </c>
      <c r="K246" s="60">
        <f t="shared" si="27"/>
        <v>10.196078431372548</v>
      </c>
      <c r="L246" s="61">
        <f>prodnorm43</f>
        <v>0</v>
      </c>
      <c r="M246" s="58" t="s">
        <v>41</v>
      </c>
      <c r="N246" s="62">
        <f>uurtarief43</f>
        <v>0</v>
      </c>
      <c r="O246" s="60" t="e">
        <f t="shared" si="28"/>
        <v>#DIV/0!</v>
      </c>
      <c r="P246" s="62" t="e">
        <f t="shared" si="29"/>
        <v>#DIV/0!</v>
      </c>
      <c r="Q246" s="60" t="e">
        <f t="shared" si="30"/>
        <v>#DIV/0!</v>
      </c>
      <c r="R246" s="63" t="e">
        <f t="shared" si="31"/>
        <v>#DIV/0!</v>
      </c>
    </row>
    <row r="247" spans="1:18" x14ac:dyDescent="0.2">
      <c r="A247" s="57" t="s">
        <v>486</v>
      </c>
      <c r="B247" s="58" t="s">
        <v>188</v>
      </c>
      <c r="C247" s="58" t="s">
        <v>252</v>
      </c>
      <c r="D247" s="58" t="s">
        <v>543</v>
      </c>
      <c r="E247" s="59" t="s">
        <v>544</v>
      </c>
      <c r="F247" s="58" t="s">
        <v>494</v>
      </c>
      <c r="G247" s="58" t="s">
        <v>169</v>
      </c>
      <c r="H247" s="58" t="s">
        <v>11</v>
      </c>
      <c r="I247" s="58" t="s">
        <v>133</v>
      </c>
      <c r="J247" s="60">
        <v>4.2</v>
      </c>
      <c r="K247" s="60">
        <f t="shared" si="27"/>
        <v>3.2941176470588238</v>
      </c>
      <c r="L247" s="61">
        <f>prodnorm44</f>
        <v>0</v>
      </c>
      <c r="M247" s="58" t="s">
        <v>41</v>
      </c>
      <c r="N247" s="62">
        <f>uurtarief44</f>
        <v>0</v>
      </c>
      <c r="O247" s="60" t="e">
        <f t="shared" si="28"/>
        <v>#DIV/0!</v>
      </c>
      <c r="P247" s="62" t="e">
        <f t="shared" si="29"/>
        <v>#DIV/0!</v>
      </c>
      <c r="Q247" s="60" t="e">
        <f t="shared" si="30"/>
        <v>#DIV/0!</v>
      </c>
      <c r="R247" s="63" t="e">
        <f t="shared" si="31"/>
        <v>#DIV/0!</v>
      </c>
    </row>
    <row r="248" spans="1:18" x14ac:dyDescent="0.2">
      <c r="A248" s="57" t="s">
        <v>486</v>
      </c>
      <c r="B248" s="58" t="s">
        <v>188</v>
      </c>
      <c r="C248" s="58" t="s">
        <v>252</v>
      </c>
      <c r="D248" s="58" t="s">
        <v>545</v>
      </c>
      <c r="E248" s="59" t="s">
        <v>546</v>
      </c>
      <c r="F248" s="58" t="s">
        <v>192</v>
      </c>
      <c r="G248" s="58" t="s">
        <v>169</v>
      </c>
      <c r="H248" s="58" t="s">
        <v>11</v>
      </c>
      <c r="I248" s="58" t="s">
        <v>133</v>
      </c>
      <c r="J248" s="60">
        <v>3</v>
      </c>
      <c r="K248" s="60">
        <f t="shared" si="27"/>
        <v>2.3529411764705883</v>
      </c>
      <c r="L248" s="61">
        <f>prodnorm44</f>
        <v>0</v>
      </c>
      <c r="M248" s="58" t="s">
        <v>41</v>
      </c>
      <c r="N248" s="62">
        <f>uurtarief44</f>
        <v>0</v>
      </c>
      <c r="O248" s="60" t="e">
        <f t="shared" si="28"/>
        <v>#DIV/0!</v>
      </c>
      <c r="P248" s="62" t="e">
        <f t="shared" si="29"/>
        <v>#DIV/0!</v>
      </c>
      <c r="Q248" s="60" t="e">
        <f t="shared" si="30"/>
        <v>#DIV/0!</v>
      </c>
      <c r="R248" s="63" t="e">
        <f t="shared" si="31"/>
        <v>#DIV/0!</v>
      </c>
    </row>
    <row r="249" spans="1:18" x14ac:dyDescent="0.2">
      <c r="A249" s="57" t="s">
        <v>486</v>
      </c>
      <c r="B249" s="58" t="s">
        <v>188</v>
      </c>
      <c r="C249" s="58" t="s">
        <v>299</v>
      </c>
      <c r="D249" s="58" t="s">
        <v>547</v>
      </c>
      <c r="E249" s="59" t="s">
        <v>514</v>
      </c>
      <c r="F249" s="58" t="s">
        <v>497</v>
      </c>
      <c r="G249" s="58" t="s">
        <v>173</v>
      </c>
      <c r="H249" s="58" t="s">
        <v>12</v>
      </c>
      <c r="I249" s="58" t="s">
        <v>174</v>
      </c>
      <c r="J249" s="60">
        <v>28</v>
      </c>
      <c r="K249" s="60">
        <f t="shared" si="27"/>
        <v>17.568627450980394</v>
      </c>
      <c r="L249" s="61">
        <f>prodnorm21</f>
        <v>0</v>
      </c>
      <c r="M249" s="58" t="s">
        <v>41</v>
      </c>
      <c r="N249" s="62">
        <f>uurtarief21</f>
        <v>0</v>
      </c>
      <c r="O249" s="60" t="e">
        <f t="shared" si="28"/>
        <v>#DIV/0!</v>
      </c>
      <c r="P249" s="62" t="e">
        <f t="shared" si="29"/>
        <v>#DIV/0!</v>
      </c>
      <c r="Q249" s="60" t="e">
        <f t="shared" si="30"/>
        <v>#DIV/0!</v>
      </c>
      <c r="R249" s="63" t="e">
        <f t="shared" si="31"/>
        <v>#DIV/0!</v>
      </c>
    </row>
    <row r="250" spans="1:18" x14ac:dyDescent="0.2">
      <c r="A250" s="57" t="s">
        <v>486</v>
      </c>
      <c r="B250" s="58" t="s">
        <v>188</v>
      </c>
      <c r="C250" s="58" t="s">
        <v>299</v>
      </c>
      <c r="D250" s="58" t="s">
        <v>547</v>
      </c>
      <c r="E250" s="59" t="s">
        <v>514</v>
      </c>
      <c r="F250" s="58" t="s">
        <v>497</v>
      </c>
      <c r="G250" s="58" t="s">
        <v>137</v>
      </c>
      <c r="H250" s="58" t="s">
        <v>18</v>
      </c>
      <c r="I250" s="58" t="s">
        <v>133</v>
      </c>
      <c r="J250" s="60">
        <v>28</v>
      </c>
      <c r="K250" s="60">
        <f t="shared" si="27"/>
        <v>4.3921568627450984</v>
      </c>
      <c r="L250" s="61">
        <f>prodnorm26</f>
        <v>0</v>
      </c>
      <c r="M250" s="58" t="s">
        <v>41</v>
      </c>
      <c r="N250" s="62">
        <f>uurtarief26</f>
        <v>0</v>
      </c>
      <c r="O250" s="60" t="e">
        <f t="shared" si="28"/>
        <v>#DIV/0!</v>
      </c>
      <c r="P250" s="62" t="e">
        <f t="shared" si="29"/>
        <v>#DIV/0!</v>
      </c>
      <c r="Q250" s="60" t="e">
        <f t="shared" si="30"/>
        <v>#DIV/0!</v>
      </c>
      <c r="R250" s="63" t="e">
        <f t="shared" si="31"/>
        <v>#DIV/0!</v>
      </c>
    </row>
    <row r="251" spans="1:18" x14ac:dyDescent="0.2">
      <c r="A251" s="57" t="s">
        <v>486</v>
      </c>
      <c r="B251" s="58" t="s">
        <v>188</v>
      </c>
      <c r="C251" s="58" t="s">
        <v>299</v>
      </c>
      <c r="D251" s="58" t="s">
        <v>548</v>
      </c>
      <c r="E251" s="59" t="s">
        <v>525</v>
      </c>
      <c r="F251" s="58" t="s">
        <v>494</v>
      </c>
      <c r="G251" s="58" t="s">
        <v>153</v>
      </c>
      <c r="H251" s="58" t="s">
        <v>11</v>
      </c>
      <c r="I251" s="58" t="s">
        <v>133</v>
      </c>
      <c r="J251" s="60">
        <v>65</v>
      </c>
      <c r="K251" s="60">
        <f t="shared" si="27"/>
        <v>50.980392156862742</v>
      </c>
      <c r="L251" s="61">
        <f>prodnorm36</f>
        <v>0</v>
      </c>
      <c r="M251" s="58" t="s">
        <v>41</v>
      </c>
      <c r="N251" s="62">
        <f>uurtarief36</f>
        <v>0</v>
      </c>
      <c r="O251" s="60" t="e">
        <f t="shared" si="28"/>
        <v>#DIV/0!</v>
      </c>
      <c r="P251" s="62" t="e">
        <f t="shared" si="29"/>
        <v>#DIV/0!</v>
      </c>
      <c r="Q251" s="60" t="e">
        <f t="shared" si="30"/>
        <v>#DIV/0!</v>
      </c>
      <c r="R251" s="63" t="e">
        <f t="shared" si="31"/>
        <v>#DIV/0!</v>
      </c>
    </row>
    <row r="252" spans="1:18" x14ac:dyDescent="0.2">
      <c r="A252" s="57" t="s">
        <v>486</v>
      </c>
      <c r="B252" s="58" t="s">
        <v>188</v>
      </c>
      <c r="C252" s="58" t="s">
        <v>299</v>
      </c>
      <c r="D252" s="58" t="s">
        <v>549</v>
      </c>
      <c r="E252" s="59" t="s">
        <v>523</v>
      </c>
      <c r="F252" s="58" t="s">
        <v>494</v>
      </c>
      <c r="G252" s="58" t="s">
        <v>173</v>
      </c>
      <c r="H252" s="58" t="s">
        <v>12</v>
      </c>
      <c r="I252" s="58" t="s">
        <v>174</v>
      </c>
      <c r="J252" s="60">
        <v>31</v>
      </c>
      <c r="K252" s="60">
        <f t="shared" si="27"/>
        <v>19.450980392156861</v>
      </c>
      <c r="L252" s="61">
        <f>prodnorm21</f>
        <v>0</v>
      </c>
      <c r="M252" s="58" t="s">
        <v>41</v>
      </c>
      <c r="N252" s="62">
        <f>uurtarief21</f>
        <v>0</v>
      </c>
      <c r="O252" s="60" t="e">
        <f t="shared" si="28"/>
        <v>#DIV/0!</v>
      </c>
      <c r="P252" s="62" t="e">
        <f t="shared" si="29"/>
        <v>#DIV/0!</v>
      </c>
      <c r="Q252" s="60" t="e">
        <f t="shared" si="30"/>
        <v>#DIV/0!</v>
      </c>
      <c r="R252" s="63" t="e">
        <f t="shared" si="31"/>
        <v>#DIV/0!</v>
      </c>
    </row>
    <row r="253" spans="1:18" x14ac:dyDescent="0.2">
      <c r="A253" s="57" t="s">
        <v>486</v>
      </c>
      <c r="B253" s="58" t="s">
        <v>188</v>
      </c>
      <c r="C253" s="58" t="s">
        <v>299</v>
      </c>
      <c r="D253" s="58" t="s">
        <v>549</v>
      </c>
      <c r="E253" s="59" t="s">
        <v>523</v>
      </c>
      <c r="F253" s="58" t="s">
        <v>494</v>
      </c>
      <c r="G253" s="58" t="s">
        <v>135</v>
      </c>
      <c r="H253" s="58" t="s">
        <v>18</v>
      </c>
      <c r="I253" s="58" t="s">
        <v>133</v>
      </c>
      <c r="J253" s="60">
        <v>31</v>
      </c>
      <c r="K253" s="60">
        <f t="shared" si="27"/>
        <v>4.8627450980392153</v>
      </c>
      <c r="L253" s="61">
        <f>prodnorm24</f>
        <v>0</v>
      </c>
      <c r="M253" s="58" t="s">
        <v>41</v>
      </c>
      <c r="N253" s="62">
        <f>uurtarief24</f>
        <v>0</v>
      </c>
      <c r="O253" s="60" t="e">
        <f t="shared" si="28"/>
        <v>#DIV/0!</v>
      </c>
      <c r="P253" s="62" t="e">
        <f t="shared" si="29"/>
        <v>#DIV/0!</v>
      </c>
      <c r="Q253" s="60" t="e">
        <f t="shared" si="30"/>
        <v>#DIV/0!</v>
      </c>
      <c r="R253" s="63" t="e">
        <f t="shared" si="31"/>
        <v>#DIV/0!</v>
      </c>
    </row>
    <row r="254" spans="1:18" x14ac:dyDescent="0.2">
      <c r="A254" s="57" t="s">
        <v>486</v>
      </c>
      <c r="B254" s="58" t="s">
        <v>188</v>
      </c>
      <c r="C254" s="58" t="s">
        <v>299</v>
      </c>
      <c r="D254" s="58" t="s">
        <v>550</v>
      </c>
      <c r="E254" s="59" t="s">
        <v>525</v>
      </c>
      <c r="F254" s="58" t="s">
        <v>494</v>
      </c>
      <c r="G254" s="58" t="s">
        <v>165</v>
      </c>
      <c r="H254" s="58" t="s">
        <v>11</v>
      </c>
      <c r="I254" s="58" t="s">
        <v>133</v>
      </c>
      <c r="J254" s="60">
        <v>65</v>
      </c>
      <c r="K254" s="60">
        <f t="shared" si="27"/>
        <v>50.980392156862742</v>
      </c>
      <c r="L254" s="61">
        <f>prodnorm42</f>
        <v>0</v>
      </c>
      <c r="M254" s="58" t="s">
        <v>41</v>
      </c>
      <c r="N254" s="62">
        <f>uurtarief42</f>
        <v>0</v>
      </c>
      <c r="O254" s="60" t="e">
        <f t="shared" si="28"/>
        <v>#DIV/0!</v>
      </c>
      <c r="P254" s="62" t="e">
        <f t="shared" si="29"/>
        <v>#DIV/0!</v>
      </c>
      <c r="Q254" s="60" t="e">
        <f t="shared" si="30"/>
        <v>#DIV/0!</v>
      </c>
      <c r="R254" s="63" t="e">
        <f t="shared" si="31"/>
        <v>#DIV/0!</v>
      </c>
    </row>
    <row r="255" spans="1:18" x14ac:dyDescent="0.2">
      <c r="A255" s="57" t="s">
        <v>486</v>
      </c>
      <c r="B255" s="58" t="s">
        <v>188</v>
      </c>
      <c r="C255" s="58" t="s">
        <v>299</v>
      </c>
      <c r="D255" s="58" t="s">
        <v>551</v>
      </c>
      <c r="E255" s="59" t="s">
        <v>552</v>
      </c>
      <c r="F255" s="58" t="s">
        <v>494</v>
      </c>
      <c r="G255" s="58" t="s">
        <v>153</v>
      </c>
      <c r="H255" s="58" t="s">
        <v>11</v>
      </c>
      <c r="I255" s="58" t="s">
        <v>133</v>
      </c>
      <c r="J255" s="60">
        <v>51</v>
      </c>
      <c r="K255" s="60">
        <f t="shared" si="27"/>
        <v>40</v>
      </c>
      <c r="L255" s="61">
        <f>prodnorm36</f>
        <v>0</v>
      </c>
      <c r="M255" s="58" t="s">
        <v>41</v>
      </c>
      <c r="N255" s="62">
        <f>uurtarief36</f>
        <v>0</v>
      </c>
      <c r="O255" s="60" t="e">
        <f t="shared" si="28"/>
        <v>#DIV/0!</v>
      </c>
      <c r="P255" s="62" t="e">
        <f t="shared" si="29"/>
        <v>#DIV/0!</v>
      </c>
      <c r="Q255" s="60" t="e">
        <f t="shared" si="30"/>
        <v>#DIV/0!</v>
      </c>
      <c r="R255" s="63" t="e">
        <f t="shared" si="31"/>
        <v>#DIV/0!</v>
      </c>
    </row>
    <row r="256" spans="1:18" x14ac:dyDescent="0.2">
      <c r="A256" s="57" t="s">
        <v>486</v>
      </c>
      <c r="B256" s="58" t="s">
        <v>188</v>
      </c>
      <c r="C256" s="58" t="s">
        <v>299</v>
      </c>
      <c r="D256" s="58" t="s">
        <v>553</v>
      </c>
      <c r="E256" s="59" t="s">
        <v>552</v>
      </c>
      <c r="F256" s="58" t="s">
        <v>494</v>
      </c>
      <c r="G256" s="58" t="s">
        <v>153</v>
      </c>
      <c r="H256" s="58" t="s">
        <v>11</v>
      </c>
      <c r="I256" s="58" t="s">
        <v>133</v>
      </c>
      <c r="J256" s="60">
        <v>51</v>
      </c>
      <c r="K256" s="60">
        <f t="shared" si="27"/>
        <v>40</v>
      </c>
      <c r="L256" s="61">
        <f>prodnorm36</f>
        <v>0</v>
      </c>
      <c r="M256" s="58" t="s">
        <v>41</v>
      </c>
      <c r="N256" s="62">
        <f>uurtarief36</f>
        <v>0</v>
      </c>
      <c r="O256" s="60" t="e">
        <f t="shared" si="28"/>
        <v>#DIV/0!</v>
      </c>
      <c r="P256" s="62" t="e">
        <f t="shared" si="29"/>
        <v>#DIV/0!</v>
      </c>
      <c r="Q256" s="60" t="e">
        <f t="shared" si="30"/>
        <v>#DIV/0!</v>
      </c>
      <c r="R256" s="63" t="e">
        <f t="shared" si="31"/>
        <v>#DIV/0!</v>
      </c>
    </row>
    <row r="257" spans="1:18" x14ac:dyDescent="0.2">
      <c r="A257" s="57" t="s">
        <v>486</v>
      </c>
      <c r="B257" s="58" t="s">
        <v>188</v>
      </c>
      <c r="C257" s="58" t="s">
        <v>299</v>
      </c>
      <c r="D257" s="58" t="s">
        <v>554</v>
      </c>
      <c r="E257" s="59" t="s">
        <v>538</v>
      </c>
      <c r="F257" s="58" t="s">
        <v>494</v>
      </c>
      <c r="G257" s="58" t="s">
        <v>171</v>
      </c>
      <c r="H257" s="58" t="s">
        <v>11</v>
      </c>
      <c r="I257" s="58" t="s">
        <v>133</v>
      </c>
      <c r="J257" s="60">
        <v>146</v>
      </c>
      <c r="K257" s="60">
        <f t="shared" si="27"/>
        <v>114.50980392156863</v>
      </c>
      <c r="L257" s="61">
        <f>prodnorm45</f>
        <v>0</v>
      </c>
      <c r="M257" s="58" t="s">
        <v>41</v>
      </c>
      <c r="N257" s="62">
        <f>uurtarief45</f>
        <v>0</v>
      </c>
      <c r="O257" s="60" t="e">
        <f t="shared" si="28"/>
        <v>#DIV/0!</v>
      </c>
      <c r="P257" s="62" t="e">
        <f t="shared" si="29"/>
        <v>#DIV/0!</v>
      </c>
      <c r="Q257" s="60" t="e">
        <f t="shared" si="30"/>
        <v>#DIV/0!</v>
      </c>
      <c r="R257" s="63" t="e">
        <f t="shared" si="31"/>
        <v>#DIV/0!</v>
      </c>
    </row>
    <row r="258" spans="1:18" x14ac:dyDescent="0.2">
      <c r="A258" s="57" t="s">
        <v>486</v>
      </c>
      <c r="B258" s="58" t="s">
        <v>188</v>
      </c>
      <c r="C258" s="58" t="s">
        <v>299</v>
      </c>
      <c r="D258" s="58" t="s">
        <v>555</v>
      </c>
      <c r="E258" s="59" t="s">
        <v>540</v>
      </c>
      <c r="F258" s="58" t="s">
        <v>489</v>
      </c>
      <c r="G258" s="58" t="s">
        <v>167</v>
      </c>
      <c r="H258" s="58" t="s">
        <v>11</v>
      </c>
      <c r="I258" s="58" t="s">
        <v>133</v>
      </c>
      <c r="J258" s="60">
        <v>12</v>
      </c>
      <c r="K258" s="60">
        <f t="shared" si="27"/>
        <v>9.4117647058823533</v>
      </c>
      <c r="L258" s="61">
        <f>prodnorm43</f>
        <v>0</v>
      </c>
      <c r="M258" s="58" t="s">
        <v>41</v>
      </c>
      <c r="N258" s="62">
        <f>uurtarief43</f>
        <v>0</v>
      </c>
      <c r="O258" s="60" t="e">
        <f t="shared" si="28"/>
        <v>#DIV/0!</v>
      </c>
      <c r="P258" s="62" t="e">
        <f t="shared" si="29"/>
        <v>#DIV/0!</v>
      </c>
      <c r="Q258" s="60" t="e">
        <f t="shared" si="30"/>
        <v>#DIV/0!</v>
      </c>
      <c r="R258" s="63" t="e">
        <f t="shared" si="31"/>
        <v>#DIV/0!</v>
      </c>
    </row>
    <row r="259" spans="1:18" x14ac:dyDescent="0.2">
      <c r="A259" s="57" t="s">
        <v>486</v>
      </c>
      <c r="B259" s="58" t="s">
        <v>188</v>
      </c>
      <c r="C259" s="58" t="s">
        <v>299</v>
      </c>
      <c r="D259" s="58" t="s">
        <v>556</v>
      </c>
      <c r="E259" s="59" t="s">
        <v>542</v>
      </c>
      <c r="F259" s="58" t="s">
        <v>489</v>
      </c>
      <c r="G259" s="58" t="s">
        <v>167</v>
      </c>
      <c r="H259" s="58" t="s">
        <v>11</v>
      </c>
      <c r="I259" s="58" t="s">
        <v>133</v>
      </c>
      <c r="J259" s="60">
        <v>13</v>
      </c>
      <c r="K259" s="60">
        <f t="shared" si="27"/>
        <v>10.196078431372548</v>
      </c>
      <c r="L259" s="61">
        <f>prodnorm43</f>
        <v>0</v>
      </c>
      <c r="M259" s="58" t="s">
        <v>41</v>
      </c>
      <c r="N259" s="62">
        <f>uurtarief43</f>
        <v>0</v>
      </c>
      <c r="O259" s="60" t="e">
        <f t="shared" si="28"/>
        <v>#DIV/0!</v>
      </c>
      <c r="P259" s="62" t="e">
        <f t="shared" si="29"/>
        <v>#DIV/0!</v>
      </c>
      <c r="Q259" s="60" t="e">
        <f t="shared" si="30"/>
        <v>#DIV/0!</v>
      </c>
      <c r="R259" s="63" t="e">
        <f t="shared" si="31"/>
        <v>#DIV/0!</v>
      </c>
    </row>
    <row r="260" spans="1:18" x14ac:dyDescent="0.2">
      <c r="A260" s="57" t="s">
        <v>486</v>
      </c>
      <c r="B260" s="58" t="s">
        <v>188</v>
      </c>
      <c r="C260" s="58" t="s">
        <v>336</v>
      </c>
      <c r="D260" s="58" t="s">
        <v>557</v>
      </c>
      <c r="E260" s="59" t="s">
        <v>558</v>
      </c>
      <c r="F260" s="58" t="s">
        <v>494</v>
      </c>
      <c r="G260" s="58" t="s">
        <v>135</v>
      </c>
      <c r="H260" s="58" t="s">
        <v>11</v>
      </c>
      <c r="I260" s="58" t="s">
        <v>133</v>
      </c>
      <c r="J260" s="60">
        <v>6</v>
      </c>
      <c r="K260" s="60">
        <f t="shared" si="27"/>
        <v>4.7058823529411766</v>
      </c>
      <c r="L260" s="61">
        <f>prodnorm23</f>
        <v>0</v>
      </c>
      <c r="M260" s="58" t="s">
        <v>41</v>
      </c>
      <c r="N260" s="62">
        <f>uurtarief23</f>
        <v>0</v>
      </c>
      <c r="O260" s="60" t="e">
        <f t="shared" si="28"/>
        <v>#DIV/0!</v>
      </c>
      <c r="P260" s="62" t="e">
        <f t="shared" si="29"/>
        <v>#DIV/0!</v>
      </c>
      <c r="Q260" s="60" t="e">
        <f t="shared" si="30"/>
        <v>#DIV/0!</v>
      </c>
      <c r="R260" s="63" t="e">
        <f t="shared" si="31"/>
        <v>#DIV/0!</v>
      </c>
    </row>
    <row r="261" spans="1:18" x14ac:dyDescent="0.2">
      <c r="A261" s="57" t="s">
        <v>486</v>
      </c>
      <c r="B261" s="58" t="s">
        <v>188</v>
      </c>
      <c r="C261" s="58" t="s">
        <v>336</v>
      </c>
      <c r="D261" s="58" t="s">
        <v>559</v>
      </c>
      <c r="E261" s="59" t="s">
        <v>491</v>
      </c>
      <c r="F261" s="58" t="s">
        <v>497</v>
      </c>
      <c r="G261" s="58" t="s">
        <v>173</v>
      </c>
      <c r="H261" s="58" t="s">
        <v>12</v>
      </c>
      <c r="I261" s="58" t="s">
        <v>174</v>
      </c>
      <c r="J261" s="60">
        <v>10</v>
      </c>
      <c r="K261" s="60">
        <f t="shared" si="27"/>
        <v>6.2745098039215685</v>
      </c>
      <c r="L261" s="61">
        <f>prodnorm21</f>
        <v>0</v>
      </c>
      <c r="M261" s="58" t="s">
        <v>41</v>
      </c>
      <c r="N261" s="62">
        <f>uurtarief21</f>
        <v>0</v>
      </c>
      <c r="O261" s="60" t="e">
        <f t="shared" si="28"/>
        <v>#DIV/0!</v>
      </c>
      <c r="P261" s="62" t="e">
        <f t="shared" si="29"/>
        <v>#DIV/0!</v>
      </c>
      <c r="Q261" s="60" t="e">
        <f t="shared" si="30"/>
        <v>#DIV/0!</v>
      </c>
      <c r="R261" s="63" t="e">
        <f t="shared" si="31"/>
        <v>#DIV/0!</v>
      </c>
    </row>
    <row r="262" spans="1:18" x14ac:dyDescent="0.2">
      <c r="A262" s="57" t="s">
        <v>486</v>
      </c>
      <c r="B262" s="58" t="s">
        <v>188</v>
      </c>
      <c r="C262" s="58" t="s">
        <v>336</v>
      </c>
      <c r="D262" s="58" t="s">
        <v>559</v>
      </c>
      <c r="E262" s="59" t="s">
        <v>491</v>
      </c>
      <c r="F262" s="58" t="s">
        <v>497</v>
      </c>
      <c r="G262" s="58" t="s">
        <v>137</v>
      </c>
      <c r="H262" s="58" t="s">
        <v>18</v>
      </c>
      <c r="I262" s="58" t="s">
        <v>133</v>
      </c>
      <c r="J262" s="60">
        <v>10</v>
      </c>
      <c r="K262" s="60">
        <f t="shared" si="27"/>
        <v>1.5686274509803921</v>
      </c>
      <c r="L262" s="61">
        <f>prodnorm26</f>
        <v>0</v>
      </c>
      <c r="M262" s="58" t="s">
        <v>41</v>
      </c>
      <c r="N262" s="62">
        <f>uurtarief26</f>
        <v>0</v>
      </c>
      <c r="O262" s="60" t="e">
        <f t="shared" si="28"/>
        <v>#DIV/0!</v>
      </c>
      <c r="P262" s="62" t="e">
        <f t="shared" si="29"/>
        <v>#DIV/0!</v>
      </c>
      <c r="Q262" s="60" t="e">
        <f t="shared" si="30"/>
        <v>#DIV/0!</v>
      </c>
      <c r="R262" s="63" t="e">
        <f t="shared" si="31"/>
        <v>#DIV/0!</v>
      </c>
    </row>
    <row r="263" spans="1:18" x14ac:dyDescent="0.2">
      <c r="A263" s="57" t="s">
        <v>486</v>
      </c>
      <c r="B263" s="58" t="s">
        <v>188</v>
      </c>
      <c r="C263" s="58" t="s">
        <v>336</v>
      </c>
      <c r="D263" s="58" t="s">
        <v>560</v>
      </c>
      <c r="E263" s="59" t="s">
        <v>514</v>
      </c>
      <c r="F263" s="58" t="s">
        <v>497</v>
      </c>
      <c r="G263" s="58" t="s">
        <v>173</v>
      </c>
      <c r="H263" s="58" t="s">
        <v>12</v>
      </c>
      <c r="I263" s="58" t="s">
        <v>174</v>
      </c>
      <c r="J263" s="60">
        <v>10</v>
      </c>
      <c r="K263" s="60">
        <f t="shared" si="27"/>
        <v>6.2745098039215685</v>
      </c>
      <c r="L263" s="61">
        <f>prodnorm21</f>
        <v>0</v>
      </c>
      <c r="M263" s="58" t="s">
        <v>41</v>
      </c>
      <c r="N263" s="62">
        <f>uurtarief21</f>
        <v>0</v>
      </c>
      <c r="O263" s="60" t="e">
        <f t="shared" si="28"/>
        <v>#DIV/0!</v>
      </c>
      <c r="P263" s="62" t="e">
        <f t="shared" si="29"/>
        <v>#DIV/0!</v>
      </c>
      <c r="Q263" s="60" t="e">
        <f t="shared" si="30"/>
        <v>#DIV/0!</v>
      </c>
      <c r="R263" s="63" t="e">
        <f t="shared" si="31"/>
        <v>#DIV/0!</v>
      </c>
    </row>
    <row r="264" spans="1:18" x14ac:dyDescent="0.2">
      <c r="A264" s="57" t="s">
        <v>486</v>
      </c>
      <c r="B264" s="58" t="s">
        <v>188</v>
      </c>
      <c r="C264" s="58" t="s">
        <v>336</v>
      </c>
      <c r="D264" s="58" t="s">
        <v>560</v>
      </c>
      <c r="E264" s="59" t="s">
        <v>514</v>
      </c>
      <c r="F264" s="58" t="s">
        <v>497</v>
      </c>
      <c r="G264" s="58" t="s">
        <v>137</v>
      </c>
      <c r="H264" s="58" t="s">
        <v>18</v>
      </c>
      <c r="I264" s="58" t="s">
        <v>133</v>
      </c>
      <c r="J264" s="60">
        <v>10</v>
      </c>
      <c r="K264" s="60">
        <f t="shared" si="27"/>
        <v>1.5686274509803921</v>
      </c>
      <c r="L264" s="61">
        <f>prodnorm26</f>
        <v>0</v>
      </c>
      <c r="M264" s="58" t="s">
        <v>41</v>
      </c>
      <c r="N264" s="62">
        <f>uurtarief26</f>
        <v>0</v>
      </c>
      <c r="O264" s="60" t="e">
        <f t="shared" si="28"/>
        <v>#DIV/0!</v>
      </c>
      <c r="P264" s="62" t="e">
        <f t="shared" si="29"/>
        <v>#DIV/0!</v>
      </c>
      <c r="Q264" s="60" t="e">
        <f t="shared" si="30"/>
        <v>#DIV/0!</v>
      </c>
      <c r="R264" s="63" t="e">
        <f t="shared" si="31"/>
        <v>#DIV/0!</v>
      </c>
    </row>
    <row r="265" spans="1:18" x14ac:dyDescent="0.2">
      <c r="A265" s="57" t="s">
        <v>486</v>
      </c>
      <c r="B265" s="58" t="s">
        <v>188</v>
      </c>
      <c r="C265" s="58" t="s">
        <v>336</v>
      </c>
      <c r="D265" s="58" t="s">
        <v>561</v>
      </c>
      <c r="E265" s="59" t="s">
        <v>552</v>
      </c>
      <c r="F265" s="58" t="s">
        <v>494</v>
      </c>
      <c r="G265" s="58" t="s">
        <v>153</v>
      </c>
      <c r="H265" s="58" t="s">
        <v>11</v>
      </c>
      <c r="I265" s="58" t="s">
        <v>133</v>
      </c>
      <c r="J265" s="60">
        <v>51</v>
      </c>
      <c r="K265" s="60">
        <f t="shared" si="27"/>
        <v>40</v>
      </c>
      <c r="L265" s="61">
        <f>prodnorm36</f>
        <v>0</v>
      </c>
      <c r="M265" s="58" t="s">
        <v>41</v>
      </c>
      <c r="N265" s="62">
        <f>uurtarief36</f>
        <v>0</v>
      </c>
      <c r="O265" s="60" t="e">
        <f t="shared" si="28"/>
        <v>#DIV/0!</v>
      </c>
      <c r="P265" s="62" t="e">
        <f t="shared" si="29"/>
        <v>#DIV/0!</v>
      </c>
      <c r="Q265" s="60" t="e">
        <f t="shared" si="30"/>
        <v>#DIV/0!</v>
      </c>
      <c r="R265" s="63" t="e">
        <f t="shared" si="31"/>
        <v>#DIV/0!</v>
      </c>
    </row>
    <row r="266" spans="1:18" x14ac:dyDescent="0.2">
      <c r="A266" s="57" t="s">
        <v>486</v>
      </c>
      <c r="B266" s="58" t="s">
        <v>188</v>
      </c>
      <c r="C266" s="58" t="s">
        <v>336</v>
      </c>
      <c r="D266" s="58" t="s">
        <v>562</v>
      </c>
      <c r="E266" s="59" t="s">
        <v>552</v>
      </c>
      <c r="F266" s="58" t="s">
        <v>494</v>
      </c>
      <c r="G266" s="58" t="s">
        <v>153</v>
      </c>
      <c r="H266" s="58" t="s">
        <v>11</v>
      </c>
      <c r="I266" s="58" t="s">
        <v>133</v>
      </c>
      <c r="J266" s="60">
        <v>51</v>
      </c>
      <c r="K266" s="60">
        <f t="shared" si="27"/>
        <v>40</v>
      </c>
      <c r="L266" s="61">
        <f>prodnorm36</f>
        <v>0</v>
      </c>
      <c r="M266" s="58" t="s">
        <v>41</v>
      </c>
      <c r="N266" s="62">
        <f>uurtarief36</f>
        <v>0</v>
      </c>
      <c r="O266" s="60" t="e">
        <f t="shared" si="28"/>
        <v>#DIV/0!</v>
      </c>
      <c r="P266" s="62" t="e">
        <f t="shared" si="29"/>
        <v>#DIV/0!</v>
      </c>
      <c r="Q266" s="60" t="e">
        <f t="shared" si="30"/>
        <v>#DIV/0!</v>
      </c>
      <c r="R266" s="63" t="e">
        <f t="shared" si="31"/>
        <v>#DIV/0!</v>
      </c>
    </row>
    <row r="267" spans="1:18" x14ac:dyDescent="0.2">
      <c r="A267" s="57" t="s">
        <v>486</v>
      </c>
      <c r="B267" s="58" t="s">
        <v>188</v>
      </c>
      <c r="C267" s="58" t="s">
        <v>336</v>
      </c>
      <c r="D267" s="58" t="s">
        <v>563</v>
      </c>
      <c r="E267" s="59" t="s">
        <v>552</v>
      </c>
      <c r="F267" s="58" t="s">
        <v>494</v>
      </c>
      <c r="G267" s="58" t="s">
        <v>153</v>
      </c>
      <c r="H267" s="58" t="s">
        <v>11</v>
      </c>
      <c r="I267" s="58" t="s">
        <v>133</v>
      </c>
      <c r="J267" s="60">
        <v>51</v>
      </c>
      <c r="K267" s="60">
        <f t="shared" si="27"/>
        <v>40</v>
      </c>
      <c r="L267" s="61">
        <f>prodnorm36</f>
        <v>0</v>
      </c>
      <c r="M267" s="58" t="s">
        <v>41</v>
      </c>
      <c r="N267" s="62">
        <f>uurtarief36</f>
        <v>0</v>
      </c>
      <c r="O267" s="60" t="e">
        <f t="shared" si="28"/>
        <v>#DIV/0!</v>
      </c>
      <c r="P267" s="62" t="e">
        <f t="shared" si="29"/>
        <v>#DIV/0!</v>
      </c>
      <c r="Q267" s="60" t="e">
        <f t="shared" si="30"/>
        <v>#DIV/0!</v>
      </c>
      <c r="R267" s="63" t="e">
        <f t="shared" si="31"/>
        <v>#DIV/0!</v>
      </c>
    </row>
    <row r="268" spans="1:18" x14ac:dyDescent="0.2">
      <c r="A268" s="57" t="s">
        <v>486</v>
      </c>
      <c r="B268" s="58" t="s">
        <v>188</v>
      </c>
      <c r="C268" s="58" t="s">
        <v>336</v>
      </c>
      <c r="D268" s="58" t="s">
        <v>564</v>
      </c>
      <c r="E268" s="59" t="s">
        <v>552</v>
      </c>
      <c r="F268" s="58" t="s">
        <v>494</v>
      </c>
      <c r="G268" s="58" t="s">
        <v>153</v>
      </c>
      <c r="H268" s="58" t="s">
        <v>11</v>
      </c>
      <c r="I268" s="58" t="s">
        <v>133</v>
      </c>
      <c r="J268" s="60">
        <v>51</v>
      </c>
      <c r="K268" s="60">
        <f t="shared" si="27"/>
        <v>40</v>
      </c>
      <c r="L268" s="61">
        <f>prodnorm36</f>
        <v>0</v>
      </c>
      <c r="M268" s="58" t="s">
        <v>41</v>
      </c>
      <c r="N268" s="62">
        <f>uurtarief36</f>
        <v>0</v>
      </c>
      <c r="O268" s="60" t="e">
        <f t="shared" si="28"/>
        <v>#DIV/0!</v>
      </c>
      <c r="P268" s="62" t="e">
        <f t="shared" si="29"/>
        <v>#DIV/0!</v>
      </c>
      <c r="Q268" s="60" t="e">
        <f t="shared" si="30"/>
        <v>#DIV/0!</v>
      </c>
      <c r="R268" s="63" t="e">
        <f t="shared" si="31"/>
        <v>#DIV/0!</v>
      </c>
    </row>
    <row r="269" spans="1:18" x14ac:dyDescent="0.2">
      <c r="A269" s="57" t="s">
        <v>486</v>
      </c>
      <c r="B269" s="58" t="s">
        <v>188</v>
      </c>
      <c r="C269" s="58" t="s">
        <v>336</v>
      </c>
      <c r="D269" s="58" t="s">
        <v>565</v>
      </c>
      <c r="E269" s="59" t="s">
        <v>514</v>
      </c>
      <c r="F269" s="58" t="s">
        <v>497</v>
      </c>
      <c r="G269" s="58" t="s">
        <v>173</v>
      </c>
      <c r="H269" s="58" t="s">
        <v>12</v>
      </c>
      <c r="I269" s="58" t="s">
        <v>174</v>
      </c>
      <c r="J269" s="60">
        <v>10</v>
      </c>
      <c r="K269" s="60">
        <f t="shared" si="27"/>
        <v>6.2745098039215685</v>
      </c>
      <c r="L269" s="61">
        <f>prodnorm21</f>
        <v>0</v>
      </c>
      <c r="M269" s="58" t="s">
        <v>41</v>
      </c>
      <c r="N269" s="62">
        <f>uurtarief21</f>
        <v>0</v>
      </c>
      <c r="O269" s="60" t="e">
        <f t="shared" si="28"/>
        <v>#DIV/0!</v>
      </c>
      <c r="P269" s="62" t="e">
        <f t="shared" si="29"/>
        <v>#DIV/0!</v>
      </c>
      <c r="Q269" s="60" t="e">
        <f t="shared" si="30"/>
        <v>#DIV/0!</v>
      </c>
      <c r="R269" s="63" t="e">
        <f t="shared" si="31"/>
        <v>#DIV/0!</v>
      </c>
    </row>
    <row r="270" spans="1:18" x14ac:dyDescent="0.2">
      <c r="A270" s="57" t="s">
        <v>486</v>
      </c>
      <c r="B270" s="58" t="s">
        <v>188</v>
      </c>
      <c r="C270" s="58" t="s">
        <v>336</v>
      </c>
      <c r="D270" s="58" t="s">
        <v>565</v>
      </c>
      <c r="E270" s="59" t="s">
        <v>514</v>
      </c>
      <c r="F270" s="58" t="s">
        <v>497</v>
      </c>
      <c r="G270" s="58" t="s">
        <v>137</v>
      </c>
      <c r="H270" s="58" t="s">
        <v>18</v>
      </c>
      <c r="I270" s="58" t="s">
        <v>133</v>
      </c>
      <c r="J270" s="60">
        <v>10</v>
      </c>
      <c r="K270" s="60">
        <f t="shared" si="27"/>
        <v>1.5686274509803921</v>
      </c>
      <c r="L270" s="61">
        <f>prodnorm26</f>
        <v>0</v>
      </c>
      <c r="M270" s="58" t="s">
        <v>41</v>
      </c>
      <c r="N270" s="62">
        <f>uurtarief26</f>
        <v>0</v>
      </c>
      <c r="O270" s="60" t="e">
        <f t="shared" si="28"/>
        <v>#DIV/0!</v>
      </c>
      <c r="P270" s="62" t="e">
        <f t="shared" si="29"/>
        <v>#DIV/0!</v>
      </c>
      <c r="Q270" s="60" t="e">
        <f t="shared" si="30"/>
        <v>#DIV/0!</v>
      </c>
      <c r="R270" s="63" t="e">
        <f t="shared" si="31"/>
        <v>#DIV/0!</v>
      </c>
    </row>
    <row r="271" spans="1:18" x14ac:dyDescent="0.2">
      <c r="A271" s="57" t="s">
        <v>486</v>
      </c>
      <c r="B271" s="58" t="s">
        <v>188</v>
      </c>
      <c r="C271" s="58" t="s">
        <v>336</v>
      </c>
      <c r="D271" s="58" t="s">
        <v>566</v>
      </c>
      <c r="E271" s="59" t="s">
        <v>491</v>
      </c>
      <c r="F271" s="58" t="s">
        <v>497</v>
      </c>
      <c r="G271" s="58" t="s">
        <v>173</v>
      </c>
      <c r="H271" s="58" t="s">
        <v>12</v>
      </c>
      <c r="I271" s="58" t="s">
        <v>174</v>
      </c>
      <c r="J271" s="60">
        <v>10</v>
      </c>
      <c r="K271" s="60">
        <f t="shared" si="27"/>
        <v>6.2745098039215685</v>
      </c>
      <c r="L271" s="61">
        <f>prodnorm21</f>
        <v>0</v>
      </c>
      <c r="M271" s="58" t="s">
        <v>41</v>
      </c>
      <c r="N271" s="62">
        <f>uurtarief21</f>
        <v>0</v>
      </c>
      <c r="O271" s="60" t="e">
        <f t="shared" si="28"/>
        <v>#DIV/0!</v>
      </c>
      <c r="P271" s="62" t="e">
        <f t="shared" si="29"/>
        <v>#DIV/0!</v>
      </c>
      <c r="Q271" s="60" t="e">
        <f t="shared" si="30"/>
        <v>#DIV/0!</v>
      </c>
      <c r="R271" s="63" t="e">
        <f t="shared" si="31"/>
        <v>#DIV/0!</v>
      </c>
    </row>
    <row r="272" spans="1:18" x14ac:dyDescent="0.2">
      <c r="A272" s="57" t="s">
        <v>486</v>
      </c>
      <c r="B272" s="58" t="s">
        <v>188</v>
      </c>
      <c r="C272" s="58" t="s">
        <v>336</v>
      </c>
      <c r="D272" s="58" t="s">
        <v>566</v>
      </c>
      <c r="E272" s="59" t="s">
        <v>491</v>
      </c>
      <c r="F272" s="58" t="s">
        <v>497</v>
      </c>
      <c r="G272" s="58" t="s">
        <v>137</v>
      </c>
      <c r="H272" s="58" t="s">
        <v>18</v>
      </c>
      <c r="I272" s="58" t="s">
        <v>133</v>
      </c>
      <c r="J272" s="60">
        <v>10</v>
      </c>
      <c r="K272" s="60">
        <f t="shared" si="27"/>
        <v>1.5686274509803921</v>
      </c>
      <c r="L272" s="61">
        <f>prodnorm26</f>
        <v>0</v>
      </c>
      <c r="M272" s="58" t="s">
        <v>41</v>
      </c>
      <c r="N272" s="62">
        <f>uurtarief26</f>
        <v>0</v>
      </c>
      <c r="O272" s="60" t="e">
        <f t="shared" si="28"/>
        <v>#DIV/0!</v>
      </c>
      <c r="P272" s="62" t="e">
        <f t="shared" si="29"/>
        <v>#DIV/0!</v>
      </c>
      <c r="Q272" s="60" t="e">
        <f t="shared" si="30"/>
        <v>#DIV/0!</v>
      </c>
      <c r="R272" s="63" t="e">
        <f t="shared" si="31"/>
        <v>#DIV/0!</v>
      </c>
    </row>
    <row r="273" spans="1:18" x14ac:dyDescent="0.2">
      <c r="A273" s="57" t="s">
        <v>486</v>
      </c>
      <c r="B273" s="58" t="s">
        <v>188</v>
      </c>
      <c r="C273" s="58" t="s">
        <v>336</v>
      </c>
      <c r="D273" s="58" t="s">
        <v>567</v>
      </c>
      <c r="E273" s="59" t="s">
        <v>558</v>
      </c>
      <c r="F273" s="58" t="s">
        <v>494</v>
      </c>
      <c r="G273" s="58" t="s">
        <v>135</v>
      </c>
      <c r="H273" s="58" t="s">
        <v>11</v>
      </c>
      <c r="I273" s="58" t="s">
        <v>133</v>
      </c>
      <c r="J273" s="60">
        <v>6</v>
      </c>
      <c r="K273" s="60">
        <f t="shared" ref="K273:K304" si="32">J273*VLOOKUP(H273,dagsoorttabel1,2,FALSE)</f>
        <v>4.7058823529411766</v>
      </c>
      <c r="L273" s="61">
        <f>prodnorm23</f>
        <v>0</v>
      </c>
      <c r="M273" s="58" t="s">
        <v>41</v>
      </c>
      <c r="N273" s="62">
        <f>uurtarief23</f>
        <v>0</v>
      </c>
      <c r="O273" s="60" t="e">
        <f t="shared" ref="O273:O304" si="33">IF(ISBLANK(L273),0,K273/ROUND(L273,4))</f>
        <v>#DIV/0!</v>
      </c>
      <c r="P273" s="62" t="e">
        <f t="shared" ref="P273:P304" si="34">ROUND(N273,2)*O273</f>
        <v>#DIV/0!</v>
      </c>
      <c r="Q273" s="60" t="e">
        <f t="shared" ref="Q273:Q304" si="35">O273*dagenperjaar1</f>
        <v>#DIV/0!</v>
      </c>
      <c r="R273" s="63" t="e">
        <f t="shared" ref="R273:R304" si="36">Q273*ROUND(N273,2)</f>
        <v>#DIV/0!</v>
      </c>
    </row>
    <row r="274" spans="1:18" x14ac:dyDescent="0.2">
      <c r="A274" s="57" t="s">
        <v>486</v>
      </c>
      <c r="B274" s="58" t="s">
        <v>188</v>
      </c>
      <c r="C274" s="58" t="s">
        <v>336</v>
      </c>
      <c r="D274" s="58" t="s">
        <v>568</v>
      </c>
      <c r="E274" s="59" t="s">
        <v>538</v>
      </c>
      <c r="F274" s="58" t="s">
        <v>494</v>
      </c>
      <c r="G274" s="58" t="s">
        <v>171</v>
      </c>
      <c r="H274" s="58" t="s">
        <v>11</v>
      </c>
      <c r="I274" s="58" t="s">
        <v>133</v>
      </c>
      <c r="J274" s="60">
        <v>185</v>
      </c>
      <c r="K274" s="60">
        <f t="shared" si="32"/>
        <v>145.09803921568627</v>
      </c>
      <c r="L274" s="61">
        <f>prodnorm45</f>
        <v>0</v>
      </c>
      <c r="M274" s="58" t="s">
        <v>41</v>
      </c>
      <c r="N274" s="62">
        <f>uurtarief45</f>
        <v>0</v>
      </c>
      <c r="O274" s="60" t="e">
        <f t="shared" si="33"/>
        <v>#DIV/0!</v>
      </c>
      <c r="P274" s="62" t="e">
        <f t="shared" si="34"/>
        <v>#DIV/0!</v>
      </c>
      <c r="Q274" s="60" t="e">
        <f t="shared" si="35"/>
        <v>#DIV/0!</v>
      </c>
      <c r="R274" s="63" t="e">
        <f t="shared" si="36"/>
        <v>#DIV/0!</v>
      </c>
    </row>
    <row r="275" spans="1:18" x14ac:dyDescent="0.2">
      <c r="A275" s="57" t="s">
        <v>486</v>
      </c>
      <c r="B275" s="58" t="s">
        <v>188</v>
      </c>
      <c r="C275" s="58" t="s">
        <v>336</v>
      </c>
      <c r="D275" s="58" t="s">
        <v>569</v>
      </c>
      <c r="E275" s="59" t="s">
        <v>540</v>
      </c>
      <c r="F275" s="58" t="s">
        <v>489</v>
      </c>
      <c r="G275" s="58" t="s">
        <v>167</v>
      </c>
      <c r="H275" s="58" t="s">
        <v>11</v>
      </c>
      <c r="I275" s="58" t="s">
        <v>133</v>
      </c>
      <c r="J275" s="60">
        <v>12</v>
      </c>
      <c r="K275" s="60">
        <f t="shared" si="32"/>
        <v>9.4117647058823533</v>
      </c>
      <c r="L275" s="61">
        <f>prodnorm43</f>
        <v>0</v>
      </c>
      <c r="M275" s="58" t="s">
        <v>41</v>
      </c>
      <c r="N275" s="62">
        <f>uurtarief43</f>
        <v>0</v>
      </c>
      <c r="O275" s="60" t="e">
        <f t="shared" si="33"/>
        <v>#DIV/0!</v>
      </c>
      <c r="P275" s="62" t="e">
        <f t="shared" si="34"/>
        <v>#DIV/0!</v>
      </c>
      <c r="Q275" s="60" t="e">
        <f t="shared" si="35"/>
        <v>#DIV/0!</v>
      </c>
      <c r="R275" s="63" t="e">
        <f t="shared" si="36"/>
        <v>#DIV/0!</v>
      </c>
    </row>
    <row r="276" spans="1:18" x14ac:dyDescent="0.2">
      <c r="A276" s="57" t="s">
        <v>486</v>
      </c>
      <c r="B276" s="58" t="s">
        <v>188</v>
      </c>
      <c r="C276" s="58" t="s">
        <v>336</v>
      </c>
      <c r="D276" s="58" t="s">
        <v>570</v>
      </c>
      <c r="E276" s="59" t="s">
        <v>542</v>
      </c>
      <c r="F276" s="58" t="s">
        <v>489</v>
      </c>
      <c r="G276" s="58" t="s">
        <v>167</v>
      </c>
      <c r="H276" s="58" t="s">
        <v>11</v>
      </c>
      <c r="I276" s="58" t="s">
        <v>133</v>
      </c>
      <c r="J276" s="60">
        <v>13</v>
      </c>
      <c r="K276" s="60">
        <f t="shared" si="32"/>
        <v>10.196078431372548</v>
      </c>
      <c r="L276" s="61">
        <f>prodnorm43</f>
        <v>0</v>
      </c>
      <c r="M276" s="58" t="s">
        <v>41</v>
      </c>
      <c r="N276" s="62">
        <f>uurtarief43</f>
        <v>0</v>
      </c>
      <c r="O276" s="60" t="e">
        <f t="shared" si="33"/>
        <v>#DIV/0!</v>
      </c>
      <c r="P276" s="62" t="e">
        <f t="shared" si="34"/>
        <v>#DIV/0!</v>
      </c>
      <c r="Q276" s="60" t="e">
        <f t="shared" si="35"/>
        <v>#DIV/0!</v>
      </c>
      <c r="R276" s="63" t="e">
        <f t="shared" si="36"/>
        <v>#DIV/0!</v>
      </c>
    </row>
    <row r="277" spans="1:18" x14ac:dyDescent="0.2">
      <c r="A277" s="57" t="s">
        <v>486</v>
      </c>
      <c r="B277" s="58" t="s">
        <v>188</v>
      </c>
      <c r="C277" s="58" t="s">
        <v>336</v>
      </c>
      <c r="D277" s="58" t="s">
        <v>571</v>
      </c>
      <c r="E277" s="59" t="s">
        <v>572</v>
      </c>
      <c r="F277" s="58" t="s">
        <v>489</v>
      </c>
      <c r="G277" s="58" t="s">
        <v>167</v>
      </c>
      <c r="H277" s="58" t="s">
        <v>11</v>
      </c>
      <c r="I277" s="58" t="s">
        <v>133</v>
      </c>
      <c r="J277" s="60">
        <v>5</v>
      </c>
      <c r="K277" s="60">
        <f t="shared" si="32"/>
        <v>3.9215686274509802</v>
      </c>
      <c r="L277" s="61">
        <f>prodnorm43</f>
        <v>0</v>
      </c>
      <c r="M277" s="58" t="s">
        <v>41</v>
      </c>
      <c r="N277" s="62">
        <f>uurtarief43</f>
        <v>0</v>
      </c>
      <c r="O277" s="60" t="e">
        <f t="shared" si="33"/>
        <v>#DIV/0!</v>
      </c>
      <c r="P277" s="62" t="e">
        <f t="shared" si="34"/>
        <v>#DIV/0!</v>
      </c>
      <c r="Q277" s="60" t="e">
        <f t="shared" si="35"/>
        <v>#DIV/0!</v>
      </c>
      <c r="R277" s="63" t="e">
        <f t="shared" si="36"/>
        <v>#DIV/0!</v>
      </c>
    </row>
    <row r="278" spans="1:18" x14ac:dyDescent="0.2">
      <c r="A278" s="57" t="s">
        <v>486</v>
      </c>
      <c r="B278" s="58" t="s">
        <v>188</v>
      </c>
      <c r="C278" s="58" t="s">
        <v>367</v>
      </c>
      <c r="D278" s="58" t="s">
        <v>573</v>
      </c>
      <c r="E278" s="59" t="s">
        <v>552</v>
      </c>
      <c r="F278" s="58" t="s">
        <v>494</v>
      </c>
      <c r="G278" s="58" t="s">
        <v>153</v>
      </c>
      <c r="H278" s="58" t="s">
        <v>11</v>
      </c>
      <c r="I278" s="58" t="s">
        <v>133</v>
      </c>
      <c r="J278" s="60">
        <v>44.4</v>
      </c>
      <c r="K278" s="60">
        <f t="shared" si="32"/>
        <v>34.823529411764703</v>
      </c>
      <c r="L278" s="61">
        <f>prodnorm36</f>
        <v>0</v>
      </c>
      <c r="M278" s="58" t="s">
        <v>41</v>
      </c>
      <c r="N278" s="62">
        <f>uurtarief36</f>
        <v>0</v>
      </c>
      <c r="O278" s="60" t="e">
        <f t="shared" si="33"/>
        <v>#DIV/0!</v>
      </c>
      <c r="P278" s="62" t="e">
        <f t="shared" si="34"/>
        <v>#DIV/0!</v>
      </c>
      <c r="Q278" s="60" t="e">
        <f t="shared" si="35"/>
        <v>#DIV/0!</v>
      </c>
      <c r="R278" s="63" t="e">
        <f t="shared" si="36"/>
        <v>#DIV/0!</v>
      </c>
    </row>
    <row r="279" spans="1:18" x14ac:dyDescent="0.2">
      <c r="A279" s="57" t="s">
        <v>486</v>
      </c>
      <c r="B279" s="58" t="s">
        <v>188</v>
      </c>
      <c r="C279" s="58" t="s">
        <v>367</v>
      </c>
      <c r="D279" s="58" t="s">
        <v>574</v>
      </c>
      <c r="E279" s="59" t="s">
        <v>552</v>
      </c>
      <c r="F279" s="58" t="s">
        <v>494</v>
      </c>
      <c r="G279" s="58" t="s">
        <v>153</v>
      </c>
      <c r="H279" s="58" t="s">
        <v>11</v>
      </c>
      <c r="I279" s="58" t="s">
        <v>133</v>
      </c>
      <c r="J279" s="60">
        <v>44.4</v>
      </c>
      <c r="K279" s="60">
        <f t="shared" si="32"/>
        <v>34.823529411764703</v>
      </c>
      <c r="L279" s="61">
        <f>prodnorm36</f>
        <v>0</v>
      </c>
      <c r="M279" s="58" t="s">
        <v>41</v>
      </c>
      <c r="N279" s="62">
        <f>uurtarief36</f>
        <v>0</v>
      </c>
      <c r="O279" s="60" t="e">
        <f t="shared" si="33"/>
        <v>#DIV/0!</v>
      </c>
      <c r="P279" s="62" t="e">
        <f t="shared" si="34"/>
        <v>#DIV/0!</v>
      </c>
      <c r="Q279" s="60" t="e">
        <f t="shared" si="35"/>
        <v>#DIV/0!</v>
      </c>
      <c r="R279" s="63" t="e">
        <f t="shared" si="36"/>
        <v>#DIV/0!</v>
      </c>
    </row>
    <row r="280" spans="1:18" x14ac:dyDescent="0.2">
      <c r="A280" s="57" t="s">
        <v>486</v>
      </c>
      <c r="B280" s="58" t="s">
        <v>188</v>
      </c>
      <c r="C280" s="58" t="s">
        <v>367</v>
      </c>
      <c r="D280" s="58" t="s">
        <v>575</v>
      </c>
      <c r="E280" s="59" t="s">
        <v>491</v>
      </c>
      <c r="F280" s="58" t="s">
        <v>497</v>
      </c>
      <c r="G280" s="58" t="s">
        <v>173</v>
      </c>
      <c r="H280" s="58" t="s">
        <v>12</v>
      </c>
      <c r="I280" s="58" t="s">
        <v>174</v>
      </c>
      <c r="J280" s="60">
        <v>14.5</v>
      </c>
      <c r="K280" s="60">
        <f t="shared" si="32"/>
        <v>9.0980392156862742</v>
      </c>
      <c r="L280" s="61">
        <f>prodnorm21</f>
        <v>0</v>
      </c>
      <c r="M280" s="58" t="s">
        <v>41</v>
      </c>
      <c r="N280" s="62">
        <f>uurtarief21</f>
        <v>0</v>
      </c>
      <c r="O280" s="60" t="e">
        <f t="shared" si="33"/>
        <v>#DIV/0!</v>
      </c>
      <c r="P280" s="62" t="e">
        <f t="shared" si="34"/>
        <v>#DIV/0!</v>
      </c>
      <c r="Q280" s="60" t="e">
        <f t="shared" si="35"/>
        <v>#DIV/0!</v>
      </c>
      <c r="R280" s="63" t="e">
        <f t="shared" si="36"/>
        <v>#DIV/0!</v>
      </c>
    </row>
    <row r="281" spans="1:18" x14ac:dyDescent="0.2">
      <c r="A281" s="57" t="s">
        <v>486</v>
      </c>
      <c r="B281" s="58" t="s">
        <v>188</v>
      </c>
      <c r="C281" s="58" t="s">
        <v>367</v>
      </c>
      <c r="D281" s="58" t="s">
        <v>575</v>
      </c>
      <c r="E281" s="59" t="s">
        <v>491</v>
      </c>
      <c r="F281" s="58" t="s">
        <v>497</v>
      </c>
      <c r="G281" s="58" t="s">
        <v>137</v>
      </c>
      <c r="H281" s="58" t="s">
        <v>18</v>
      </c>
      <c r="I281" s="58" t="s">
        <v>133</v>
      </c>
      <c r="J281" s="60">
        <v>14.5</v>
      </c>
      <c r="K281" s="60">
        <f t="shared" si="32"/>
        <v>2.2745098039215685</v>
      </c>
      <c r="L281" s="61">
        <f>prodnorm26</f>
        <v>0</v>
      </c>
      <c r="M281" s="58" t="s">
        <v>41</v>
      </c>
      <c r="N281" s="62">
        <f>uurtarief26</f>
        <v>0</v>
      </c>
      <c r="O281" s="60" t="e">
        <f t="shared" si="33"/>
        <v>#DIV/0!</v>
      </c>
      <c r="P281" s="62" t="e">
        <f t="shared" si="34"/>
        <v>#DIV/0!</v>
      </c>
      <c r="Q281" s="60" t="e">
        <f t="shared" si="35"/>
        <v>#DIV/0!</v>
      </c>
      <c r="R281" s="63" t="e">
        <f t="shared" si="36"/>
        <v>#DIV/0!</v>
      </c>
    </row>
    <row r="282" spans="1:18" x14ac:dyDescent="0.2">
      <c r="A282" s="57" t="s">
        <v>486</v>
      </c>
      <c r="B282" s="58" t="s">
        <v>188</v>
      </c>
      <c r="C282" s="58" t="s">
        <v>367</v>
      </c>
      <c r="D282" s="58" t="s">
        <v>576</v>
      </c>
      <c r="E282" s="59" t="s">
        <v>577</v>
      </c>
      <c r="F282" s="58" t="s">
        <v>192</v>
      </c>
      <c r="G282" s="58" t="s">
        <v>153</v>
      </c>
      <c r="H282" s="58" t="s">
        <v>11</v>
      </c>
      <c r="I282" s="58" t="s">
        <v>133</v>
      </c>
      <c r="J282" s="60">
        <v>42</v>
      </c>
      <c r="K282" s="60">
        <f t="shared" si="32"/>
        <v>32.941176470588232</v>
      </c>
      <c r="L282" s="61">
        <f>prodnorm36</f>
        <v>0</v>
      </c>
      <c r="M282" s="58" t="s">
        <v>41</v>
      </c>
      <c r="N282" s="62">
        <f>uurtarief36</f>
        <v>0</v>
      </c>
      <c r="O282" s="60" t="e">
        <f t="shared" si="33"/>
        <v>#DIV/0!</v>
      </c>
      <c r="P282" s="62" t="e">
        <f t="shared" si="34"/>
        <v>#DIV/0!</v>
      </c>
      <c r="Q282" s="60" t="e">
        <f t="shared" si="35"/>
        <v>#DIV/0!</v>
      </c>
      <c r="R282" s="63" t="e">
        <f t="shared" si="36"/>
        <v>#DIV/0!</v>
      </c>
    </row>
    <row r="283" spans="1:18" x14ac:dyDescent="0.2">
      <c r="A283" s="57" t="s">
        <v>486</v>
      </c>
      <c r="B283" s="58" t="s">
        <v>188</v>
      </c>
      <c r="C283" s="58" t="s">
        <v>367</v>
      </c>
      <c r="D283" s="58" t="s">
        <v>578</v>
      </c>
      <c r="E283" s="59" t="s">
        <v>577</v>
      </c>
      <c r="F283" s="58" t="s">
        <v>192</v>
      </c>
      <c r="G283" s="58" t="s">
        <v>153</v>
      </c>
      <c r="H283" s="58" t="s">
        <v>11</v>
      </c>
      <c r="I283" s="58" t="s">
        <v>133</v>
      </c>
      <c r="J283" s="60">
        <v>42</v>
      </c>
      <c r="K283" s="60">
        <f t="shared" si="32"/>
        <v>32.941176470588232</v>
      </c>
      <c r="L283" s="61">
        <f>prodnorm36</f>
        <v>0</v>
      </c>
      <c r="M283" s="58" t="s">
        <v>41</v>
      </c>
      <c r="N283" s="62">
        <f>uurtarief36</f>
        <v>0</v>
      </c>
      <c r="O283" s="60" t="e">
        <f t="shared" si="33"/>
        <v>#DIV/0!</v>
      </c>
      <c r="P283" s="62" t="e">
        <f t="shared" si="34"/>
        <v>#DIV/0!</v>
      </c>
      <c r="Q283" s="60" t="e">
        <f t="shared" si="35"/>
        <v>#DIV/0!</v>
      </c>
      <c r="R283" s="63" t="e">
        <f t="shared" si="36"/>
        <v>#DIV/0!</v>
      </c>
    </row>
    <row r="284" spans="1:18" x14ac:dyDescent="0.2">
      <c r="A284" s="57" t="s">
        <v>486</v>
      </c>
      <c r="B284" s="58" t="s">
        <v>188</v>
      </c>
      <c r="C284" s="58" t="s">
        <v>367</v>
      </c>
      <c r="D284" s="58" t="s">
        <v>579</v>
      </c>
      <c r="E284" s="59" t="s">
        <v>580</v>
      </c>
      <c r="F284" s="58" t="s">
        <v>497</v>
      </c>
      <c r="G284" s="58" t="s">
        <v>155</v>
      </c>
      <c r="H284" s="58" t="s">
        <v>11</v>
      </c>
      <c r="I284" s="58" t="s">
        <v>133</v>
      </c>
      <c r="J284" s="60">
        <v>105</v>
      </c>
      <c r="K284" s="60">
        <f t="shared" si="32"/>
        <v>82.352941176470594</v>
      </c>
      <c r="L284" s="61">
        <f>prodnorm37</f>
        <v>0</v>
      </c>
      <c r="M284" s="58" t="s">
        <v>41</v>
      </c>
      <c r="N284" s="62">
        <f>uurtarief37</f>
        <v>0</v>
      </c>
      <c r="O284" s="60" t="e">
        <f t="shared" si="33"/>
        <v>#DIV/0!</v>
      </c>
      <c r="P284" s="62" t="e">
        <f t="shared" si="34"/>
        <v>#DIV/0!</v>
      </c>
      <c r="Q284" s="60" t="e">
        <f t="shared" si="35"/>
        <v>#DIV/0!</v>
      </c>
      <c r="R284" s="63" t="e">
        <f t="shared" si="36"/>
        <v>#DIV/0!</v>
      </c>
    </row>
    <row r="285" spans="1:18" x14ac:dyDescent="0.2">
      <c r="A285" s="57" t="s">
        <v>486</v>
      </c>
      <c r="B285" s="58" t="s">
        <v>188</v>
      </c>
      <c r="C285" s="58" t="s">
        <v>367</v>
      </c>
      <c r="D285" s="58" t="s">
        <v>581</v>
      </c>
      <c r="E285" s="59" t="s">
        <v>582</v>
      </c>
      <c r="F285" s="58" t="s">
        <v>489</v>
      </c>
      <c r="G285" s="58" t="s">
        <v>167</v>
      </c>
      <c r="H285" s="58" t="s">
        <v>11</v>
      </c>
      <c r="I285" s="58" t="s">
        <v>133</v>
      </c>
      <c r="J285" s="60">
        <v>6</v>
      </c>
      <c r="K285" s="60">
        <f t="shared" si="32"/>
        <v>4.7058823529411766</v>
      </c>
      <c r="L285" s="61">
        <f>prodnorm43</f>
        <v>0</v>
      </c>
      <c r="M285" s="58" t="s">
        <v>41</v>
      </c>
      <c r="N285" s="62">
        <f>uurtarief43</f>
        <v>0</v>
      </c>
      <c r="O285" s="60" t="e">
        <f t="shared" si="33"/>
        <v>#DIV/0!</v>
      </c>
      <c r="P285" s="62" t="e">
        <f t="shared" si="34"/>
        <v>#DIV/0!</v>
      </c>
      <c r="Q285" s="60" t="e">
        <f t="shared" si="35"/>
        <v>#DIV/0!</v>
      </c>
      <c r="R285" s="63" t="e">
        <f t="shared" si="36"/>
        <v>#DIV/0!</v>
      </c>
    </row>
    <row r="286" spans="1:18" x14ac:dyDescent="0.2">
      <c r="A286" s="57" t="s">
        <v>486</v>
      </c>
      <c r="B286" s="58" t="s">
        <v>188</v>
      </c>
      <c r="C286" s="58" t="s">
        <v>367</v>
      </c>
      <c r="D286" s="58" t="s">
        <v>583</v>
      </c>
      <c r="E286" s="59" t="s">
        <v>584</v>
      </c>
      <c r="F286" s="58" t="s">
        <v>489</v>
      </c>
      <c r="G286" s="58" t="s">
        <v>167</v>
      </c>
      <c r="H286" s="58" t="s">
        <v>11</v>
      </c>
      <c r="I286" s="58" t="s">
        <v>133</v>
      </c>
      <c r="J286" s="60">
        <v>6.5</v>
      </c>
      <c r="K286" s="60">
        <f t="shared" si="32"/>
        <v>5.0980392156862742</v>
      </c>
      <c r="L286" s="61">
        <f>prodnorm43</f>
        <v>0</v>
      </c>
      <c r="M286" s="58" t="s">
        <v>41</v>
      </c>
      <c r="N286" s="62">
        <f>uurtarief43</f>
        <v>0</v>
      </c>
      <c r="O286" s="60" t="e">
        <f t="shared" si="33"/>
        <v>#DIV/0!</v>
      </c>
      <c r="P286" s="62" t="e">
        <f t="shared" si="34"/>
        <v>#DIV/0!</v>
      </c>
      <c r="Q286" s="60" t="e">
        <f t="shared" si="35"/>
        <v>#DIV/0!</v>
      </c>
      <c r="R286" s="63" t="e">
        <f t="shared" si="36"/>
        <v>#DIV/0!</v>
      </c>
    </row>
    <row r="287" spans="1:18" x14ac:dyDescent="0.2">
      <c r="A287" s="57" t="s">
        <v>486</v>
      </c>
      <c r="B287" s="58" t="s">
        <v>188</v>
      </c>
      <c r="C287" s="58" t="s">
        <v>367</v>
      </c>
      <c r="D287" s="58" t="s">
        <v>585</v>
      </c>
      <c r="E287" s="59" t="s">
        <v>586</v>
      </c>
      <c r="F287" s="58" t="s">
        <v>494</v>
      </c>
      <c r="G287" s="58" t="s">
        <v>171</v>
      </c>
      <c r="H287" s="58" t="s">
        <v>11</v>
      </c>
      <c r="I287" s="58" t="s">
        <v>133</v>
      </c>
      <c r="J287" s="60">
        <v>92.5</v>
      </c>
      <c r="K287" s="60">
        <f t="shared" si="32"/>
        <v>72.549019607843135</v>
      </c>
      <c r="L287" s="61">
        <f>prodnorm45</f>
        <v>0</v>
      </c>
      <c r="M287" s="58" t="s">
        <v>41</v>
      </c>
      <c r="N287" s="62">
        <f>uurtarief45</f>
        <v>0</v>
      </c>
      <c r="O287" s="60" t="e">
        <f t="shared" si="33"/>
        <v>#DIV/0!</v>
      </c>
      <c r="P287" s="62" t="e">
        <f t="shared" si="34"/>
        <v>#DIV/0!</v>
      </c>
      <c r="Q287" s="60" t="e">
        <f t="shared" si="35"/>
        <v>#DIV/0!</v>
      </c>
      <c r="R287" s="63" t="e">
        <f t="shared" si="36"/>
        <v>#DIV/0!</v>
      </c>
    </row>
    <row r="288" spans="1:18" x14ac:dyDescent="0.2">
      <c r="A288" s="57" t="s">
        <v>486</v>
      </c>
      <c r="B288" s="58" t="s">
        <v>188</v>
      </c>
      <c r="C288" s="58" t="s">
        <v>367</v>
      </c>
      <c r="D288" s="58" t="s">
        <v>587</v>
      </c>
      <c r="E288" s="59" t="s">
        <v>588</v>
      </c>
      <c r="F288" s="58" t="s">
        <v>494</v>
      </c>
      <c r="G288" s="58" t="s">
        <v>171</v>
      </c>
      <c r="H288" s="58" t="s">
        <v>11</v>
      </c>
      <c r="I288" s="58" t="s">
        <v>133</v>
      </c>
      <c r="J288" s="60">
        <v>1.7</v>
      </c>
      <c r="K288" s="60">
        <f t="shared" si="32"/>
        <v>1.3333333333333333</v>
      </c>
      <c r="L288" s="61">
        <f>prodnorm45</f>
        <v>0</v>
      </c>
      <c r="M288" s="58" t="s">
        <v>41</v>
      </c>
      <c r="N288" s="62">
        <f>uurtarief45</f>
        <v>0</v>
      </c>
      <c r="O288" s="60" t="e">
        <f t="shared" si="33"/>
        <v>#DIV/0!</v>
      </c>
      <c r="P288" s="62" t="e">
        <f t="shared" si="34"/>
        <v>#DIV/0!</v>
      </c>
      <c r="Q288" s="60" t="e">
        <f t="shared" si="35"/>
        <v>#DIV/0!</v>
      </c>
      <c r="R288" s="63" t="e">
        <f t="shared" si="36"/>
        <v>#DIV/0!</v>
      </c>
    </row>
    <row r="289" spans="1:18" x14ac:dyDescent="0.2">
      <c r="A289" s="57" t="s">
        <v>486</v>
      </c>
      <c r="B289" s="58" t="s">
        <v>188</v>
      </c>
      <c r="C289" s="58" t="s">
        <v>367</v>
      </c>
      <c r="D289" s="58" t="s">
        <v>589</v>
      </c>
      <c r="E289" s="59" t="s">
        <v>588</v>
      </c>
      <c r="F289" s="58" t="s">
        <v>494</v>
      </c>
      <c r="G289" s="58" t="s">
        <v>171</v>
      </c>
      <c r="H289" s="58" t="s">
        <v>11</v>
      </c>
      <c r="I289" s="58" t="s">
        <v>133</v>
      </c>
      <c r="J289" s="60">
        <v>1.7</v>
      </c>
      <c r="K289" s="60">
        <f t="shared" si="32"/>
        <v>1.3333333333333333</v>
      </c>
      <c r="L289" s="61">
        <f>prodnorm45</f>
        <v>0</v>
      </c>
      <c r="M289" s="58" t="s">
        <v>41</v>
      </c>
      <c r="N289" s="62">
        <f>uurtarief45</f>
        <v>0</v>
      </c>
      <c r="O289" s="60" t="e">
        <f t="shared" si="33"/>
        <v>#DIV/0!</v>
      </c>
      <c r="P289" s="62" t="e">
        <f t="shared" si="34"/>
        <v>#DIV/0!</v>
      </c>
      <c r="Q289" s="60" t="e">
        <f t="shared" si="35"/>
        <v>#DIV/0!</v>
      </c>
      <c r="R289" s="63" t="e">
        <f t="shared" si="36"/>
        <v>#DIV/0!</v>
      </c>
    </row>
    <row r="290" spans="1:18" x14ac:dyDescent="0.2">
      <c r="A290" s="57" t="s">
        <v>486</v>
      </c>
      <c r="B290" s="58" t="s">
        <v>378</v>
      </c>
      <c r="C290" s="58" t="s">
        <v>189</v>
      </c>
      <c r="D290" s="58" t="s">
        <v>590</v>
      </c>
      <c r="E290" s="59" t="s">
        <v>591</v>
      </c>
      <c r="F290" s="58" t="s">
        <v>592</v>
      </c>
      <c r="G290" s="58" t="s">
        <v>169</v>
      </c>
      <c r="H290" s="58" t="s">
        <v>11</v>
      </c>
      <c r="I290" s="58" t="s">
        <v>133</v>
      </c>
      <c r="J290" s="60">
        <v>4.8</v>
      </c>
      <c r="K290" s="60">
        <f t="shared" si="32"/>
        <v>3.7647058823529411</v>
      </c>
      <c r="L290" s="61">
        <f>prodnorm44</f>
        <v>0</v>
      </c>
      <c r="M290" s="58" t="s">
        <v>41</v>
      </c>
      <c r="N290" s="62">
        <f>uurtarief44</f>
        <v>0</v>
      </c>
      <c r="O290" s="60" t="e">
        <f t="shared" si="33"/>
        <v>#DIV/0!</v>
      </c>
      <c r="P290" s="62" t="e">
        <f t="shared" si="34"/>
        <v>#DIV/0!</v>
      </c>
      <c r="Q290" s="60" t="e">
        <f t="shared" si="35"/>
        <v>#DIV/0!</v>
      </c>
      <c r="R290" s="63" t="e">
        <f t="shared" si="36"/>
        <v>#DIV/0!</v>
      </c>
    </row>
    <row r="291" spans="1:18" x14ac:dyDescent="0.2">
      <c r="A291" s="57" t="s">
        <v>486</v>
      </c>
      <c r="B291" s="58" t="s">
        <v>378</v>
      </c>
      <c r="C291" s="58" t="s">
        <v>593</v>
      </c>
      <c r="D291" s="58" t="s">
        <v>594</v>
      </c>
      <c r="E291" s="59" t="s">
        <v>591</v>
      </c>
      <c r="F291" s="58" t="s">
        <v>592</v>
      </c>
      <c r="G291" s="58" t="s">
        <v>169</v>
      </c>
      <c r="H291" s="58" t="s">
        <v>11</v>
      </c>
      <c r="I291" s="58" t="s">
        <v>133</v>
      </c>
      <c r="J291" s="60">
        <v>4.8</v>
      </c>
      <c r="K291" s="60">
        <f t="shared" si="32"/>
        <v>3.7647058823529411</v>
      </c>
      <c r="L291" s="61">
        <f>prodnorm44</f>
        <v>0</v>
      </c>
      <c r="M291" s="58" t="s">
        <v>41</v>
      </c>
      <c r="N291" s="62">
        <f>uurtarief44</f>
        <v>0</v>
      </c>
      <c r="O291" s="60" t="e">
        <f t="shared" si="33"/>
        <v>#DIV/0!</v>
      </c>
      <c r="P291" s="62" t="e">
        <f t="shared" si="34"/>
        <v>#DIV/0!</v>
      </c>
      <c r="Q291" s="60" t="e">
        <f t="shared" si="35"/>
        <v>#DIV/0!</v>
      </c>
      <c r="R291" s="63" t="e">
        <f t="shared" si="36"/>
        <v>#DIV/0!</v>
      </c>
    </row>
    <row r="292" spans="1:18" x14ac:dyDescent="0.2">
      <c r="A292" s="57" t="s">
        <v>486</v>
      </c>
      <c r="B292" s="58" t="s">
        <v>378</v>
      </c>
      <c r="C292" s="58" t="s">
        <v>193</v>
      </c>
      <c r="D292" s="58" t="s">
        <v>595</v>
      </c>
      <c r="E292" s="59" t="s">
        <v>596</v>
      </c>
      <c r="F292" s="58" t="s">
        <v>489</v>
      </c>
      <c r="G292" s="58" t="s">
        <v>159</v>
      </c>
      <c r="H292" s="58" t="s">
        <v>11</v>
      </c>
      <c r="I292" s="58" t="s">
        <v>133</v>
      </c>
      <c r="J292" s="60">
        <v>50</v>
      </c>
      <c r="K292" s="60">
        <f t="shared" si="32"/>
        <v>39.215686274509807</v>
      </c>
      <c r="L292" s="61">
        <f>prodnorm39</f>
        <v>0</v>
      </c>
      <c r="M292" s="58" t="s">
        <v>41</v>
      </c>
      <c r="N292" s="62">
        <f>uurtarief39</f>
        <v>0</v>
      </c>
      <c r="O292" s="60" t="e">
        <f t="shared" si="33"/>
        <v>#DIV/0!</v>
      </c>
      <c r="P292" s="62" t="e">
        <f t="shared" si="34"/>
        <v>#DIV/0!</v>
      </c>
      <c r="Q292" s="60" t="e">
        <f t="shared" si="35"/>
        <v>#DIV/0!</v>
      </c>
      <c r="R292" s="63" t="e">
        <f t="shared" si="36"/>
        <v>#DIV/0!</v>
      </c>
    </row>
    <row r="293" spans="1:18" x14ac:dyDescent="0.2">
      <c r="A293" s="57" t="s">
        <v>486</v>
      </c>
      <c r="B293" s="58" t="s">
        <v>378</v>
      </c>
      <c r="C293" s="58" t="s">
        <v>193</v>
      </c>
      <c r="D293" s="58" t="s">
        <v>597</v>
      </c>
      <c r="E293" s="59" t="s">
        <v>598</v>
      </c>
      <c r="F293" s="58" t="s">
        <v>506</v>
      </c>
      <c r="G293" s="58" t="s">
        <v>132</v>
      </c>
      <c r="H293" s="58" t="s">
        <v>11</v>
      </c>
      <c r="I293" s="58" t="s">
        <v>133</v>
      </c>
      <c r="J293" s="60">
        <v>221</v>
      </c>
      <c r="K293" s="60">
        <f t="shared" si="32"/>
        <v>173.33333333333334</v>
      </c>
      <c r="L293" s="61">
        <f>prodnorm22</f>
        <v>0</v>
      </c>
      <c r="M293" s="58" t="s">
        <v>41</v>
      </c>
      <c r="N293" s="62">
        <f>uurtarief22</f>
        <v>0</v>
      </c>
      <c r="O293" s="60" t="e">
        <f t="shared" si="33"/>
        <v>#DIV/0!</v>
      </c>
      <c r="P293" s="62" t="e">
        <f t="shared" si="34"/>
        <v>#DIV/0!</v>
      </c>
      <c r="Q293" s="60" t="e">
        <f t="shared" si="35"/>
        <v>#DIV/0!</v>
      </c>
      <c r="R293" s="63" t="e">
        <f t="shared" si="36"/>
        <v>#DIV/0!</v>
      </c>
    </row>
    <row r="294" spans="1:18" x14ac:dyDescent="0.2">
      <c r="A294" s="57" t="s">
        <v>486</v>
      </c>
      <c r="B294" s="58" t="s">
        <v>378</v>
      </c>
      <c r="C294" s="58" t="s">
        <v>193</v>
      </c>
      <c r="D294" s="58" t="s">
        <v>599</v>
      </c>
      <c r="E294" s="59" t="s">
        <v>251</v>
      </c>
      <c r="F294" s="58" t="s">
        <v>506</v>
      </c>
      <c r="G294" s="58" t="s">
        <v>132</v>
      </c>
      <c r="H294" s="58" t="s">
        <v>11</v>
      </c>
      <c r="I294" s="58" t="s">
        <v>133</v>
      </c>
      <c r="J294" s="60">
        <v>252</v>
      </c>
      <c r="K294" s="60">
        <f t="shared" si="32"/>
        <v>197.64705882352942</v>
      </c>
      <c r="L294" s="61">
        <f>prodnorm22</f>
        <v>0</v>
      </c>
      <c r="M294" s="58" t="s">
        <v>41</v>
      </c>
      <c r="N294" s="62">
        <f>uurtarief22</f>
        <v>0</v>
      </c>
      <c r="O294" s="60" t="e">
        <f t="shared" si="33"/>
        <v>#DIV/0!</v>
      </c>
      <c r="P294" s="62" t="e">
        <f t="shared" si="34"/>
        <v>#DIV/0!</v>
      </c>
      <c r="Q294" s="60" t="e">
        <f t="shared" si="35"/>
        <v>#DIV/0!</v>
      </c>
      <c r="R294" s="63" t="e">
        <f t="shared" si="36"/>
        <v>#DIV/0!</v>
      </c>
    </row>
    <row r="295" spans="1:18" x14ac:dyDescent="0.2">
      <c r="A295" s="57" t="s">
        <v>486</v>
      </c>
      <c r="B295" s="58" t="s">
        <v>378</v>
      </c>
      <c r="C295" s="58" t="s">
        <v>193</v>
      </c>
      <c r="D295" s="58" t="s">
        <v>600</v>
      </c>
      <c r="E295" s="59" t="s">
        <v>591</v>
      </c>
      <c r="F295" s="58" t="s">
        <v>592</v>
      </c>
      <c r="G295" s="58" t="s">
        <v>169</v>
      </c>
      <c r="H295" s="58" t="s">
        <v>11</v>
      </c>
      <c r="I295" s="58" t="s">
        <v>133</v>
      </c>
      <c r="J295" s="60">
        <v>29</v>
      </c>
      <c r="K295" s="60">
        <f t="shared" si="32"/>
        <v>22.745098039215687</v>
      </c>
      <c r="L295" s="61">
        <f>prodnorm44</f>
        <v>0</v>
      </c>
      <c r="M295" s="58" t="s">
        <v>41</v>
      </c>
      <c r="N295" s="62">
        <f>uurtarief44</f>
        <v>0</v>
      </c>
      <c r="O295" s="60" t="e">
        <f t="shared" si="33"/>
        <v>#DIV/0!</v>
      </c>
      <c r="P295" s="62" t="e">
        <f t="shared" si="34"/>
        <v>#DIV/0!</v>
      </c>
      <c r="Q295" s="60" t="e">
        <f t="shared" si="35"/>
        <v>#DIV/0!</v>
      </c>
      <c r="R295" s="63" t="e">
        <f t="shared" si="36"/>
        <v>#DIV/0!</v>
      </c>
    </row>
    <row r="296" spans="1:18" x14ac:dyDescent="0.2">
      <c r="A296" s="57" t="s">
        <v>486</v>
      </c>
      <c r="B296" s="58" t="s">
        <v>378</v>
      </c>
      <c r="C296" s="58" t="s">
        <v>252</v>
      </c>
      <c r="D296" s="58" t="s">
        <v>601</v>
      </c>
      <c r="E296" s="59" t="s">
        <v>491</v>
      </c>
      <c r="F296" s="58" t="s">
        <v>497</v>
      </c>
      <c r="G296" s="58" t="s">
        <v>173</v>
      </c>
      <c r="H296" s="58" t="s">
        <v>12</v>
      </c>
      <c r="I296" s="58" t="s">
        <v>174</v>
      </c>
      <c r="J296" s="60">
        <v>29</v>
      </c>
      <c r="K296" s="60">
        <f t="shared" si="32"/>
        <v>18.196078431372548</v>
      </c>
      <c r="L296" s="61">
        <f>prodnorm21</f>
        <v>0</v>
      </c>
      <c r="M296" s="58" t="s">
        <v>41</v>
      </c>
      <c r="N296" s="62">
        <f>uurtarief21</f>
        <v>0</v>
      </c>
      <c r="O296" s="60" t="e">
        <f t="shared" si="33"/>
        <v>#DIV/0!</v>
      </c>
      <c r="P296" s="62" t="e">
        <f t="shared" si="34"/>
        <v>#DIV/0!</v>
      </c>
      <c r="Q296" s="60" t="e">
        <f t="shared" si="35"/>
        <v>#DIV/0!</v>
      </c>
      <c r="R296" s="63" t="e">
        <f t="shared" si="36"/>
        <v>#DIV/0!</v>
      </c>
    </row>
    <row r="297" spans="1:18" x14ac:dyDescent="0.2">
      <c r="A297" s="57" t="s">
        <v>486</v>
      </c>
      <c r="B297" s="58" t="s">
        <v>378</v>
      </c>
      <c r="C297" s="58" t="s">
        <v>252</v>
      </c>
      <c r="D297" s="58" t="s">
        <v>601</v>
      </c>
      <c r="E297" s="59" t="s">
        <v>491</v>
      </c>
      <c r="F297" s="58" t="s">
        <v>497</v>
      </c>
      <c r="G297" s="58" t="s">
        <v>137</v>
      </c>
      <c r="H297" s="58" t="s">
        <v>18</v>
      </c>
      <c r="I297" s="58" t="s">
        <v>133</v>
      </c>
      <c r="J297" s="60">
        <v>29</v>
      </c>
      <c r="K297" s="60">
        <f t="shared" si="32"/>
        <v>4.5490196078431371</v>
      </c>
      <c r="L297" s="61">
        <f>prodnorm26</f>
        <v>0</v>
      </c>
      <c r="M297" s="58" t="s">
        <v>41</v>
      </c>
      <c r="N297" s="62">
        <f>uurtarief26</f>
        <v>0</v>
      </c>
      <c r="O297" s="60" t="e">
        <f t="shared" si="33"/>
        <v>#DIV/0!</v>
      </c>
      <c r="P297" s="62" t="e">
        <f t="shared" si="34"/>
        <v>#DIV/0!</v>
      </c>
      <c r="Q297" s="60" t="e">
        <f t="shared" si="35"/>
        <v>#DIV/0!</v>
      </c>
      <c r="R297" s="63" t="e">
        <f t="shared" si="36"/>
        <v>#DIV/0!</v>
      </c>
    </row>
    <row r="298" spans="1:18" x14ac:dyDescent="0.2">
      <c r="A298" s="57" t="s">
        <v>486</v>
      </c>
      <c r="B298" s="58" t="s">
        <v>378</v>
      </c>
      <c r="C298" s="58" t="s">
        <v>252</v>
      </c>
      <c r="D298" s="58" t="s">
        <v>602</v>
      </c>
      <c r="E298" s="59" t="s">
        <v>491</v>
      </c>
      <c r="F298" s="58" t="s">
        <v>497</v>
      </c>
      <c r="G298" s="58" t="s">
        <v>173</v>
      </c>
      <c r="H298" s="58" t="s">
        <v>12</v>
      </c>
      <c r="I298" s="58" t="s">
        <v>174</v>
      </c>
      <c r="J298" s="60">
        <v>42</v>
      </c>
      <c r="K298" s="60">
        <f t="shared" si="32"/>
        <v>26.352941176470587</v>
      </c>
      <c r="L298" s="61">
        <f>prodnorm21</f>
        <v>0</v>
      </c>
      <c r="M298" s="58" t="s">
        <v>41</v>
      </c>
      <c r="N298" s="62">
        <f>uurtarief21</f>
        <v>0</v>
      </c>
      <c r="O298" s="60" t="e">
        <f t="shared" si="33"/>
        <v>#DIV/0!</v>
      </c>
      <c r="P298" s="62" t="e">
        <f t="shared" si="34"/>
        <v>#DIV/0!</v>
      </c>
      <c r="Q298" s="60" t="e">
        <f t="shared" si="35"/>
        <v>#DIV/0!</v>
      </c>
      <c r="R298" s="63" t="e">
        <f t="shared" si="36"/>
        <v>#DIV/0!</v>
      </c>
    </row>
    <row r="299" spans="1:18" x14ac:dyDescent="0.2">
      <c r="A299" s="57" t="s">
        <v>486</v>
      </c>
      <c r="B299" s="58" t="s">
        <v>378</v>
      </c>
      <c r="C299" s="58" t="s">
        <v>252</v>
      </c>
      <c r="D299" s="58" t="s">
        <v>602</v>
      </c>
      <c r="E299" s="59" t="s">
        <v>491</v>
      </c>
      <c r="F299" s="58" t="s">
        <v>497</v>
      </c>
      <c r="G299" s="58" t="s">
        <v>137</v>
      </c>
      <c r="H299" s="58" t="s">
        <v>18</v>
      </c>
      <c r="I299" s="58" t="s">
        <v>133</v>
      </c>
      <c r="J299" s="60">
        <v>42</v>
      </c>
      <c r="K299" s="60">
        <f t="shared" si="32"/>
        <v>6.5882352941176467</v>
      </c>
      <c r="L299" s="61">
        <f>prodnorm26</f>
        <v>0</v>
      </c>
      <c r="M299" s="58" t="s">
        <v>41</v>
      </c>
      <c r="N299" s="62">
        <f>uurtarief26</f>
        <v>0</v>
      </c>
      <c r="O299" s="60" t="e">
        <f t="shared" si="33"/>
        <v>#DIV/0!</v>
      </c>
      <c r="P299" s="62" t="e">
        <f t="shared" si="34"/>
        <v>#DIV/0!</v>
      </c>
      <c r="Q299" s="60" t="e">
        <f t="shared" si="35"/>
        <v>#DIV/0!</v>
      </c>
      <c r="R299" s="63" t="e">
        <f t="shared" si="36"/>
        <v>#DIV/0!</v>
      </c>
    </row>
    <row r="300" spans="1:18" x14ac:dyDescent="0.2">
      <c r="A300" s="57" t="s">
        <v>486</v>
      </c>
      <c r="B300" s="58" t="s">
        <v>378</v>
      </c>
      <c r="C300" s="58" t="s">
        <v>252</v>
      </c>
      <c r="D300" s="58" t="s">
        <v>603</v>
      </c>
      <c r="E300" s="59" t="s">
        <v>491</v>
      </c>
      <c r="F300" s="58" t="s">
        <v>497</v>
      </c>
      <c r="G300" s="58" t="s">
        <v>173</v>
      </c>
      <c r="H300" s="58" t="s">
        <v>12</v>
      </c>
      <c r="I300" s="58" t="s">
        <v>174</v>
      </c>
      <c r="J300" s="60">
        <v>26</v>
      </c>
      <c r="K300" s="60">
        <f t="shared" si="32"/>
        <v>16.313725490196077</v>
      </c>
      <c r="L300" s="61">
        <f>prodnorm21</f>
        <v>0</v>
      </c>
      <c r="M300" s="58" t="s">
        <v>41</v>
      </c>
      <c r="N300" s="62">
        <f>uurtarief21</f>
        <v>0</v>
      </c>
      <c r="O300" s="60" t="e">
        <f t="shared" si="33"/>
        <v>#DIV/0!</v>
      </c>
      <c r="P300" s="62" t="e">
        <f t="shared" si="34"/>
        <v>#DIV/0!</v>
      </c>
      <c r="Q300" s="60" t="e">
        <f t="shared" si="35"/>
        <v>#DIV/0!</v>
      </c>
      <c r="R300" s="63" t="e">
        <f t="shared" si="36"/>
        <v>#DIV/0!</v>
      </c>
    </row>
    <row r="301" spans="1:18" x14ac:dyDescent="0.2">
      <c r="A301" s="57" t="s">
        <v>486</v>
      </c>
      <c r="B301" s="58" t="s">
        <v>378</v>
      </c>
      <c r="C301" s="58" t="s">
        <v>252</v>
      </c>
      <c r="D301" s="58" t="s">
        <v>603</v>
      </c>
      <c r="E301" s="59" t="s">
        <v>491</v>
      </c>
      <c r="F301" s="58" t="s">
        <v>497</v>
      </c>
      <c r="G301" s="58" t="s">
        <v>137</v>
      </c>
      <c r="H301" s="58" t="s">
        <v>18</v>
      </c>
      <c r="I301" s="58" t="s">
        <v>133</v>
      </c>
      <c r="J301" s="60">
        <v>26</v>
      </c>
      <c r="K301" s="60">
        <f t="shared" si="32"/>
        <v>4.0784313725490193</v>
      </c>
      <c r="L301" s="61">
        <f>prodnorm26</f>
        <v>0</v>
      </c>
      <c r="M301" s="58" t="s">
        <v>41</v>
      </c>
      <c r="N301" s="62">
        <f>uurtarief26</f>
        <v>0</v>
      </c>
      <c r="O301" s="60" t="e">
        <f t="shared" si="33"/>
        <v>#DIV/0!</v>
      </c>
      <c r="P301" s="62" t="e">
        <f t="shared" si="34"/>
        <v>#DIV/0!</v>
      </c>
      <c r="Q301" s="60" t="e">
        <f t="shared" si="35"/>
        <v>#DIV/0!</v>
      </c>
      <c r="R301" s="63" t="e">
        <f t="shared" si="36"/>
        <v>#DIV/0!</v>
      </c>
    </row>
    <row r="302" spans="1:18" x14ac:dyDescent="0.2">
      <c r="A302" s="57" t="s">
        <v>486</v>
      </c>
      <c r="B302" s="58" t="s">
        <v>378</v>
      </c>
      <c r="C302" s="58" t="s">
        <v>252</v>
      </c>
      <c r="D302" s="58" t="s">
        <v>604</v>
      </c>
      <c r="E302" s="59" t="s">
        <v>491</v>
      </c>
      <c r="F302" s="58" t="s">
        <v>497</v>
      </c>
      <c r="G302" s="58" t="s">
        <v>173</v>
      </c>
      <c r="H302" s="58" t="s">
        <v>12</v>
      </c>
      <c r="I302" s="58" t="s">
        <v>174</v>
      </c>
      <c r="J302" s="60">
        <v>26</v>
      </c>
      <c r="K302" s="60">
        <f t="shared" si="32"/>
        <v>16.313725490196077</v>
      </c>
      <c r="L302" s="61">
        <f>prodnorm21</f>
        <v>0</v>
      </c>
      <c r="M302" s="58" t="s">
        <v>41</v>
      </c>
      <c r="N302" s="62">
        <f>uurtarief21</f>
        <v>0</v>
      </c>
      <c r="O302" s="60" t="e">
        <f t="shared" si="33"/>
        <v>#DIV/0!</v>
      </c>
      <c r="P302" s="62" t="e">
        <f t="shared" si="34"/>
        <v>#DIV/0!</v>
      </c>
      <c r="Q302" s="60" t="e">
        <f t="shared" si="35"/>
        <v>#DIV/0!</v>
      </c>
      <c r="R302" s="63" t="e">
        <f t="shared" si="36"/>
        <v>#DIV/0!</v>
      </c>
    </row>
    <row r="303" spans="1:18" x14ac:dyDescent="0.2">
      <c r="A303" s="57" t="s">
        <v>486</v>
      </c>
      <c r="B303" s="58" t="s">
        <v>378</v>
      </c>
      <c r="C303" s="58" t="s">
        <v>252</v>
      </c>
      <c r="D303" s="58" t="s">
        <v>604</v>
      </c>
      <c r="E303" s="59" t="s">
        <v>491</v>
      </c>
      <c r="F303" s="58" t="s">
        <v>497</v>
      </c>
      <c r="G303" s="58" t="s">
        <v>137</v>
      </c>
      <c r="H303" s="58" t="s">
        <v>18</v>
      </c>
      <c r="I303" s="58" t="s">
        <v>133</v>
      </c>
      <c r="J303" s="60">
        <v>26</v>
      </c>
      <c r="K303" s="60">
        <f t="shared" si="32"/>
        <v>4.0784313725490193</v>
      </c>
      <c r="L303" s="61">
        <f>prodnorm26</f>
        <v>0</v>
      </c>
      <c r="M303" s="58" t="s">
        <v>41</v>
      </c>
      <c r="N303" s="62">
        <f>uurtarief26</f>
        <v>0</v>
      </c>
      <c r="O303" s="60" t="e">
        <f t="shared" si="33"/>
        <v>#DIV/0!</v>
      </c>
      <c r="P303" s="62" t="e">
        <f t="shared" si="34"/>
        <v>#DIV/0!</v>
      </c>
      <c r="Q303" s="60" t="e">
        <f t="shared" si="35"/>
        <v>#DIV/0!</v>
      </c>
      <c r="R303" s="63" t="e">
        <f t="shared" si="36"/>
        <v>#DIV/0!</v>
      </c>
    </row>
    <row r="304" spans="1:18" x14ac:dyDescent="0.2">
      <c r="A304" s="57" t="s">
        <v>486</v>
      </c>
      <c r="B304" s="58" t="s">
        <v>378</v>
      </c>
      <c r="C304" s="58" t="s">
        <v>252</v>
      </c>
      <c r="D304" s="58" t="s">
        <v>605</v>
      </c>
      <c r="E304" s="59" t="s">
        <v>552</v>
      </c>
      <c r="F304" s="58" t="s">
        <v>489</v>
      </c>
      <c r="G304" s="58" t="s">
        <v>153</v>
      </c>
      <c r="H304" s="58" t="s">
        <v>11</v>
      </c>
      <c r="I304" s="58" t="s">
        <v>133</v>
      </c>
      <c r="J304" s="60">
        <v>52</v>
      </c>
      <c r="K304" s="60">
        <f t="shared" si="32"/>
        <v>40.784313725490193</v>
      </c>
      <c r="L304" s="61">
        <f>prodnorm36</f>
        <v>0</v>
      </c>
      <c r="M304" s="58" t="s">
        <v>41</v>
      </c>
      <c r="N304" s="62">
        <f>uurtarief36</f>
        <v>0</v>
      </c>
      <c r="O304" s="60" t="e">
        <f t="shared" si="33"/>
        <v>#DIV/0!</v>
      </c>
      <c r="P304" s="62" t="e">
        <f t="shared" si="34"/>
        <v>#DIV/0!</v>
      </c>
      <c r="Q304" s="60" t="e">
        <f t="shared" si="35"/>
        <v>#DIV/0!</v>
      </c>
      <c r="R304" s="63" t="e">
        <f t="shared" si="36"/>
        <v>#DIV/0!</v>
      </c>
    </row>
    <row r="305" spans="1:18" x14ac:dyDescent="0.2">
      <c r="A305" s="57" t="s">
        <v>486</v>
      </c>
      <c r="B305" s="58" t="s">
        <v>378</v>
      </c>
      <c r="C305" s="58" t="s">
        <v>252</v>
      </c>
      <c r="D305" s="58" t="s">
        <v>606</v>
      </c>
      <c r="E305" s="59" t="s">
        <v>552</v>
      </c>
      <c r="F305" s="58" t="s">
        <v>489</v>
      </c>
      <c r="G305" s="58" t="s">
        <v>153</v>
      </c>
      <c r="H305" s="58" t="s">
        <v>11</v>
      </c>
      <c r="I305" s="58" t="s">
        <v>133</v>
      </c>
      <c r="J305" s="60">
        <v>52</v>
      </c>
      <c r="K305" s="60">
        <f t="shared" ref="K305:K336" si="37">J305*VLOOKUP(H305,dagsoorttabel1,2,FALSE)</f>
        <v>40.784313725490193</v>
      </c>
      <c r="L305" s="61">
        <f>prodnorm36</f>
        <v>0</v>
      </c>
      <c r="M305" s="58" t="s">
        <v>41</v>
      </c>
      <c r="N305" s="62">
        <f>uurtarief36</f>
        <v>0</v>
      </c>
      <c r="O305" s="60" t="e">
        <f t="shared" ref="O305:O336" si="38">IF(ISBLANK(L305),0,K305/ROUND(L305,4))</f>
        <v>#DIV/0!</v>
      </c>
      <c r="P305" s="62" t="e">
        <f t="shared" ref="P305:P336" si="39">ROUND(N305,2)*O305</f>
        <v>#DIV/0!</v>
      </c>
      <c r="Q305" s="60" t="e">
        <f t="shared" ref="Q305:Q336" si="40">O305*dagenperjaar1</f>
        <v>#DIV/0!</v>
      </c>
      <c r="R305" s="63" t="e">
        <f t="shared" ref="R305:R336" si="41">Q305*ROUND(N305,2)</f>
        <v>#DIV/0!</v>
      </c>
    </row>
    <row r="306" spans="1:18" x14ac:dyDescent="0.2">
      <c r="A306" s="57" t="s">
        <v>486</v>
      </c>
      <c r="B306" s="58" t="s">
        <v>378</v>
      </c>
      <c r="C306" s="58" t="s">
        <v>252</v>
      </c>
      <c r="D306" s="58" t="s">
        <v>607</v>
      </c>
      <c r="E306" s="59" t="s">
        <v>552</v>
      </c>
      <c r="F306" s="58" t="s">
        <v>489</v>
      </c>
      <c r="G306" s="58" t="s">
        <v>153</v>
      </c>
      <c r="H306" s="58" t="s">
        <v>11</v>
      </c>
      <c r="I306" s="58" t="s">
        <v>133</v>
      </c>
      <c r="J306" s="60">
        <v>52</v>
      </c>
      <c r="K306" s="60">
        <f t="shared" si="37"/>
        <v>40.784313725490193</v>
      </c>
      <c r="L306" s="61">
        <f>prodnorm36</f>
        <v>0</v>
      </c>
      <c r="M306" s="58" t="s">
        <v>41</v>
      </c>
      <c r="N306" s="62">
        <f>uurtarief36</f>
        <v>0</v>
      </c>
      <c r="O306" s="60" t="e">
        <f t="shared" si="38"/>
        <v>#DIV/0!</v>
      </c>
      <c r="P306" s="62" t="e">
        <f t="shared" si="39"/>
        <v>#DIV/0!</v>
      </c>
      <c r="Q306" s="60" t="e">
        <f t="shared" si="40"/>
        <v>#DIV/0!</v>
      </c>
      <c r="R306" s="63" t="e">
        <f t="shared" si="41"/>
        <v>#DIV/0!</v>
      </c>
    </row>
    <row r="307" spans="1:18" x14ac:dyDescent="0.2">
      <c r="A307" s="57" t="s">
        <v>486</v>
      </c>
      <c r="B307" s="58" t="s">
        <v>378</v>
      </c>
      <c r="C307" s="58" t="s">
        <v>252</v>
      </c>
      <c r="D307" s="58" t="s">
        <v>608</v>
      </c>
      <c r="E307" s="59" t="s">
        <v>552</v>
      </c>
      <c r="F307" s="58" t="s">
        <v>489</v>
      </c>
      <c r="G307" s="58" t="s">
        <v>153</v>
      </c>
      <c r="H307" s="58" t="s">
        <v>11</v>
      </c>
      <c r="I307" s="58" t="s">
        <v>133</v>
      </c>
      <c r="J307" s="60">
        <v>45</v>
      </c>
      <c r="K307" s="60">
        <f t="shared" si="37"/>
        <v>35.294117647058826</v>
      </c>
      <c r="L307" s="61">
        <f>prodnorm36</f>
        <v>0</v>
      </c>
      <c r="M307" s="58" t="s">
        <v>41</v>
      </c>
      <c r="N307" s="62">
        <f>uurtarief36</f>
        <v>0</v>
      </c>
      <c r="O307" s="60" t="e">
        <f t="shared" si="38"/>
        <v>#DIV/0!</v>
      </c>
      <c r="P307" s="62" t="e">
        <f t="shared" si="39"/>
        <v>#DIV/0!</v>
      </c>
      <c r="Q307" s="60" t="e">
        <f t="shared" si="40"/>
        <v>#DIV/0!</v>
      </c>
      <c r="R307" s="63" t="e">
        <f t="shared" si="41"/>
        <v>#DIV/0!</v>
      </c>
    </row>
    <row r="308" spans="1:18" x14ac:dyDescent="0.2">
      <c r="A308" s="57" t="s">
        <v>486</v>
      </c>
      <c r="B308" s="58" t="s">
        <v>378</v>
      </c>
      <c r="C308" s="58" t="s">
        <v>252</v>
      </c>
      <c r="D308" s="58" t="s">
        <v>609</v>
      </c>
      <c r="E308" s="59" t="s">
        <v>514</v>
      </c>
      <c r="F308" s="58" t="s">
        <v>497</v>
      </c>
      <c r="G308" s="58" t="s">
        <v>173</v>
      </c>
      <c r="H308" s="58" t="s">
        <v>12</v>
      </c>
      <c r="I308" s="58" t="s">
        <v>174</v>
      </c>
      <c r="J308" s="60">
        <v>18</v>
      </c>
      <c r="K308" s="60">
        <f t="shared" si="37"/>
        <v>11.294117647058822</v>
      </c>
      <c r="L308" s="61">
        <f>prodnorm21</f>
        <v>0</v>
      </c>
      <c r="M308" s="58" t="s">
        <v>41</v>
      </c>
      <c r="N308" s="62">
        <f>uurtarief21</f>
        <v>0</v>
      </c>
      <c r="O308" s="60" t="e">
        <f t="shared" si="38"/>
        <v>#DIV/0!</v>
      </c>
      <c r="P308" s="62" t="e">
        <f t="shared" si="39"/>
        <v>#DIV/0!</v>
      </c>
      <c r="Q308" s="60" t="e">
        <f t="shared" si="40"/>
        <v>#DIV/0!</v>
      </c>
      <c r="R308" s="63" t="e">
        <f t="shared" si="41"/>
        <v>#DIV/0!</v>
      </c>
    </row>
    <row r="309" spans="1:18" x14ac:dyDescent="0.2">
      <c r="A309" s="57" t="s">
        <v>486</v>
      </c>
      <c r="B309" s="58" t="s">
        <v>378</v>
      </c>
      <c r="C309" s="58" t="s">
        <v>252</v>
      </c>
      <c r="D309" s="58" t="s">
        <v>609</v>
      </c>
      <c r="E309" s="59" t="s">
        <v>514</v>
      </c>
      <c r="F309" s="58" t="s">
        <v>497</v>
      </c>
      <c r="G309" s="58" t="s">
        <v>137</v>
      </c>
      <c r="H309" s="58" t="s">
        <v>18</v>
      </c>
      <c r="I309" s="58" t="s">
        <v>133</v>
      </c>
      <c r="J309" s="60">
        <v>18</v>
      </c>
      <c r="K309" s="60">
        <f t="shared" si="37"/>
        <v>2.8235294117647056</v>
      </c>
      <c r="L309" s="61">
        <f>prodnorm26</f>
        <v>0</v>
      </c>
      <c r="M309" s="58" t="s">
        <v>41</v>
      </c>
      <c r="N309" s="62">
        <f>uurtarief26</f>
        <v>0</v>
      </c>
      <c r="O309" s="60" t="e">
        <f t="shared" si="38"/>
        <v>#DIV/0!</v>
      </c>
      <c r="P309" s="62" t="e">
        <f t="shared" si="39"/>
        <v>#DIV/0!</v>
      </c>
      <c r="Q309" s="60" t="e">
        <f t="shared" si="40"/>
        <v>#DIV/0!</v>
      </c>
      <c r="R309" s="63" t="e">
        <f t="shared" si="41"/>
        <v>#DIV/0!</v>
      </c>
    </row>
    <row r="310" spans="1:18" x14ac:dyDescent="0.2">
      <c r="A310" s="57" t="s">
        <v>486</v>
      </c>
      <c r="B310" s="58" t="s">
        <v>378</v>
      </c>
      <c r="C310" s="58" t="s">
        <v>252</v>
      </c>
      <c r="D310" s="58" t="s">
        <v>610</v>
      </c>
      <c r="E310" s="59" t="s">
        <v>538</v>
      </c>
      <c r="F310" s="58" t="s">
        <v>489</v>
      </c>
      <c r="G310" s="58" t="s">
        <v>171</v>
      </c>
      <c r="H310" s="58" t="s">
        <v>11</v>
      </c>
      <c r="I310" s="58" t="s">
        <v>133</v>
      </c>
      <c r="J310" s="60">
        <v>162</v>
      </c>
      <c r="K310" s="60">
        <f t="shared" si="37"/>
        <v>127.05882352941177</v>
      </c>
      <c r="L310" s="61">
        <f>prodnorm45</f>
        <v>0</v>
      </c>
      <c r="M310" s="58" t="s">
        <v>41</v>
      </c>
      <c r="N310" s="62">
        <f>uurtarief45</f>
        <v>0</v>
      </c>
      <c r="O310" s="60" t="e">
        <f t="shared" si="38"/>
        <v>#DIV/0!</v>
      </c>
      <c r="P310" s="62" t="e">
        <f t="shared" si="39"/>
        <v>#DIV/0!</v>
      </c>
      <c r="Q310" s="60" t="e">
        <f t="shared" si="40"/>
        <v>#DIV/0!</v>
      </c>
      <c r="R310" s="63" t="e">
        <f t="shared" si="41"/>
        <v>#DIV/0!</v>
      </c>
    </row>
    <row r="311" spans="1:18" x14ac:dyDescent="0.2">
      <c r="A311" s="57" t="s">
        <v>486</v>
      </c>
      <c r="B311" s="58" t="s">
        <v>378</v>
      </c>
      <c r="C311" s="58" t="s">
        <v>252</v>
      </c>
      <c r="D311" s="58" t="s">
        <v>611</v>
      </c>
      <c r="E311" s="59" t="s">
        <v>591</v>
      </c>
      <c r="F311" s="58" t="s">
        <v>592</v>
      </c>
      <c r="G311" s="58" t="s">
        <v>169</v>
      </c>
      <c r="H311" s="58" t="s">
        <v>11</v>
      </c>
      <c r="I311" s="58" t="s">
        <v>133</v>
      </c>
      <c r="J311" s="60">
        <v>12.5</v>
      </c>
      <c r="K311" s="60">
        <f t="shared" si="37"/>
        <v>9.8039215686274517</v>
      </c>
      <c r="L311" s="61">
        <f>prodnorm44</f>
        <v>0</v>
      </c>
      <c r="M311" s="58" t="s">
        <v>41</v>
      </c>
      <c r="N311" s="62">
        <f>uurtarief44</f>
        <v>0</v>
      </c>
      <c r="O311" s="60" t="e">
        <f t="shared" si="38"/>
        <v>#DIV/0!</v>
      </c>
      <c r="P311" s="62" t="e">
        <f t="shared" si="39"/>
        <v>#DIV/0!</v>
      </c>
      <c r="Q311" s="60" t="e">
        <f t="shared" si="40"/>
        <v>#DIV/0!</v>
      </c>
      <c r="R311" s="63" t="e">
        <f t="shared" si="41"/>
        <v>#DIV/0!</v>
      </c>
    </row>
    <row r="312" spans="1:18" x14ac:dyDescent="0.2">
      <c r="A312" s="57" t="s">
        <v>486</v>
      </c>
      <c r="B312" s="58" t="s">
        <v>378</v>
      </c>
      <c r="C312" s="58" t="s">
        <v>299</v>
      </c>
      <c r="D312" s="58" t="s">
        <v>612</v>
      </c>
      <c r="E312" s="59" t="s">
        <v>488</v>
      </c>
      <c r="F312" s="58" t="s">
        <v>497</v>
      </c>
      <c r="G312" s="58" t="s">
        <v>137</v>
      </c>
      <c r="H312" s="58" t="s">
        <v>18</v>
      </c>
      <c r="I312" s="58" t="s">
        <v>133</v>
      </c>
      <c r="J312" s="60">
        <v>18</v>
      </c>
      <c r="K312" s="60">
        <f t="shared" si="37"/>
        <v>2.8235294117647056</v>
      </c>
      <c r="L312" s="61">
        <f>prodnorm26</f>
        <v>0</v>
      </c>
      <c r="M312" s="58" t="s">
        <v>41</v>
      </c>
      <c r="N312" s="62">
        <f>uurtarief26</f>
        <v>0</v>
      </c>
      <c r="O312" s="60" t="e">
        <f t="shared" si="38"/>
        <v>#DIV/0!</v>
      </c>
      <c r="P312" s="62" t="e">
        <f t="shared" si="39"/>
        <v>#DIV/0!</v>
      </c>
      <c r="Q312" s="60" t="e">
        <f t="shared" si="40"/>
        <v>#DIV/0!</v>
      </c>
      <c r="R312" s="63" t="e">
        <f t="shared" si="41"/>
        <v>#DIV/0!</v>
      </c>
    </row>
    <row r="313" spans="1:18" x14ac:dyDescent="0.2">
      <c r="A313" s="57" t="s">
        <v>486</v>
      </c>
      <c r="B313" s="58" t="s">
        <v>378</v>
      </c>
      <c r="C313" s="58" t="s">
        <v>299</v>
      </c>
      <c r="D313" s="58" t="s">
        <v>613</v>
      </c>
      <c r="E313" s="59" t="s">
        <v>614</v>
      </c>
      <c r="F313" s="58" t="s">
        <v>489</v>
      </c>
      <c r="G313" s="58" t="s">
        <v>171</v>
      </c>
      <c r="H313" s="58" t="s">
        <v>11</v>
      </c>
      <c r="I313" s="58" t="s">
        <v>133</v>
      </c>
      <c r="J313" s="60">
        <v>15.6</v>
      </c>
      <c r="K313" s="60">
        <f t="shared" si="37"/>
        <v>12.235294117647058</v>
      </c>
      <c r="L313" s="61">
        <f>prodnorm45</f>
        <v>0</v>
      </c>
      <c r="M313" s="58" t="s">
        <v>41</v>
      </c>
      <c r="N313" s="62">
        <f>uurtarief45</f>
        <v>0</v>
      </c>
      <c r="O313" s="60" t="e">
        <f t="shared" si="38"/>
        <v>#DIV/0!</v>
      </c>
      <c r="P313" s="62" t="e">
        <f t="shared" si="39"/>
        <v>#DIV/0!</v>
      </c>
      <c r="Q313" s="60" t="e">
        <f t="shared" si="40"/>
        <v>#DIV/0!</v>
      </c>
      <c r="R313" s="63" t="e">
        <f t="shared" si="41"/>
        <v>#DIV/0!</v>
      </c>
    </row>
    <row r="314" spans="1:18" x14ac:dyDescent="0.2">
      <c r="A314" s="57" t="s">
        <v>486</v>
      </c>
      <c r="B314" s="58" t="s">
        <v>378</v>
      </c>
      <c r="C314" s="58" t="s">
        <v>299</v>
      </c>
      <c r="D314" s="58" t="s">
        <v>615</v>
      </c>
      <c r="E314" s="59" t="s">
        <v>616</v>
      </c>
      <c r="F314" s="58" t="s">
        <v>489</v>
      </c>
      <c r="G314" s="58" t="s">
        <v>139</v>
      </c>
      <c r="H314" s="58" t="s">
        <v>11</v>
      </c>
      <c r="I314" s="58" t="s">
        <v>133</v>
      </c>
      <c r="J314" s="60">
        <v>55</v>
      </c>
      <c r="K314" s="60">
        <f t="shared" si="37"/>
        <v>43.13725490196078</v>
      </c>
      <c r="L314" s="61">
        <f>prodnorm27</f>
        <v>0</v>
      </c>
      <c r="M314" s="58" t="s">
        <v>41</v>
      </c>
      <c r="N314" s="62">
        <f>uurtarief27</f>
        <v>0</v>
      </c>
      <c r="O314" s="60" t="e">
        <f t="shared" si="38"/>
        <v>#DIV/0!</v>
      </c>
      <c r="P314" s="62" t="e">
        <f t="shared" si="39"/>
        <v>#DIV/0!</v>
      </c>
      <c r="Q314" s="60" t="e">
        <f t="shared" si="40"/>
        <v>#DIV/0!</v>
      </c>
      <c r="R314" s="63" t="e">
        <f t="shared" si="41"/>
        <v>#DIV/0!</v>
      </c>
    </row>
    <row r="315" spans="1:18" x14ac:dyDescent="0.2">
      <c r="A315" s="57" t="s">
        <v>486</v>
      </c>
      <c r="B315" s="58" t="s">
        <v>378</v>
      </c>
      <c r="C315" s="58" t="s">
        <v>299</v>
      </c>
      <c r="D315" s="58" t="s">
        <v>617</v>
      </c>
      <c r="E315" s="59" t="s">
        <v>552</v>
      </c>
      <c r="F315" s="58" t="s">
        <v>489</v>
      </c>
      <c r="G315" s="58" t="s">
        <v>153</v>
      </c>
      <c r="H315" s="58" t="s">
        <v>11</v>
      </c>
      <c r="I315" s="58" t="s">
        <v>133</v>
      </c>
      <c r="J315" s="60">
        <v>49</v>
      </c>
      <c r="K315" s="60">
        <f t="shared" si="37"/>
        <v>38.431372549019606</v>
      </c>
      <c r="L315" s="61">
        <f>prodnorm36</f>
        <v>0</v>
      </c>
      <c r="M315" s="58" t="s">
        <v>41</v>
      </c>
      <c r="N315" s="62">
        <f>uurtarief36</f>
        <v>0</v>
      </c>
      <c r="O315" s="60" t="e">
        <f t="shared" si="38"/>
        <v>#DIV/0!</v>
      </c>
      <c r="P315" s="62" t="e">
        <f t="shared" si="39"/>
        <v>#DIV/0!</v>
      </c>
      <c r="Q315" s="60" t="e">
        <f t="shared" si="40"/>
        <v>#DIV/0!</v>
      </c>
      <c r="R315" s="63" t="e">
        <f t="shared" si="41"/>
        <v>#DIV/0!</v>
      </c>
    </row>
    <row r="316" spans="1:18" x14ac:dyDescent="0.2">
      <c r="A316" s="57" t="s">
        <v>486</v>
      </c>
      <c r="B316" s="58" t="s">
        <v>378</v>
      </c>
      <c r="C316" s="58" t="s">
        <v>299</v>
      </c>
      <c r="D316" s="58" t="s">
        <v>618</v>
      </c>
      <c r="E316" s="59" t="s">
        <v>552</v>
      </c>
      <c r="F316" s="58" t="s">
        <v>489</v>
      </c>
      <c r="G316" s="58" t="s">
        <v>153</v>
      </c>
      <c r="H316" s="58" t="s">
        <v>11</v>
      </c>
      <c r="I316" s="58" t="s">
        <v>133</v>
      </c>
      <c r="J316" s="60">
        <v>49</v>
      </c>
      <c r="K316" s="60">
        <f t="shared" si="37"/>
        <v>38.431372549019606</v>
      </c>
      <c r="L316" s="61">
        <f>prodnorm36</f>
        <v>0</v>
      </c>
      <c r="M316" s="58" t="s">
        <v>41</v>
      </c>
      <c r="N316" s="62">
        <f>uurtarief36</f>
        <v>0</v>
      </c>
      <c r="O316" s="60" t="e">
        <f t="shared" si="38"/>
        <v>#DIV/0!</v>
      </c>
      <c r="P316" s="62" t="e">
        <f t="shared" si="39"/>
        <v>#DIV/0!</v>
      </c>
      <c r="Q316" s="60" t="e">
        <f t="shared" si="40"/>
        <v>#DIV/0!</v>
      </c>
      <c r="R316" s="63" t="e">
        <f t="shared" si="41"/>
        <v>#DIV/0!</v>
      </c>
    </row>
    <row r="317" spans="1:18" x14ac:dyDescent="0.2">
      <c r="A317" s="57" t="s">
        <v>486</v>
      </c>
      <c r="B317" s="58" t="s">
        <v>378</v>
      </c>
      <c r="C317" s="58" t="s">
        <v>299</v>
      </c>
      <c r="D317" s="58" t="s">
        <v>619</v>
      </c>
      <c r="E317" s="59" t="s">
        <v>491</v>
      </c>
      <c r="F317" s="58" t="s">
        <v>497</v>
      </c>
      <c r="G317" s="58" t="s">
        <v>173</v>
      </c>
      <c r="H317" s="58" t="s">
        <v>12</v>
      </c>
      <c r="I317" s="58" t="s">
        <v>174</v>
      </c>
      <c r="J317" s="60">
        <v>24.5</v>
      </c>
      <c r="K317" s="60">
        <f t="shared" si="37"/>
        <v>15.372549019607844</v>
      </c>
      <c r="L317" s="61">
        <f>prodnorm21</f>
        <v>0</v>
      </c>
      <c r="M317" s="58" t="s">
        <v>41</v>
      </c>
      <c r="N317" s="62">
        <f>uurtarief21</f>
        <v>0</v>
      </c>
      <c r="O317" s="60" t="e">
        <f t="shared" si="38"/>
        <v>#DIV/0!</v>
      </c>
      <c r="P317" s="62" t="e">
        <f t="shared" si="39"/>
        <v>#DIV/0!</v>
      </c>
      <c r="Q317" s="60" t="e">
        <f t="shared" si="40"/>
        <v>#DIV/0!</v>
      </c>
      <c r="R317" s="63" t="e">
        <f t="shared" si="41"/>
        <v>#DIV/0!</v>
      </c>
    </row>
    <row r="318" spans="1:18" x14ac:dyDescent="0.2">
      <c r="A318" s="57" t="s">
        <v>486</v>
      </c>
      <c r="B318" s="58" t="s">
        <v>378</v>
      </c>
      <c r="C318" s="58" t="s">
        <v>299</v>
      </c>
      <c r="D318" s="58" t="s">
        <v>619</v>
      </c>
      <c r="E318" s="59" t="s">
        <v>491</v>
      </c>
      <c r="F318" s="58" t="s">
        <v>497</v>
      </c>
      <c r="G318" s="58" t="s">
        <v>137</v>
      </c>
      <c r="H318" s="58" t="s">
        <v>18</v>
      </c>
      <c r="I318" s="58" t="s">
        <v>133</v>
      </c>
      <c r="J318" s="60">
        <v>24.5</v>
      </c>
      <c r="K318" s="60">
        <f t="shared" si="37"/>
        <v>3.8431372549019609</v>
      </c>
      <c r="L318" s="61">
        <f>prodnorm26</f>
        <v>0</v>
      </c>
      <c r="M318" s="58" t="s">
        <v>41</v>
      </c>
      <c r="N318" s="62">
        <f>uurtarief26</f>
        <v>0</v>
      </c>
      <c r="O318" s="60" t="e">
        <f t="shared" si="38"/>
        <v>#DIV/0!</v>
      </c>
      <c r="P318" s="62" t="e">
        <f t="shared" si="39"/>
        <v>#DIV/0!</v>
      </c>
      <c r="Q318" s="60" t="e">
        <f t="shared" si="40"/>
        <v>#DIV/0!</v>
      </c>
      <c r="R318" s="63" t="e">
        <f t="shared" si="41"/>
        <v>#DIV/0!</v>
      </c>
    </row>
    <row r="319" spans="1:18" x14ac:dyDescent="0.2">
      <c r="A319" s="57" t="s">
        <v>486</v>
      </c>
      <c r="B319" s="58" t="s">
        <v>378</v>
      </c>
      <c r="C319" s="58" t="s">
        <v>299</v>
      </c>
      <c r="D319" s="58" t="s">
        <v>620</v>
      </c>
      <c r="E319" s="59" t="s">
        <v>491</v>
      </c>
      <c r="F319" s="58" t="s">
        <v>489</v>
      </c>
      <c r="G319" s="58" t="s">
        <v>173</v>
      </c>
      <c r="H319" s="58" t="s">
        <v>12</v>
      </c>
      <c r="I319" s="58" t="s">
        <v>174</v>
      </c>
      <c r="J319" s="60">
        <v>24.5</v>
      </c>
      <c r="K319" s="60">
        <f t="shared" si="37"/>
        <v>15.372549019607844</v>
      </c>
      <c r="L319" s="61">
        <f>prodnorm21</f>
        <v>0</v>
      </c>
      <c r="M319" s="58" t="s">
        <v>41</v>
      </c>
      <c r="N319" s="62">
        <f>uurtarief21</f>
        <v>0</v>
      </c>
      <c r="O319" s="60" t="e">
        <f t="shared" si="38"/>
        <v>#DIV/0!</v>
      </c>
      <c r="P319" s="62" t="e">
        <f t="shared" si="39"/>
        <v>#DIV/0!</v>
      </c>
      <c r="Q319" s="60" t="e">
        <f t="shared" si="40"/>
        <v>#DIV/0!</v>
      </c>
      <c r="R319" s="63" t="e">
        <f t="shared" si="41"/>
        <v>#DIV/0!</v>
      </c>
    </row>
    <row r="320" spans="1:18" x14ac:dyDescent="0.2">
      <c r="A320" s="57" t="s">
        <v>486</v>
      </c>
      <c r="B320" s="58" t="s">
        <v>378</v>
      </c>
      <c r="C320" s="58" t="s">
        <v>299</v>
      </c>
      <c r="D320" s="58" t="s">
        <v>620</v>
      </c>
      <c r="E320" s="59" t="s">
        <v>491</v>
      </c>
      <c r="F320" s="58" t="s">
        <v>489</v>
      </c>
      <c r="G320" s="58" t="s">
        <v>135</v>
      </c>
      <c r="H320" s="58" t="s">
        <v>18</v>
      </c>
      <c r="I320" s="58" t="s">
        <v>133</v>
      </c>
      <c r="J320" s="60">
        <v>24.5</v>
      </c>
      <c r="K320" s="60">
        <f t="shared" si="37"/>
        <v>3.8431372549019609</v>
      </c>
      <c r="L320" s="61">
        <f>prodnorm24</f>
        <v>0</v>
      </c>
      <c r="M320" s="58" t="s">
        <v>41</v>
      </c>
      <c r="N320" s="62">
        <f>uurtarief24</f>
        <v>0</v>
      </c>
      <c r="O320" s="60" t="e">
        <f t="shared" si="38"/>
        <v>#DIV/0!</v>
      </c>
      <c r="P320" s="62" t="e">
        <f t="shared" si="39"/>
        <v>#DIV/0!</v>
      </c>
      <c r="Q320" s="60" t="e">
        <f t="shared" si="40"/>
        <v>#DIV/0!</v>
      </c>
      <c r="R320" s="63" t="e">
        <f t="shared" si="41"/>
        <v>#DIV/0!</v>
      </c>
    </row>
    <row r="321" spans="1:18" x14ac:dyDescent="0.2">
      <c r="A321" s="57" t="s">
        <v>486</v>
      </c>
      <c r="B321" s="58" t="s">
        <v>378</v>
      </c>
      <c r="C321" s="58" t="s">
        <v>299</v>
      </c>
      <c r="D321" s="58" t="s">
        <v>621</v>
      </c>
      <c r="E321" s="59" t="s">
        <v>552</v>
      </c>
      <c r="F321" s="58" t="s">
        <v>489</v>
      </c>
      <c r="G321" s="58" t="s">
        <v>153</v>
      </c>
      <c r="H321" s="58" t="s">
        <v>11</v>
      </c>
      <c r="I321" s="58" t="s">
        <v>133</v>
      </c>
      <c r="J321" s="60">
        <v>49</v>
      </c>
      <c r="K321" s="60">
        <f t="shared" si="37"/>
        <v>38.431372549019606</v>
      </c>
      <c r="L321" s="61">
        <f>prodnorm36</f>
        <v>0</v>
      </c>
      <c r="M321" s="58" t="s">
        <v>41</v>
      </c>
      <c r="N321" s="62">
        <f>uurtarief36</f>
        <v>0</v>
      </c>
      <c r="O321" s="60" t="e">
        <f t="shared" si="38"/>
        <v>#DIV/0!</v>
      </c>
      <c r="P321" s="62" t="e">
        <f t="shared" si="39"/>
        <v>#DIV/0!</v>
      </c>
      <c r="Q321" s="60" t="e">
        <f t="shared" si="40"/>
        <v>#DIV/0!</v>
      </c>
      <c r="R321" s="63" t="e">
        <f t="shared" si="41"/>
        <v>#DIV/0!</v>
      </c>
    </row>
    <row r="322" spans="1:18" x14ac:dyDescent="0.2">
      <c r="A322" s="57" t="s">
        <v>486</v>
      </c>
      <c r="B322" s="58" t="s">
        <v>378</v>
      </c>
      <c r="C322" s="58" t="s">
        <v>299</v>
      </c>
      <c r="D322" s="58" t="s">
        <v>622</v>
      </c>
      <c r="E322" s="59" t="s">
        <v>552</v>
      </c>
      <c r="F322" s="58" t="s">
        <v>489</v>
      </c>
      <c r="G322" s="58" t="s">
        <v>153</v>
      </c>
      <c r="H322" s="58" t="s">
        <v>11</v>
      </c>
      <c r="I322" s="58" t="s">
        <v>133</v>
      </c>
      <c r="J322" s="60">
        <v>44.4</v>
      </c>
      <c r="K322" s="60">
        <f t="shared" si="37"/>
        <v>34.823529411764703</v>
      </c>
      <c r="L322" s="61">
        <f>prodnorm36</f>
        <v>0</v>
      </c>
      <c r="M322" s="58" t="s">
        <v>41</v>
      </c>
      <c r="N322" s="62">
        <f>uurtarief36</f>
        <v>0</v>
      </c>
      <c r="O322" s="60" t="e">
        <f t="shared" si="38"/>
        <v>#DIV/0!</v>
      </c>
      <c r="P322" s="62" t="e">
        <f t="shared" si="39"/>
        <v>#DIV/0!</v>
      </c>
      <c r="Q322" s="60" t="e">
        <f t="shared" si="40"/>
        <v>#DIV/0!</v>
      </c>
      <c r="R322" s="63" t="e">
        <f t="shared" si="41"/>
        <v>#DIV/0!</v>
      </c>
    </row>
    <row r="323" spans="1:18" x14ac:dyDescent="0.2">
      <c r="A323" s="57" t="s">
        <v>486</v>
      </c>
      <c r="B323" s="58" t="s">
        <v>378</v>
      </c>
      <c r="C323" s="58" t="s">
        <v>299</v>
      </c>
      <c r="D323" s="58" t="s">
        <v>623</v>
      </c>
      <c r="E323" s="59" t="s">
        <v>514</v>
      </c>
      <c r="F323" s="58" t="s">
        <v>497</v>
      </c>
      <c r="G323" s="58" t="s">
        <v>173</v>
      </c>
      <c r="H323" s="58" t="s">
        <v>12</v>
      </c>
      <c r="I323" s="58" t="s">
        <v>174</v>
      </c>
      <c r="J323" s="60">
        <v>18</v>
      </c>
      <c r="K323" s="60">
        <f t="shared" si="37"/>
        <v>11.294117647058822</v>
      </c>
      <c r="L323" s="61">
        <f>prodnorm21</f>
        <v>0</v>
      </c>
      <c r="M323" s="58" t="s">
        <v>41</v>
      </c>
      <c r="N323" s="62">
        <f>uurtarief21</f>
        <v>0</v>
      </c>
      <c r="O323" s="60" t="e">
        <f t="shared" si="38"/>
        <v>#DIV/0!</v>
      </c>
      <c r="P323" s="62" t="e">
        <f t="shared" si="39"/>
        <v>#DIV/0!</v>
      </c>
      <c r="Q323" s="60" t="e">
        <f t="shared" si="40"/>
        <v>#DIV/0!</v>
      </c>
      <c r="R323" s="63" t="e">
        <f t="shared" si="41"/>
        <v>#DIV/0!</v>
      </c>
    </row>
    <row r="324" spans="1:18" x14ac:dyDescent="0.2">
      <c r="A324" s="57" t="s">
        <v>486</v>
      </c>
      <c r="B324" s="58" t="s">
        <v>378</v>
      </c>
      <c r="C324" s="58" t="s">
        <v>299</v>
      </c>
      <c r="D324" s="58" t="s">
        <v>623</v>
      </c>
      <c r="E324" s="59" t="s">
        <v>514</v>
      </c>
      <c r="F324" s="58" t="s">
        <v>497</v>
      </c>
      <c r="G324" s="58" t="s">
        <v>137</v>
      </c>
      <c r="H324" s="58" t="s">
        <v>18</v>
      </c>
      <c r="I324" s="58" t="s">
        <v>133</v>
      </c>
      <c r="J324" s="60">
        <v>18</v>
      </c>
      <c r="K324" s="60">
        <f t="shared" si="37"/>
        <v>2.8235294117647056</v>
      </c>
      <c r="L324" s="61">
        <f>prodnorm26</f>
        <v>0</v>
      </c>
      <c r="M324" s="58" t="s">
        <v>41</v>
      </c>
      <c r="N324" s="62">
        <f>uurtarief26</f>
        <v>0</v>
      </c>
      <c r="O324" s="60" t="e">
        <f t="shared" si="38"/>
        <v>#DIV/0!</v>
      </c>
      <c r="P324" s="62" t="e">
        <f t="shared" si="39"/>
        <v>#DIV/0!</v>
      </c>
      <c r="Q324" s="60" t="e">
        <f t="shared" si="40"/>
        <v>#DIV/0!</v>
      </c>
      <c r="R324" s="63" t="e">
        <f t="shared" si="41"/>
        <v>#DIV/0!</v>
      </c>
    </row>
    <row r="325" spans="1:18" x14ac:dyDescent="0.2">
      <c r="A325" s="57" t="s">
        <v>486</v>
      </c>
      <c r="B325" s="58" t="s">
        <v>378</v>
      </c>
      <c r="C325" s="58" t="s">
        <v>299</v>
      </c>
      <c r="D325" s="58" t="s">
        <v>624</v>
      </c>
      <c r="E325" s="59" t="s">
        <v>538</v>
      </c>
      <c r="F325" s="58" t="s">
        <v>489</v>
      </c>
      <c r="G325" s="58" t="s">
        <v>171</v>
      </c>
      <c r="H325" s="58" t="s">
        <v>11</v>
      </c>
      <c r="I325" s="58" t="s">
        <v>133</v>
      </c>
      <c r="J325" s="60">
        <v>170</v>
      </c>
      <c r="K325" s="60">
        <f t="shared" si="37"/>
        <v>133.33333333333334</v>
      </c>
      <c r="L325" s="61">
        <f>prodnorm45</f>
        <v>0</v>
      </c>
      <c r="M325" s="58" t="s">
        <v>41</v>
      </c>
      <c r="N325" s="62">
        <f>uurtarief45</f>
        <v>0</v>
      </c>
      <c r="O325" s="60" t="e">
        <f t="shared" si="38"/>
        <v>#DIV/0!</v>
      </c>
      <c r="P325" s="62" t="e">
        <f t="shared" si="39"/>
        <v>#DIV/0!</v>
      </c>
      <c r="Q325" s="60" t="e">
        <f t="shared" si="40"/>
        <v>#DIV/0!</v>
      </c>
      <c r="R325" s="63" t="e">
        <f t="shared" si="41"/>
        <v>#DIV/0!</v>
      </c>
    </row>
    <row r="326" spans="1:18" x14ac:dyDescent="0.2">
      <c r="A326" s="57" t="s">
        <v>486</v>
      </c>
      <c r="B326" s="58" t="s">
        <v>378</v>
      </c>
      <c r="C326" s="58" t="s">
        <v>299</v>
      </c>
      <c r="D326" s="58" t="s">
        <v>625</v>
      </c>
      <c r="E326" s="59" t="s">
        <v>591</v>
      </c>
      <c r="F326" s="58" t="s">
        <v>592</v>
      </c>
      <c r="G326" s="58" t="s">
        <v>169</v>
      </c>
      <c r="H326" s="58" t="s">
        <v>11</v>
      </c>
      <c r="I326" s="58" t="s">
        <v>133</v>
      </c>
      <c r="J326" s="60">
        <v>12.5</v>
      </c>
      <c r="K326" s="60">
        <f t="shared" si="37"/>
        <v>9.8039215686274517</v>
      </c>
      <c r="L326" s="61">
        <f>prodnorm44</f>
        <v>0</v>
      </c>
      <c r="M326" s="58" t="s">
        <v>41</v>
      </c>
      <c r="N326" s="62">
        <f>uurtarief44</f>
        <v>0</v>
      </c>
      <c r="O326" s="60" t="e">
        <f t="shared" si="38"/>
        <v>#DIV/0!</v>
      </c>
      <c r="P326" s="62" t="e">
        <f t="shared" si="39"/>
        <v>#DIV/0!</v>
      </c>
      <c r="Q326" s="60" t="e">
        <f t="shared" si="40"/>
        <v>#DIV/0!</v>
      </c>
      <c r="R326" s="63" t="e">
        <f t="shared" si="41"/>
        <v>#DIV/0!</v>
      </c>
    </row>
    <row r="327" spans="1:18" x14ac:dyDescent="0.2">
      <c r="A327" s="57" t="s">
        <v>486</v>
      </c>
      <c r="B327" s="58" t="s">
        <v>378</v>
      </c>
      <c r="C327" s="58" t="s">
        <v>336</v>
      </c>
      <c r="D327" s="58" t="s">
        <v>626</v>
      </c>
      <c r="E327" s="59" t="s">
        <v>488</v>
      </c>
      <c r="F327" s="58" t="s">
        <v>497</v>
      </c>
      <c r="G327" s="58" t="s">
        <v>137</v>
      </c>
      <c r="H327" s="58" t="s">
        <v>18</v>
      </c>
      <c r="I327" s="58" t="s">
        <v>133</v>
      </c>
      <c r="J327" s="60">
        <v>18</v>
      </c>
      <c r="K327" s="60">
        <f t="shared" si="37"/>
        <v>2.8235294117647056</v>
      </c>
      <c r="L327" s="61">
        <f>prodnorm26</f>
        <v>0</v>
      </c>
      <c r="M327" s="58" t="s">
        <v>41</v>
      </c>
      <c r="N327" s="62">
        <f>uurtarief26</f>
        <v>0</v>
      </c>
      <c r="O327" s="60" t="e">
        <f t="shared" si="38"/>
        <v>#DIV/0!</v>
      </c>
      <c r="P327" s="62" t="e">
        <f t="shared" si="39"/>
        <v>#DIV/0!</v>
      </c>
      <c r="Q327" s="60" t="e">
        <f t="shared" si="40"/>
        <v>#DIV/0!</v>
      </c>
      <c r="R327" s="63" t="e">
        <f t="shared" si="41"/>
        <v>#DIV/0!</v>
      </c>
    </row>
    <row r="328" spans="1:18" x14ac:dyDescent="0.2">
      <c r="A328" s="57" t="s">
        <v>486</v>
      </c>
      <c r="B328" s="58" t="s">
        <v>378</v>
      </c>
      <c r="C328" s="58" t="s">
        <v>336</v>
      </c>
      <c r="D328" s="58" t="s">
        <v>627</v>
      </c>
      <c r="E328" s="59" t="s">
        <v>616</v>
      </c>
      <c r="F328" s="58" t="s">
        <v>489</v>
      </c>
      <c r="G328" s="58" t="s">
        <v>139</v>
      </c>
      <c r="H328" s="58" t="s">
        <v>11</v>
      </c>
      <c r="I328" s="58" t="s">
        <v>133</v>
      </c>
      <c r="J328" s="60">
        <v>55</v>
      </c>
      <c r="K328" s="60">
        <f t="shared" si="37"/>
        <v>43.13725490196078</v>
      </c>
      <c r="L328" s="61">
        <f>prodnorm27</f>
        <v>0</v>
      </c>
      <c r="M328" s="58" t="s">
        <v>41</v>
      </c>
      <c r="N328" s="62">
        <f>uurtarief27</f>
        <v>0</v>
      </c>
      <c r="O328" s="60" t="e">
        <f t="shared" si="38"/>
        <v>#DIV/0!</v>
      </c>
      <c r="P328" s="62" t="e">
        <f t="shared" si="39"/>
        <v>#DIV/0!</v>
      </c>
      <c r="Q328" s="60" t="e">
        <f t="shared" si="40"/>
        <v>#DIV/0!</v>
      </c>
      <c r="R328" s="63" t="e">
        <f t="shared" si="41"/>
        <v>#DIV/0!</v>
      </c>
    </row>
    <row r="329" spans="1:18" x14ac:dyDescent="0.2">
      <c r="A329" s="57" t="s">
        <v>486</v>
      </c>
      <c r="B329" s="58" t="s">
        <v>378</v>
      </c>
      <c r="C329" s="58" t="s">
        <v>336</v>
      </c>
      <c r="D329" s="58" t="s">
        <v>628</v>
      </c>
      <c r="E329" s="59" t="s">
        <v>552</v>
      </c>
      <c r="F329" s="58" t="s">
        <v>489</v>
      </c>
      <c r="G329" s="58" t="s">
        <v>153</v>
      </c>
      <c r="H329" s="58" t="s">
        <v>11</v>
      </c>
      <c r="I329" s="58" t="s">
        <v>133</v>
      </c>
      <c r="J329" s="60">
        <v>49</v>
      </c>
      <c r="K329" s="60">
        <f t="shared" si="37"/>
        <v>38.431372549019606</v>
      </c>
      <c r="L329" s="61">
        <f>prodnorm36</f>
        <v>0</v>
      </c>
      <c r="M329" s="58" t="s">
        <v>41</v>
      </c>
      <c r="N329" s="62">
        <f>uurtarief36</f>
        <v>0</v>
      </c>
      <c r="O329" s="60" t="e">
        <f t="shared" si="38"/>
        <v>#DIV/0!</v>
      </c>
      <c r="P329" s="62" t="e">
        <f t="shared" si="39"/>
        <v>#DIV/0!</v>
      </c>
      <c r="Q329" s="60" t="e">
        <f t="shared" si="40"/>
        <v>#DIV/0!</v>
      </c>
      <c r="R329" s="63" t="e">
        <f t="shared" si="41"/>
        <v>#DIV/0!</v>
      </c>
    </row>
    <row r="330" spans="1:18" x14ac:dyDescent="0.2">
      <c r="A330" s="57" t="s">
        <v>486</v>
      </c>
      <c r="B330" s="58" t="s">
        <v>378</v>
      </c>
      <c r="C330" s="58" t="s">
        <v>336</v>
      </c>
      <c r="D330" s="58" t="s">
        <v>629</v>
      </c>
      <c r="E330" s="59" t="s">
        <v>552</v>
      </c>
      <c r="F330" s="58" t="s">
        <v>489</v>
      </c>
      <c r="G330" s="58" t="s">
        <v>153</v>
      </c>
      <c r="H330" s="58" t="s">
        <v>11</v>
      </c>
      <c r="I330" s="58" t="s">
        <v>133</v>
      </c>
      <c r="J330" s="60">
        <v>49</v>
      </c>
      <c r="K330" s="60">
        <f t="shared" si="37"/>
        <v>38.431372549019606</v>
      </c>
      <c r="L330" s="61">
        <f>prodnorm36</f>
        <v>0</v>
      </c>
      <c r="M330" s="58" t="s">
        <v>41</v>
      </c>
      <c r="N330" s="62">
        <f>uurtarief36</f>
        <v>0</v>
      </c>
      <c r="O330" s="60" t="e">
        <f t="shared" si="38"/>
        <v>#DIV/0!</v>
      </c>
      <c r="P330" s="62" t="e">
        <f t="shared" si="39"/>
        <v>#DIV/0!</v>
      </c>
      <c r="Q330" s="60" t="e">
        <f t="shared" si="40"/>
        <v>#DIV/0!</v>
      </c>
      <c r="R330" s="63" t="e">
        <f t="shared" si="41"/>
        <v>#DIV/0!</v>
      </c>
    </row>
    <row r="331" spans="1:18" x14ac:dyDescent="0.2">
      <c r="A331" s="57" t="s">
        <v>486</v>
      </c>
      <c r="B331" s="58" t="s">
        <v>378</v>
      </c>
      <c r="C331" s="58" t="s">
        <v>336</v>
      </c>
      <c r="D331" s="58" t="s">
        <v>630</v>
      </c>
      <c r="E331" s="59" t="s">
        <v>491</v>
      </c>
      <c r="F331" s="58" t="s">
        <v>497</v>
      </c>
      <c r="G331" s="58" t="s">
        <v>173</v>
      </c>
      <c r="H331" s="58" t="s">
        <v>12</v>
      </c>
      <c r="I331" s="58" t="s">
        <v>174</v>
      </c>
      <c r="J331" s="60">
        <v>24.5</v>
      </c>
      <c r="K331" s="60">
        <f t="shared" si="37"/>
        <v>15.372549019607844</v>
      </c>
      <c r="L331" s="61">
        <f>prodnorm21</f>
        <v>0</v>
      </c>
      <c r="M331" s="58" t="s">
        <v>41</v>
      </c>
      <c r="N331" s="62">
        <f>uurtarief21</f>
        <v>0</v>
      </c>
      <c r="O331" s="60" t="e">
        <f t="shared" si="38"/>
        <v>#DIV/0!</v>
      </c>
      <c r="P331" s="62" t="e">
        <f t="shared" si="39"/>
        <v>#DIV/0!</v>
      </c>
      <c r="Q331" s="60" t="e">
        <f t="shared" si="40"/>
        <v>#DIV/0!</v>
      </c>
      <c r="R331" s="63" t="e">
        <f t="shared" si="41"/>
        <v>#DIV/0!</v>
      </c>
    </row>
    <row r="332" spans="1:18" x14ac:dyDescent="0.2">
      <c r="A332" s="57" t="s">
        <v>486</v>
      </c>
      <c r="B332" s="58" t="s">
        <v>378</v>
      </c>
      <c r="C332" s="58" t="s">
        <v>336</v>
      </c>
      <c r="D332" s="58" t="s">
        <v>630</v>
      </c>
      <c r="E332" s="59" t="s">
        <v>491</v>
      </c>
      <c r="F332" s="58" t="s">
        <v>497</v>
      </c>
      <c r="G332" s="58" t="s">
        <v>137</v>
      </c>
      <c r="H332" s="58" t="s">
        <v>18</v>
      </c>
      <c r="I332" s="58" t="s">
        <v>133</v>
      </c>
      <c r="J332" s="60">
        <v>24.5</v>
      </c>
      <c r="K332" s="60">
        <f t="shared" si="37"/>
        <v>3.8431372549019609</v>
      </c>
      <c r="L332" s="61">
        <f>prodnorm26</f>
        <v>0</v>
      </c>
      <c r="M332" s="58" t="s">
        <v>41</v>
      </c>
      <c r="N332" s="62">
        <f>uurtarief26</f>
        <v>0</v>
      </c>
      <c r="O332" s="60" t="e">
        <f t="shared" si="38"/>
        <v>#DIV/0!</v>
      </c>
      <c r="P332" s="62" t="e">
        <f t="shared" si="39"/>
        <v>#DIV/0!</v>
      </c>
      <c r="Q332" s="60" t="e">
        <f t="shared" si="40"/>
        <v>#DIV/0!</v>
      </c>
      <c r="R332" s="63" t="e">
        <f t="shared" si="41"/>
        <v>#DIV/0!</v>
      </c>
    </row>
    <row r="333" spans="1:18" x14ac:dyDescent="0.2">
      <c r="A333" s="57" t="s">
        <v>486</v>
      </c>
      <c r="B333" s="58" t="s">
        <v>378</v>
      </c>
      <c r="C333" s="58" t="s">
        <v>336</v>
      </c>
      <c r="D333" s="58" t="s">
        <v>631</v>
      </c>
      <c r="E333" s="59" t="s">
        <v>491</v>
      </c>
      <c r="F333" s="58" t="s">
        <v>489</v>
      </c>
      <c r="G333" s="58" t="s">
        <v>173</v>
      </c>
      <c r="H333" s="58" t="s">
        <v>12</v>
      </c>
      <c r="I333" s="58" t="s">
        <v>174</v>
      </c>
      <c r="J333" s="60">
        <v>24.5</v>
      </c>
      <c r="K333" s="60">
        <f t="shared" si="37"/>
        <v>15.372549019607844</v>
      </c>
      <c r="L333" s="61">
        <f>prodnorm21</f>
        <v>0</v>
      </c>
      <c r="M333" s="58" t="s">
        <v>41</v>
      </c>
      <c r="N333" s="62">
        <f>uurtarief21</f>
        <v>0</v>
      </c>
      <c r="O333" s="60" t="e">
        <f t="shared" si="38"/>
        <v>#DIV/0!</v>
      </c>
      <c r="P333" s="62" t="e">
        <f t="shared" si="39"/>
        <v>#DIV/0!</v>
      </c>
      <c r="Q333" s="60" t="e">
        <f t="shared" si="40"/>
        <v>#DIV/0!</v>
      </c>
      <c r="R333" s="63" t="e">
        <f t="shared" si="41"/>
        <v>#DIV/0!</v>
      </c>
    </row>
    <row r="334" spans="1:18" x14ac:dyDescent="0.2">
      <c r="A334" s="57" t="s">
        <v>486</v>
      </c>
      <c r="B334" s="58" t="s">
        <v>378</v>
      </c>
      <c r="C334" s="58" t="s">
        <v>336</v>
      </c>
      <c r="D334" s="58" t="s">
        <v>631</v>
      </c>
      <c r="E334" s="59" t="s">
        <v>491</v>
      </c>
      <c r="F334" s="58" t="s">
        <v>489</v>
      </c>
      <c r="G334" s="58" t="s">
        <v>135</v>
      </c>
      <c r="H334" s="58" t="s">
        <v>18</v>
      </c>
      <c r="I334" s="58" t="s">
        <v>133</v>
      </c>
      <c r="J334" s="60">
        <v>24.5</v>
      </c>
      <c r="K334" s="60">
        <f t="shared" si="37"/>
        <v>3.8431372549019609</v>
      </c>
      <c r="L334" s="61">
        <f>prodnorm24</f>
        <v>0</v>
      </c>
      <c r="M334" s="58" t="s">
        <v>41</v>
      </c>
      <c r="N334" s="62">
        <f>uurtarief24</f>
        <v>0</v>
      </c>
      <c r="O334" s="60" t="e">
        <f t="shared" si="38"/>
        <v>#DIV/0!</v>
      </c>
      <c r="P334" s="62" t="e">
        <f t="shared" si="39"/>
        <v>#DIV/0!</v>
      </c>
      <c r="Q334" s="60" t="e">
        <f t="shared" si="40"/>
        <v>#DIV/0!</v>
      </c>
      <c r="R334" s="63" t="e">
        <f t="shared" si="41"/>
        <v>#DIV/0!</v>
      </c>
    </row>
    <row r="335" spans="1:18" x14ac:dyDescent="0.2">
      <c r="A335" s="57" t="s">
        <v>486</v>
      </c>
      <c r="B335" s="58" t="s">
        <v>378</v>
      </c>
      <c r="C335" s="58" t="s">
        <v>336</v>
      </c>
      <c r="D335" s="58" t="s">
        <v>632</v>
      </c>
      <c r="E335" s="59" t="s">
        <v>552</v>
      </c>
      <c r="F335" s="58" t="s">
        <v>489</v>
      </c>
      <c r="G335" s="58" t="s">
        <v>153</v>
      </c>
      <c r="H335" s="58" t="s">
        <v>11</v>
      </c>
      <c r="I335" s="58" t="s">
        <v>133</v>
      </c>
      <c r="J335" s="60">
        <v>49</v>
      </c>
      <c r="K335" s="60">
        <f t="shared" si="37"/>
        <v>38.431372549019606</v>
      </c>
      <c r="L335" s="61">
        <f>prodnorm36</f>
        <v>0</v>
      </c>
      <c r="M335" s="58" t="s">
        <v>41</v>
      </c>
      <c r="N335" s="62">
        <f>uurtarief36</f>
        <v>0</v>
      </c>
      <c r="O335" s="60" t="e">
        <f t="shared" si="38"/>
        <v>#DIV/0!</v>
      </c>
      <c r="P335" s="62" t="e">
        <f t="shared" si="39"/>
        <v>#DIV/0!</v>
      </c>
      <c r="Q335" s="60" t="e">
        <f t="shared" si="40"/>
        <v>#DIV/0!</v>
      </c>
      <c r="R335" s="63" t="e">
        <f t="shared" si="41"/>
        <v>#DIV/0!</v>
      </c>
    </row>
    <row r="336" spans="1:18" x14ac:dyDescent="0.2">
      <c r="A336" s="57" t="s">
        <v>486</v>
      </c>
      <c r="B336" s="58" t="s">
        <v>378</v>
      </c>
      <c r="C336" s="58" t="s">
        <v>336</v>
      </c>
      <c r="D336" s="58" t="s">
        <v>633</v>
      </c>
      <c r="E336" s="59" t="s">
        <v>552</v>
      </c>
      <c r="F336" s="58" t="s">
        <v>489</v>
      </c>
      <c r="G336" s="58" t="s">
        <v>153</v>
      </c>
      <c r="H336" s="58" t="s">
        <v>11</v>
      </c>
      <c r="I336" s="58" t="s">
        <v>133</v>
      </c>
      <c r="J336" s="60">
        <v>44</v>
      </c>
      <c r="K336" s="60">
        <f t="shared" si="37"/>
        <v>34.509803921568626</v>
      </c>
      <c r="L336" s="61">
        <f>prodnorm36</f>
        <v>0</v>
      </c>
      <c r="M336" s="58" t="s">
        <v>41</v>
      </c>
      <c r="N336" s="62">
        <f>uurtarief36</f>
        <v>0</v>
      </c>
      <c r="O336" s="60" t="e">
        <f t="shared" si="38"/>
        <v>#DIV/0!</v>
      </c>
      <c r="P336" s="62" t="e">
        <f t="shared" si="39"/>
        <v>#DIV/0!</v>
      </c>
      <c r="Q336" s="60" t="e">
        <f t="shared" si="40"/>
        <v>#DIV/0!</v>
      </c>
      <c r="R336" s="63" t="e">
        <f t="shared" si="41"/>
        <v>#DIV/0!</v>
      </c>
    </row>
    <row r="337" spans="1:18" x14ac:dyDescent="0.2">
      <c r="A337" s="57" t="s">
        <v>486</v>
      </c>
      <c r="B337" s="58" t="s">
        <v>378</v>
      </c>
      <c r="C337" s="58" t="s">
        <v>336</v>
      </c>
      <c r="D337" s="58" t="s">
        <v>634</v>
      </c>
      <c r="E337" s="59" t="s">
        <v>514</v>
      </c>
      <c r="F337" s="58" t="s">
        <v>497</v>
      </c>
      <c r="G337" s="58" t="s">
        <v>173</v>
      </c>
      <c r="H337" s="58" t="s">
        <v>12</v>
      </c>
      <c r="I337" s="58" t="s">
        <v>174</v>
      </c>
      <c r="J337" s="60">
        <v>18</v>
      </c>
      <c r="K337" s="60">
        <f t="shared" ref="K337:K368" si="42">J337*VLOOKUP(H337,dagsoorttabel1,2,FALSE)</f>
        <v>11.294117647058822</v>
      </c>
      <c r="L337" s="61">
        <f>prodnorm21</f>
        <v>0</v>
      </c>
      <c r="M337" s="58" t="s">
        <v>41</v>
      </c>
      <c r="N337" s="62">
        <f>uurtarief21</f>
        <v>0</v>
      </c>
      <c r="O337" s="60" t="e">
        <f t="shared" ref="O337:O369" si="43">IF(ISBLANK(L337),0,K337/ROUND(L337,4))</f>
        <v>#DIV/0!</v>
      </c>
      <c r="P337" s="62" t="e">
        <f t="shared" ref="P337:P368" si="44">ROUND(N337,2)*O337</f>
        <v>#DIV/0!</v>
      </c>
      <c r="Q337" s="60" t="e">
        <f t="shared" ref="Q337:Q369" si="45">O337*dagenperjaar1</f>
        <v>#DIV/0!</v>
      </c>
      <c r="R337" s="63" t="e">
        <f t="shared" ref="R337:R368" si="46">Q337*ROUND(N337,2)</f>
        <v>#DIV/0!</v>
      </c>
    </row>
    <row r="338" spans="1:18" x14ac:dyDescent="0.2">
      <c r="A338" s="57" t="s">
        <v>486</v>
      </c>
      <c r="B338" s="58" t="s">
        <v>378</v>
      </c>
      <c r="C338" s="58" t="s">
        <v>336</v>
      </c>
      <c r="D338" s="58" t="s">
        <v>634</v>
      </c>
      <c r="E338" s="59" t="s">
        <v>514</v>
      </c>
      <c r="F338" s="58" t="s">
        <v>497</v>
      </c>
      <c r="G338" s="58" t="s">
        <v>137</v>
      </c>
      <c r="H338" s="58" t="s">
        <v>18</v>
      </c>
      <c r="I338" s="58" t="s">
        <v>133</v>
      </c>
      <c r="J338" s="60">
        <v>18</v>
      </c>
      <c r="K338" s="60">
        <f t="shared" si="42"/>
        <v>2.8235294117647056</v>
      </c>
      <c r="L338" s="61">
        <f>prodnorm26</f>
        <v>0</v>
      </c>
      <c r="M338" s="58" t="s">
        <v>41</v>
      </c>
      <c r="N338" s="62">
        <f>uurtarief26</f>
        <v>0</v>
      </c>
      <c r="O338" s="60" t="e">
        <f t="shared" si="43"/>
        <v>#DIV/0!</v>
      </c>
      <c r="P338" s="62" t="e">
        <f t="shared" si="44"/>
        <v>#DIV/0!</v>
      </c>
      <c r="Q338" s="60" t="e">
        <f t="shared" si="45"/>
        <v>#DIV/0!</v>
      </c>
      <c r="R338" s="63" t="e">
        <f t="shared" si="46"/>
        <v>#DIV/0!</v>
      </c>
    </row>
    <row r="339" spans="1:18" x14ac:dyDescent="0.2">
      <c r="A339" s="57" t="s">
        <v>486</v>
      </c>
      <c r="B339" s="58" t="s">
        <v>378</v>
      </c>
      <c r="C339" s="58" t="s">
        <v>336</v>
      </c>
      <c r="D339" s="58" t="s">
        <v>635</v>
      </c>
      <c r="E339" s="59" t="s">
        <v>538</v>
      </c>
      <c r="F339" s="58" t="s">
        <v>489</v>
      </c>
      <c r="G339" s="58" t="s">
        <v>171</v>
      </c>
      <c r="H339" s="58" t="s">
        <v>11</v>
      </c>
      <c r="I339" s="58" t="s">
        <v>133</v>
      </c>
      <c r="J339" s="60">
        <v>170</v>
      </c>
      <c r="K339" s="60">
        <f t="shared" si="42"/>
        <v>133.33333333333334</v>
      </c>
      <c r="L339" s="61">
        <f>prodnorm45</f>
        <v>0</v>
      </c>
      <c r="M339" s="58" t="s">
        <v>41</v>
      </c>
      <c r="N339" s="62">
        <f>uurtarief45</f>
        <v>0</v>
      </c>
      <c r="O339" s="60" t="e">
        <f t="shared" si="43"/>
        <v>#DIV/0!</v>
      </c>
      <c r="P339" s="62" t="e">
        <f t="shared" si="44"/>
        <v>#DIV/0!</v>
      </c>
      <c r="Q339" s="60" t="e">
        <f t="shared" si="45"/>
        <v>#DIV/0!</v>
      </c>
      <c r="R339" s="63" t="e">
        <f t="shared" si="46"/>
        <v>#DIV/0!</v>
      </c>
    </row>
    <row r="340" spans="1:18" x14ac:dyDescent="0.2">
      <c r="A340" s="57" t="s">
        <v>486</v>
      </c>
      <c r="B340" s="58" t="s">
        <v>378</v>
      </c>
      <c r="C340" s="58" t="s">
        <v>336</v>
      </c>
      <c r="D340" s="58" t="s">
        <v>636</v>
      </c>
      <c r="E340" s="59" t="s">
        <v>591</v>
      </c>
      <c r="F340" s="58" t="s">
        <v>592</v>
      </c>
      <c r="G340" s="58" t="s">
        <v>169</v>
      </c>
      <c r="H340" s="58" t="s">
        <v>11</v>
      </c>
      <c r="I340" s="58" t="s">
        <v>133</v>
      </c>
      <c r="J340" s="60">
        <v>12.5</v>
      </c>
      <c r="K340" s="60">
        <f t="shared" si="42"/>
        <v>9.8039215686274517</v>
      </c>
      <c r="L340" s="61">
        <f>prodnorm44</f>
        <v>0</v>
      </c>
      <c r="M340" s="58" t="s">
        <v>41</v>
      </c>
      <c r="N340" s="62">
        <f>uurtarief44</f>
        <v>0</v>
      </c>
      <c r="O340" s="60" t="e">
        <f t="shared" si="43"/>
        <v>#DIV/0!</v>
      </c>
      <c r="P340" s="62" t="e">
        <f t="shared" si="44"/>
        <v>#DIV/0!</v>
      </c>
      <c r="Q340" s="60" t="e">
        <f t="shared" si="45"/>
        <v>#DIV/0!</v>
      </c>
      <c r="R340" s="63" t="e">
        <f t="shared" si="46"/>
        <v>#DIV/0!</v>
      </c>
    </row>
    <row r="341" spans="1:18" x14ac:dyDescent="0.2">
      <c r="A341" s="57" t="s">
        <v>486</v>
      </c>
      <c r="B341" s="58" t="s">
        <v>420</v>
      </c>
      <c r="C341" s="58" t="s">
        <v>189</v>
      </c>
      <c r="D341" s="58" t="s">
        <v>637</v>
      </c>
      <c r="E341" s="59" t="s">
        <v>638</v>
      </c>
      <c r="F341" s="58" t="s">
        <v>506</v>
      </c>
      <c r="G341" s="58" t="s">
        <v>169</v>
      </c>
      <c r="H341" s="58" t="s">
        <v>11</v>
      </c>
      <c r="I341" s="58" t="s">
        <v>133</v>
      </c>
      <c r="J341" s="60">
        <v>4.5</v>
      </c>
      <c r="K341" s="60">
        <f t="shared" si="42"/>
        <v>3.5294117647058822</v>
      </c>
      <c r="L341" s="61">
        <f>prodnorm44</f>
        <v>0</v>
      </c>
      <c r="M341" s="58" t="s">
        <v>41</v>
      </c>
      <c r="N341" s="62">
        <f>uurtarief44</f>
        <v>0</v>
      </c>
      <c r="O341" s="60" t="e">
        <f t="shared" si="43"/>
        <v>#DIV/0!</v>
      </c>
      <c r="P341" s="62" t="e">
        <f t="shared" si="44"/>
        <v>#DIV/0!</v>
      </c>
      <c r="Q341" s="60" t="e">
        <f t="shared" si="45"/>
        <v>#DIV/0!</v>
      </c>
      <c r="R341" s="63" t="e">
        <f t="shared" si="46"/>
        <v>#DIV/0!</v>
      </c>
    </row>
    <row r="342" spans="1:18" x14ac:dyDescent="0.2">
      <c r="A342" s="57" t="s">
        <v>486</v>
      </c>
      <c r="B342" s="58" t="s">
        <v>420</v>
      </c>
      <c r="C342" s="58" t="s">
        <v>189</v>
      </c>
      <c r="D342" s="58" t="s">
        <v>639</v>
      </c>
      <c r="E342" s="59" t="s">
        <v>640</v>
      </c>
      <c r="F342" s="58" t="s">
        <v>592</v>
      </c>
      <c r="G342" s="58" t="s">
        <v>169</v>
      </c>
      <c r="H342" s="58" t="s">
        <v>11</v>
      </c>
      <c r="I342" s="58" t="s">
        <v>133</v>
      </c>
      <c r="J342" s="60">
        <v>4</v>
      </c>
      <c r="K342" s="60">
        <f t="shared" si="42"/>
        <v>3.1372549019607843</v>
      </c>
      <c r="L342" s="61">
        <f>prodnorm44</f>
        <v>0</v>
      </c>
      <c r="M342" s="58" t="s">
        <v>41</v>
      </c>
      <c r="N342" s="62">
        <f>uurtarief44</f>
        <v>0</v>
      </c>
      <c r="O342" s="60" t="e">
        <f t="shared" si="43"/>
        <v>#DIV/0!</v>
      </c>
      <c r="P342" s="62" t="e">
        <f t="shared" si="44"/>
        <v>#DIV/0!</v>
      </c>
      <c r="Q342" s="60" t="e">
        <f t="shared" si="45"/>
        <v>#DIV/0!</v>
      </c>
      <c r="R342" s="63" t="e">
        <f t="shared" si="46"/>
        <v>#DIV/0!</v>
      </c>
    </row>
    <row r="343" spans="1:18" x14ac:dyDescent="0.2">
      <c r="A343" s="57" t="s">
        <v>486</v>
      </c>
      <c r="B343" s="58" t="s">
        <v>420</v>
      </c>
      <c r="C343" s="58" t="s">
        <v>189</v>
      </c>
      <c r="D343" s="58" t="s">
        <v>641</v>
      </c>
      <c r="E343" s="59" t="s">
        <v>642</v>
      </c>
      <c r="F343" s="58" t="s">
        <v>497</v>
      </c>
      <c r="G343" s="58" t="s">
        <v>145</v>
      </c>
      <c r="H343" s="58" t="s">
        <v>11</v>
      </c>
      <c r="I343" s="58" t="s">
        <v>133</v>
      </c>
      <c r="J343" s="60">
        <v>10</v>
      </c>
      <c r="K343" s="60">
        <f t="shared" si="42"/>
        <v>7.8431372549019605</v>
      </c>
      <c r="L343" s="61">
        <f>prodnorm30</f>
        <v>0</v>
      </c>
      <c r="M343" s="58" t="s">
        <v>41</v>
      </c>
      <c r="N343" s="62">
        <f>uurtarief30</f>
        <v>0</v>
      </c>
      <c r="O343" s="60" t="e">
        <f t="shared" si="43"/>
        <v>#DIV/0!</v>
      </c>
      <c r="P343" s="62" t="e">
        <f t="shared" si="44"/>
        <v>#DIV/0!</v>
      </c>
      <c r="Q343" s="60" t="e">
        <f t="shared" si="45"/>
        <v>#DIV/0!</v>
      </c>
      <c r="R343" s="63" t="e">
        <f t="shared" si="46"/>
        <v>#DIV/0!</v>
      </c>
    </row>
    <row r="344" spans="1:18" x14ac:dyDescent="0.2">
      <c r="A344" s="57" t="s">
        <v>486</v>
      </c>
      <c r="B344" s="58" t="s">
        <v>420</v>
      </c>
      <c r="C344" s="58" t="s">
        <v>189</v>
      </c>
      <c r="D344" s="58" t="s">
        <v>643</v>
      </c>
      <c r="E344" s="59" t="s">
        <v>538</v>
      </c>
      <c r="F344" s="58" t="s">
        <v>489</v>
      </c>
      <c r="G344" s="58" t="s">
        <v>171</v>
      </c>
      <c r="H344" s="58" t="s">
        <v>11</v>
      </c>
      <c r="I344" s="58" t="s">
        <v>133</v>
      </c>
      <c r="J344" s="60">
        <v>55</v>
      </c>
      <c r="K344" s="60">
        <f t="shared" si="42"/>
        <v>43.13725490196078</v>
      </c>
      <c r="L344" s="61">
        <f>prodnorm45</f>
        <v>0</v>
      </c>
      <c r="M344" s="58" t="s">
        <v>41</v>
      </c>
      <c r="N344" s="62">
        <f>uurtarief45</f>
        <v>0</v>
      </c>
      <c r="O344" s="60" t="e">
        <f t="shared" si="43"/>
        <v>#DIV/0!</v>
      </c>
      <c r="P344" s="62" t="e">
        <f t="shared" si="44"/>
        <v>#DIV/0!</v>
      </c>
      <c r="Q344" s="60" t="e">
        <f t="shared" si="45"/>
        <v>#DIV/0!</v>
      </c>
      <c r="R344" s="63" t="e">
        <f t="shared" si="46"/>
        <v>#DIV/0!</v>
      </c>
    </row>
    <row r="345" spans="1:18" x14ac:dyDescent="0.2">
      <c r="A345" s="57" t="s">
        <v>486</v>
      </c>
      <c r="B345" s="58" t="s">
        <v>420</v>
      </c>
      <c r="C345" s="58" t="s">
        <v>189</v>
      </c>
      <c r="D345" s="58" t="s">
        <v>644</v>
      </c>
      <c r="E345" s="59" t="s">
        <v>645</v>
      </c>
      <c r="F345" s="58" t="s">
        <v>494</v>
      </c>
      <c r="G345" s="58" t="s">
        <v>153</v>
      </c>
      <c r="H345" s="58" t="s">
        <v>11</v>
      </c>
      <c r="I345" s="58" t="s">
        <v>133</v>
      </c>
      <c r="J345" s="60">
        <v>25</v>
      </c>
      <c r="K345" s="60">
        <f t="shared" si="42"/>
        <v>19.607843137254903</v>
      </c>
      <c r="L345" s="61">
        <f>prodnorm36</f>
        <v>0</v>
      </c>
      <c r="M345" s="58" t="s">
        <v>41</v>
      </c>
      <c r="N345" s="62">
        <f>uurtarief36</f>
        <v>0</v>
      </c>
      <c r="O345" s="60" t="e">
        <f t="shared" si="43"/>
        <v>#DIV/0!</v>
      </c>
      <c r="P345" s="62" t="e">
        <f t="shared" si="44"/>
        <v>#DIV/0!</v>
      </c>
      <c r="Q345" s="60" t="e">
        <f t="shared" si="45"/>
        <v>#DIV/0!</v>
      </c>
      <c r="R345" s="63" t="e">
        <f t="shared" si="46"/>
        <v>#DIV/0!</v>
      </c>
    </row>
    <row r="346" spans="1:18" x14ac:dyDescent="0.2">
      <c r="A346" s="57" t="s">
        <v>486</v>
      </c>
      <c r="B346" s="58" t="s">
        <v>420</v>
      </c>
      <c r="C346" s="58" t="s">
        <v>189</v>
      </c>
      <c r="D346" s="58" t="s">
        <v>646</v>
      </c>
      <c r="E346" s="59" t="s">
        <v>645</v>
      </c>
      <c r="F346" s="58" t="s">
        <v>494</v>
      </c>
      <c r="G346" s="58" t="s">
        <v>153</v>
      </c>
      <c r="H346" s="58" t="s">
        <v>11</v>
      </c>
      <c r="I346" s="58" t="s">
        <v>133</v>
      </c>
      <c r="J346" s="60">
        <v>83</v>
      </c>
      <c r="K346" s="60">
        <f t="shared" si="42"/>
        <v>65.098039215686271</v>
      </c>
      <c r="L346" s="61">
        <f>prodnorm36</f>
        <v>0</v>
      </c>
      <c r="M346" s="58" t="s">
        <v>41</v>
      </c>
      <c r="N346" s="62">
        <f>uurtarief36</f>
        <v>0</v>
      </c>
      <c r="O346" s="60" t="e">
        <f t="shared" si="43"/>
        <v>#DIV/0!</v>
      </c>
      <c r="P346" s="62" t="e">
        <f t="shared" si="44"/>
        <v>#DIV/0!</v>
      </c>
      <c r="Q346" s="60" t="e">
        <f t="shared" si="45"/>
        <v>#DIV/0!</v>
      </c>
      <c r="R346" s="63" t="e">
        <f t="shared" si="46"/>
        <v>#DIV/0!</v>
      </c>
    </row>
    <row r="347" spans="1:18" x14ac:dyDescent="0.2">
      <c r="A347" s="57" t="s">
        <v>486</v>
      </c>
      <c r="B347" s="58" t="s">
        <v>420</v>
      </c>
      <c r="C347" s="58" t="s">
        <v>189</v>
      </c>
      <c r="D347" s="58" t="s">
        <v>647</v>
      </c>
      <c r="E347" s="59" t="s">
        <v>645</v>
      </c>
      <c r="F347" s="58" t="s">
        <v>494</v>
      </c>
      <c r="G347" s="58" t="s">
        <v>153</v>
      </c>
      <c r="H347" s="58" t="s">
        <v>11</v>
      </c>
      <c r="I347" s="58" t="s">
        <v>133</v>
      </c>
      <c r="J347" s="60">
        <v>8</v>
      </c>
      <c r="K347" s="60">
        <f t="shared" si="42"/>
        <v>6.2745098039215685</v>
      </c>
      <c r="L347" s="61">
        <f>prodnorm36</f>
        <v>0</v>
      </c>
      <c r="M347" s="58" t="s">
        <v>41</v>
      </c>
      <c r="N347" s="62">
        <f>uurtarief36</f>
        <v>0</v>
      </c>
      <c r="O347" s="60" t="e">
        <f t="shared" si="43"/>
        <v>#DIV/0!</v>
      </c>
      <c r="P347" s="62" t="e">
        <f t="shared" si="44"/>
        <v>#DIV/0!</v>
      </c>
      <c r="Q347" s="60" t="e">
        <f t="shared" si="45"/>
        <v>#DIV/0!</v>
      </c>
      <c r="R347" s="63" t="e">
        <f t="shared" si="46"/>
        <v>#DIV/0!</v>
      </c>
    </row>
    <row r="348" spans="1:18" x14ac:dyDescent="0.2">
      <c r="A348" s="57" t="s">
        <v>486</v>
      </c>
      <c r="B348" s="58" t="s">
        <v>420</v>
      </c>
      <c r="C348" s="58" t="s">
        <v>189</v>
      </c>
      <c r="D348" s="58" t="s">
        <v>648</v>
      </c>
      <c r="E348" s="59" t="s">
        <v>645</v>
      </c>
      <c r="F348" s="58" t="s">
        <v>494</v>
      </c>
      <c r="G348" s="58" t="s">
        <v>153</v>
      </c>
      <c r="H348" s="58" t="s">
        <v>11</v>
      </c>
      <c r="I348" s="58" t="s">
        <v>133</v>
      </c>
      <c r="J348" s="60">
        <v>5.6</v>
      </c>
      <c r="K348" s="60">
        <f t="shared" si="42"/>
        <v>4.3921568627450975</v>
      </c>
      <c r="L348" s="61">
        <f>prodnorm36</f>
        <v>0</v>
      </c>
      <c r="M348" s="58" t="s">
        <v>41</v>
      </c>
      <c r="N348" s="62">
        <f>uurtarief36</f>
        <v>0</v>
      </c>
      <c r="O348" s="60" t="e">
        <f t="shared" si="43"/>
        <v>#DIV/0!</v>
      </c>
      <c r="P348" s="62" t="e">
        <f t="shared" si="44"/>
        <v>#DIV/0!</v>
      </c>
      <c r="Q348" s="60" t="e">
        <f t="shared" si="45"/>
        <v>#DIV/0!</v>
      </c>
      <c r="R348" s="63" t="e">
        <f t="shared" si="46"/>
        <v>#DIV/0!</v>
      </c>
    </row>
    <row r="349" spans="1:18" x14ac:dyDescent="0.2">
      <c r="A349" s="57" t="s">
        <v>486</v>
      </c>
      <c r="B349" s="58" t="s">
        <v>420</v>
      </c>
      <c r="C349" s="58" t="s">
        <v>593</v>
      </c>
      <c r="D349" s="58" t="s">
        <v>649</v>
      </c>
      <c r="E349" s="59" t="s">
        <v>650</v>
      </c>
      <c r="F349" s="58" t="s">
        <v>489</v>
      </c>
      <c r="G349" s="58" t="s">
        <v>167</v>
      </c>
      <c r="H349" s="58" t="s">
        <v>11</v>
      </c>
      <c r="I349" s="58" t="s">
        <v>133</v>
      </c>
      <c r="J349" s="60">
        <v>2</v>
      </c>
      <c r="K349" s="60">
        <f t="shared" si="42"/>
        <v>1.5686274509803921</v>
      </c>
      <c r="L349" s="61">
        <f>prodnorm43</f>
        <v>0</v>
      </c>
      <c r="M349" s="58" t="s">
        <v>41</v>
      </c>
      <c r="N349" s="62">
        <f>uurtarief43</f>
        <v>0</v>
      </c>
      <c r="O349" s="60" t="e">
        <f t="shared" si="43"/>
        <v>#DIV/0!</v>
      </c>
      <c r="P349" s="62" t="e">
        <f t="shared" si="44"/>
        <v>#DIV/0!</v>
      </c>
      <c r="Q349" s="60" t="e">
        <f t="shared" si="45"/>
        <v>#DIV/0!</v>
      </c>
      <c r="R349" s="63" t="e">
        <f t="shared" si="46"/>
        <v>#DIV/0!</v>
      </c>
    </row>
    <row r="350" spans="1:18" x14ac:dyDescent="0.2">
      <c r="A350" s="57" t="s">
        <v>486</v>
      </c>
      <c r="B350" s="58" t="s">
        <v>420</v>
      </c>
      <c r="C350" s="58" t="s">
        <v>593</v>
      </c>
      <c r="D350" s="58" t="s">
        <v>651</v>
      </c>
      <c r="E350" s="59" t="s">
        <v>650</v>
      </c>
      <c r="F350" s="58" t="s">
        <v>489</v>
      </c>
      <c r="G350" s="58" t="s">
        <v>167</v>
      </c>
      <c r="H350" s="58" t="s">
        <v>11</v>
      </c>
      <c r="I350" s="58" t="s">
        <v>133</v>
      </c>
      <c r="J350" s="60">
        <v>2</v>
      </c>
      <c r="K350" s="60">
        <f t="shared" si="42"/>
        <v>1.5686274509803921</v>
      </c>
      <c r="L350" s="61">
        <f>prodnorm43</f>
        <v>0</v>
      </c>
      <c r="M350" s="58" t="s">
        <v>41</v>
      </c>
      <c r="N350" s="62">
        <f>uurtarief43</f>
        <v>0</v>
      </c>
      <c r="O350" s="60" t="e">
        <f t="shared" si="43"/>
        <v>#DIV/0!</v>
      </c>
      <c r="P350" s="62" t="e">
        <f t="shared" si="44"/>
        <v>#DIV/0!</v>
      </c>
      <c r="Q350" s="60" t="e">
        <f t="shared" si="45"/>
        <v>#DIV/0!</v>
      </c>
      <c r="R350" s="63" t="e">
        <f t="shared" si="46"/>
        <v>#DIV/0!</v>
      </c>
    </row>
    <row r="351" spans="1:18" x14ac:dyDescent="0.2">
      <c r="A351" s="57" t="s">
        <v>486</v>
      </c>
      <c r="B351" s="58" t="s">
        <v>420</v>
      </c>
      <c r="C351" s="58" t="s">
        <v>593</v>
      </c>
      <c r="D351" s="58" t="s">
        <v>652</v>
      </c>
      <c r="E351" s="59" t="s">
        <v>650</v>
      </c>
      <c r="F351" s="58" t="s">
        <v>489</v>
      </c>
      <c r="G351" s="58" t="s">
        <v>167</v>
      </c>
      <c r="H351" s="58" t="s">
        <v>11</v>
      </c>
      <c r="I351" s="58" t="s">
        <v>133</v>
      </c>
      <c r="J351" s="60">
        <v>2</v>
      </c>
      <c r="K351" s="60">
        <f t="shared" si="42"/>
        <v>1.5686274509803921</v>
      </c>
      <c r="L351" s="61">
        <f>prodnorm43</f>
        <v>0</v>
      </c>
      <c r="M351" s="58" t="s">
        <v>41</v>
      </c>
      <c r="N351" s="62">
        <f>uurtarief43</f>
        <v>0</v>
      </c>
      <c r="O351" s="60" t="e">
        <f t="shared" si="43"/>
        <v>#DIV/0!</v>
      </c>
      <c r="P351" s="62" t="e">
        <f t="shared" si="44"/>
        <v>#DIV/0!</v>
      </c>
      <c r="Q351" s="60" t="e">
        <f t="shared" si="45"/>
        <v>#DIV/0!</v>
      </c>
      <c r="R351" s="63" t="e">
        <f t="shared" si="46"/>
        <v>#DIV/0!</v>
      </c>
    </row>
    <row r="352" spans="1:18" x14ac:dyDescent="0.2">
      <c r="A352" s="57" t="s">
        <v>486</v>
      </c>
      <c r="B352" s="58" t="s">
        <v>420</v>
      </c>
      <c r="C352" s="58" t="s">
        <v>593</v>
      </c>
      <c r="D352" s="58" t="s">
        <v>653</v>
      </c>
      <c r="E352" s="59" t="s">
        <v>654</v>
      </c>
      <c r="F352" s="58" t="s">
        <v>655</v>
      </c>
      <c r="G352" s="58" t="s">
        <v>141</v>
      </c>
      <c r="H352" s="58" t="s">
        <v>11</v>
      </c>
      <c r="I352" s="58" t="s">
        <v>133</v>
      </c>
      <c r="J352" s="60">
        <v>2</v>
      </c>
      <c r="K352" s="60">
        <f t="shared" si="42"/>
        <v>1.5686274509803921</v>
      </c>
      <c r="L352" s="61">
        <f>prodnorm28</f>
        <v>0</v>
      </c>
      <c r="M352" s="58" t="s">
        <v>41</v>
      </c>
      <c r="N352" s="62">
        <f>uurtarief28</f>
        <v>0</v>
      </c>
      <c r="O352" s="60" t="e">
        <f t="shared" si="43"/>
        <v>#DIV/0!</v>
      </c>
      <c r="P352" s="62" t="e">
        <f t="shared" si="44"/>
        <v>#DIV/0!</v>
      </c>
      <c r="Q352" s="60" t="e">
        <f t="shared" si="45"/>
        <v>#DIV/0!</v>
      </c>
      <c r="R352" s="63" t="e">
        <f t="shared" si="46"/>
        <v>#DIV/0!</v>
      </c>
    </row>
    <row r="353" spans="1:18" x14ac:dyDescent="0.2">
      <c r="A353" s="57" t="s">
        <v>486</v>
      </c>
      <c r="B353" s="58" t="s">
        <v>420</v>
      </c>
      <c r="C353" s="58" t="s">
        <v>593</v>
      </c>
      <c r="D353" s="58" t="s">
        <v>656</v>
      </c>
      <c r="E353" s="59" t="s">
        <v>657</v>
      </c>
      <c r="F353" s="58" t="s">
        <v>489</v>
      </c>
      <c r="G353" s="58" t="s">
        <v>151</v>
      </c>
      <c r="H353" s="58" t="s">
        <v>11</v>
      </c>
      <c r="I353" s="58" t="s">
        <v>133</v>
      </c>
      <c r="J353" s="60">
        <v>28</v>
      </c>
      <c r="K353" s="60">
        <f t="shared" si="42"/>
        <v>21.96078431372549</v>
      </c>
      <c r="L353" s="61">
        <f>prodnorm35</f>
        <v>0</v>
      </c>
      <c r="M353" s="58" t="s">
        <v>41</v>
      </c>
      <c r="N353" s="62">
        <f>uurtarief35</f>
        <v>0</v>
      </c>
      <c r="O353" s="60" t="e">
        <f t="shared" si="43"/>
        <v>#DIV/0!</v>
      </c>
      <c r="P353" s="62" t="e">
        <f t="shared" si="44"/>
        <v>#DIV/0!</v>
      </c>
      <c r="Q353" s="60" t="e">
        <f t="shared" si="45"/>
        <v>#DIV/0!</v>
      </c>
      <c r="R353" s="63" t="e">
        <f t="shared" si="46"/>
        <v>#DIV/0!</v>
      </c>
    </row>
    <row r="354" spans="1:18" x14ac:dyDescent="0.2">
      <c r="A354" s="57" t="s">
        <v>486</v>
      </c>
      <c r="B354" s="58" t="s">
        <v>420</v>
      </c>
      <c r="C354" s="58" t="s">
        <v>593</v>
      </c>
      <c r="D354" s="58" t="s">
        <v>658</v>
      </c>
      <c r="E354" s="59" t="s">
        <v>659</v>
      </c>
      <c r="F354" s="58" t="s">
        <v>655</v>
      </c>
      <c r="G354" s="58" t="s">
        <v>141</v>
      </c>
      <c r="H354" s="58" t="s">
        <v>11</v>
      </c>
      <c r="I354" s="58" t="s">
        <v>133</v>
      </c>
      <c r="J354" s="60">
        <v>6</v>
      </c>
      <c r="K354" s="60">
        <f t="shared" si="42"/>
        <v>4.7058823529411766</v>
      </c>
      <c r="L354" s="61">
        <f>prodnorm28</f>
        <v>0</v>
      </c>
      <c r="M354" s="58" t="s">
        <v>41</v>
      </c>
      <c r="N354" s="62">
        <f>uurtarief28</f>
        <v>0</v>
      </c>
      <c r="O354" s="60" t="e">
        <f t="shared" si="43"/>
        <v>#DIV/0!</v>
      </c>
      <c r="P354" s="62" t="e">
        <f t="shared" si="44"/>
        <v>#DIV/0!</v>
      </c>
      <c r="Q354" s="60" t="e">
        <f t="shared" si="45"/>
        <v>#DIV/0!</v>
      </c>
      <c r="R354" s="63" t="e">
        <f t="shared" si="46"/>
        <v>#DIV/0!</v>
      </c>
    </row>
    <row r="355" spans="1:18" x14ac:dyDescent="0.2">
      <c r="A355" s="57" t="s">
        <v>486</v>
      </c>
      <c r="B355" s="58" t="s">
        <v>420</v>
      </c>
      <c r="C355" s="58" t="s">
        <v>593</v>
      </c>
      <c r="D355" s="58" t="s">
        <v>660</v>
      </c>
      <c r="E355" s="59" t="s">
        <v>661</v>
      </c>
      <c r="F355" s="58" t="s">
        <v>489</v>
      </c>
      <c r="G355" s="58" t="s">
        <v>151</v>
      </c>
      <c r="H355" s="58" t="s">
        <v>11</v>
      </c>
      <c r="I355" s="58" t="s">
        <v>133</v>
      </c>
      <c r="J355" s="60">
        <v>28</v>
      </c>
      <c r="K355" s="60">
        <f t="shared" si="42"/>
        <v>21.96078431372549</v>
      </c>
      <c r="L355" s="61">
        <f>prodnorm35</f>
        <v>0</v>
      </c>
      <c r="M355" s="58" t="s">
        <v>41</v>
      </c>
      <c r="N355" s="62">
        <f>uurtarief35</f>
        <v>0</v>
      </c>
      <c r="O355" s="60" t="e">
        <f t="shared" si="43"/>
        <v>#DIV/0!</v>
      </c>
      <c r="P355" s="62" t="e">
        <f t="shared" si="44"/>
        <v>#DIV/0!</v>
      </c>
      <c r="Q355" s="60" t="e">
        <f t="shared" si="45"/>
        <v>#DIV/0!</v>
      </c>
      <c r="R355" s="63" t="e">
        <f t="shared" si="46"/>
        <v>#DIV/0!</v>
      </c>
    </row>
    <row r="356" spans="1:18" x14ac:dyDescent="0.2">
      <c r="A356" s="57" t="s">
        <v>486</v>
      </c>
      <c r="B356" s="58" t="s">
        <v>420</v>
      </c>
      <c r="C356" s="58" t="s">
        <v>593</v>
      </c>
      <c r="D356" s="58" t="s">
        <v>662</v>
      </c>
      <c r="E356" s="59" t="s">
        <v>659</v>
      </c>
      <c r="F356" s="58" t="s">
        <v>655</v>
      </c>
      <c r="G356" s="58" t="s">
        <v>141</v>
      </c>
      <c r="H356" s="58" t="s">
        <v>11</v>
      </c>
      <c r="I356" s="58" t="s">
        <v>133</v>
      </c>
      <c r="J356" s="60">
        <v>6</v>
      </c>
      <c r="K356" s="60">
        <f t="shared" si="42"/>
        <v>4.7058823529411766</v>
      </c>
      <c r="L356" s="61">
        <f>prodnorm28</f>
        <v>0</v>
      </c>
      <c r="M356" s="58" t="s">
        <v>41</v>
      </c>
      <c r="N356" s="62">
        <f>uurtarief28</f>
        <v>0</v>
      </c>
      <c r="O356" s="60" t="e">
        <f t="shared" si="43"/>
        <v>#DIV/0!</v>
      </c>
      <c r="P356" s="62" t="e">
        <f t="shared" si="44"/>
        <v>#DIV/0!</v>
      </c>
      <c r="Q356" s="60" t="e">
        <f t="shared" si="45"/>
        <v>#DIV/0!</v>
      </c>
      <c r="R356" s="63" t="e">
        <f t="shared" si="46"/>
        <v>#DIV/0!</v>
      </c>
    </row>
    <row r="357" spans="1:18" x14ac:dyDescent="0.2">
      <c r="A357" s="57" t="s">
        <v>486</v>
      </c>
      <c r="B357" s="58" t="s">
        <v>420</v>
      </c>
      <c r="C357" s="58" t="s">
        <v>593</v>
      </c>
      <c r="D357" s="58" t="s">
        <v>663</v>
      </c>
      <c r="E357" s="59" t="s">
        <v>664</v>
      </c>
      <c r="F357" s="58" t="s">
        <v>665</v>
      </c>
      <c r="G357" s="58" t="s">
        <v>147</v>
      </c>
      <c r="H357" s="58" t="s">
        <v>11</v>
      </c>
      <c r="I357" s="58" t="s">
        <v>133</v>
      </c>
      <c r="J357" s="60">
        <v>240</v>
      </c>
      <c r="K357" s="60">
        <f t="shared" si="42"/>
        <v>188.23529411764704</v>
      </c>
      <c r="L357" s="61">
        <f>prodnorm32</f>
        <v>0</v>
      </c>
      <c r="M357" s="58" t="s">
        <v>41</v>
      </c>
      <c r="N357" s="62">
        <f>uurtarief32</f>
        <v>0</v>
      </c>
      <c r="O357" s="60" t="e">
        <f t="shared" si="43"/>
        <v>#DIV/0!</v>
      </c>
      <c r="P357" s="62" t="e">
        <f t="shared" si="44"/>
        <v>#DIV/0!</v>
      </c>
      <c r="Q357" s="60" t="e">
        <f t="shared" si="45"/>
        <v>#DIV/0!</v>
      </c>
      <c r="R357" s="63" t="e">
        <f t="shared" si="46"/>
        <v>#DIV/0!</v>
      </c>
    </row>
    <row r="358" spans="1:18" x14ac:dyDescent="0.2">
      <c r="A358" s="57" t="s">
        <v>486</v>
      </c>
      <c r="B358" s="58" t="s">
        <v>420</v>
      </c>
      <c r="C358" s="58" t="s">
        <v>593</v>
      </c>
      <c r="D358" s="58" t="s">
        <v>666</v>
      </c>
      <c r="E358" s="59" t="s">
        <v>667</v>
      </c>
      <c r="F358" s="58" t="s">
        <v>668</v>
      </c>
      <c r="G358" s="58" t="s">
        <v>147</v>
      </c>
      <c r="H358" s="58" t="s">
        <v>11</v>
      </c>
      <c r="I358" s="58" t="s">
        <v>133</v>
      </c>
      <c r="J358" s="60">
        <v>78</v>
      </c>
      <c r="K358" s="60">
        <f t="shared" si="42"/>
        <v>61.17647058823529</v>
      </c>
      <c r="L358" s="61">
        <f>prodnorm32</f>
        <v>0</v>
      </c>
      <c r="M358" s="58" t="s">
        <v>41</v>
      </c>
      <c r="N358" s="62">
        <f>uurtarief32</f>
        <v>0</v>
      </c>
      <c r="O358" s="60" t="e">
        <f t="shared" si="43"/>
        <v>#DIV/0!</v>
      </c>
      <c r="P358" s="62" t="e">
        <f t="shared" si="44"/>
        <v>#DIV/0!</v>
      </c>
      <c r="Q358" s="60" t="e">
        <f t="shared" si="45"/>
        <v>#DIV/0!</v>
      </c>
      <c r="R358" s="63" t="e">
        <f t="shared" si="46"/>
        <v>#DIV/0!</v>
      </c>
    </row>
    <row r="359" spans="1:18" x14ac:dyDescent="0.2">
      <c r="A359" s="57" t="s">
        <v>486</v>
      </c>
      <c r="B359" s="58" t="s">
        <v>420</v>
      </c>
      <c r="C359" s="58" t="s">
        <v>593</v>
      </c>
      <c r="D359" s="58" t="s">
        <v>669</v>
      </c>
      <c r="E359" s="59" t="s">
        <v>596</v>
      </c>
      <c r="F359" s="58" t="s">
        <v>665</v>
      </c>
      <c r="G359" s="58" t="s">
        <v>159</v>
      </c>
      <c r="H359" s="58" t="s">
        <v>11</v>
      </c>
      <c r="I359" s="58" t="s">
        <v>133</v>
      </c>
      <c r="J359" s="60">
        <v>7</v>
      </c>
      <c r="K359" s="60">
        <f t="shared" si="42"/>
        <v>5.4901960784313726</v>
      </c>
      <c r="L359" s="61">
        <f>prodnorm39</f>
        <v>0</v>
      </c>
      <c r="M359" s="58" t="s">
        <v>41</v>
      </c>
      <c r="N359" s="62">
        <f>uurtarief39</f>
        <v>0</v>
      </c>
      <c r="O359" s="60" t="e">
        <f t="shared" si="43"/>
        <v>#DIV/0!</v>
      </c>
      <c r="P359" s="62" t="e">
        <f t="shared" si="44"/>
        <v>#DIV/0!</v>
      </c>
      <c r="Q359" s="60" t="e">
        <f t="shared" si="45"/>
        <v>#DIV/0!</v>
      </c>
      <c r="R359" s="63" t="e">
        <f t="shared" si="46"/>
        <v>#DIV/0!</v>
      </c>
    </row>
    <row r="360" spans="1:18" x14ac:dyDescent="0.2">
      <c r="A360" s="57" t="s">
        <v>486</v>
      </c>
      <c r="B360" s="58" t="s">
        <v>420</v>
      </c>
      <c r="C360" s="58" t="s">
        <v>593</v>
      </c>
      <c r="D360" s="58" t="s">
        <v>670</v>
      </c>
      <c r="E360" s="59" t="s">
        <v>671</v>
      </c>
      <c r="F360" s="58" t="s">
        <v>668</v>
      </c>
      <c r="G360" s="58" t="s">
        <v>147</v>
      </c>
      <c r="H360" s="58" t="s">
        <v>21</v>
      </c>
      <c r="I360" s="58" t="s">
        <v>133</v>
      </c>
      <c r="J360" s="60">
        <v>42</v>
      </c>
      <c r="K360" s="60">
        <f t="shared" si="42"/>
        <v>1.6470588235294117</v>
      </c>
      <c r="L360" s="61">
        <f>prodnorm31</f>
        <v>0</v>
      </c>
      <c r="M360" s="58" t="s">
        <v>41</v>
      </c>
      <c r="N360" s="62">
        <f>uurtarief31</f>
        <v>0</v>
      </c>
      <c r="O360" s="60" t="e">
        <f t="shared" si="43"/>
        <v>#DIV/0!</v>
      </c>
      <c r="P360" s="62" t="e">
        <f t="shared" si="44"/>
        <v>#DIV/0!</v>
      </c>
      <c r="Q360" s="60" t="e">
        <f t="shared" si="45"/>
        <v>#DIV/0!</v>
      </c>
      <c r="R360" s="63" t="e">
        <f t="shared" si="46"/>
        <v>#DIV/0!</v>
      </c>
    </row>
    <row r="361" spans="1:18" x14ac:dyDescent="0.2">
      <c r="A361" s="57" t="s">
        <v>486</v>
      </c>
      <c r="B361" s="58" t="s">
        <v>420</v>
      </c>
      <c r="C361" s="58" t="s">
        <v>593</v>
      </c>
      <c r="D361" s="58" t="s">
        <v>672</v>
      </c>
      <c r="E361" s="59" t="s">
        <v>673</v>
      </c>
      <c r="F361" s="58" t="s">
        <v>489</v>
      </c>
      <c r="G361" s="58" t="s">
        <v>167</v>
      </c>
      <c r="H361" s="58" t="s">
        <v>11</v>
      </c>
      <c r="I361" s="58" t="s">
        <v>133</v>
      </c>
      <c r="J361" s="60">
        <v>4</v>
      </c>
      <c r="K361" s="60">
        <f t="shared" si="42"/>
        <v>3.1372549019607843</v>
      </c>
      <c r="L361" s="61">
        <f>prodnorm43</f>
        <v>0</v>
      </c>
      <c r="M361" s="58" t="s">
        <v>41</v>
      </c>
      <c r="N361" s="62">
        <f>uurtarief43</f>
        <v>0</v>
      </c>
      <c r="O361" s="60" t="e">
        <f t="shared" si="43"/>
        <v>#DIV/0!</v>
      </c>
      <c r="P361" s="62" t="e">
        <f t="shared" si="44"/>
        <v>#DIV/0!</v>
      </c>
      <c r="Q361" s="60" t="e">
        <f t="shared" si="45"/>
        <v>#DIV/0!</v>
      </c>
      <c r="R361" s="63" t="e">
        <f t="shared" si="46"/>
        <v>#DIV/0!</v>
      </c>
    </row>
    <row r="362" spans="1:18" x14ac:dyDescent="0.2">
      <c r="A362" s="57" t="s">
        <v>486</v>
      </c>
      <c r="B362" s="58" t="s">
        <v>420</v>
      </c>
      <c r="C362" s="58" t="s">
        <v>593</v>
      </c>
      <c r="D362" s="58" t="s">
        <v>674</v>
      </c>
      <c r="E362" s="59" t="s">
        <v>650</v>
      </c>
      <c r="F362" s="58" t="s">
        <v>489</v>
      </c>
      <c r="G362" s="58" t="s">
        <v>167</v>
      </c>
      <c r="H362" s="58" t="s">
        <v>11</v>
      </c>
      <c r="I362" s="58" t="s">
        <v>133</v>
      </c>
      <c r="J362" s="60">
        <v>2</v>
      </c>
      <c r="K362" s="60">
        <f t="shared" si="42"/>
        <v>1.5686274509803921</v>
      </c>
      <c r="L362" s="61">
        <f>prodnorm43</f>
        <v>0</v>
      </c>
      <c r="M362" s="58" t="s">
        <v>41</v>
      </c>
      <c r="N362" s="62">
        <f>uurtarief43</f>
        <v>0</v>
      </c>
      <c r="O362" s="60" t="e">
        <f t="shared" si="43"/>
        <v>#DIV/0!</v>
      </c>
      <c r="P362" s="62" t="e">
        <f t="shared" si="44"/>
        <v>#DIV/0!</v>
      </c>
      <c r="Q362" s="60" t="e">
        <f t="shared" si="45"/>
        <v>#DIV/0!</v>
      </c>
      <c r="R362" s="63" t="e">
        <f t="shared" si="46"/>
        <v>#DIV/0!</v>
      </c>
    </row>
    <row r="363" spans="1:18" x14ac:dyDescent="0.2">
      <c r="A363" s="57" t="s">
        <v>486</v>
      </c>
      <c r="B363" s="58" t="s">
        <v>420</v>
      </c>
      <c r="C363" s="58" t="s">
        <v>593</v>
      </c>
      <c r="D363" s="58" t="s">
        <v>675</v>
      </c>
      <c r="E363" s="59" t="s">
        <v>538</v>
      </c>
      <c r="F363" s="58" t="s">
        <v>489</v>
      </c>
      <c r="G363" s="58" t="s">
        <v>171</v>
      </c>
      <c r="H363" s="58" t="s">
        <v>11</v>
      </c>
      <c r="I363" s="58" t="s">
        <v>133</v>
      </c>
      <c r="J363" s="60">
        <v>58</v>
      </c>
      <c r="K363" s="60">
        <f t="shared" si="42"/>
        <v>45.490196078431374</v>
      </c>
      <c r="L363" s="61">
        <f>prodnorm45</f>
        <v>0</v>
      </c>
      <c r="M363" s="58" t="s">
        <v>41</v>
      </c>
      <c r="N363" s="62">
        <f>uurtarief45</f>
        <v>0</v>
      </c>
      <c r="O363" s="60" t="e">
        <f t="shared" si="43"/>
        <v>#DIV/0!</v>
      </c>
      <c r="P363" s="62" t="e">
        <f t="shared" si="44"/>
        <v>#DIV/0!</v>
      </c>
      <c r="Q363" s="60" t="e">
        <f t="shared" si="45"/>
        <v>#DIV/0!</v>
      </c>
      <c r="R363" s="63" t="e">
        <f t="shared" si="46"/>
        <v>#DIV/0!</v>
      </c>
    </row>
    <row r="364" spans="1:18" x14ac:dyDescent="0.2">
      <c r="A364" s="57" t="s">
        <v>486</v>
      </c>
      <c r="B364" s="58" t="s">
        <v>420</v>
      </c>
      <c r="C364" s="58" t="s">
        <v>593</v>
      </c>
      <c r="D364" s="58" t="s">
        <v>676</v>
      </c>
      <c r="E364" s="59" t="s">
        <v>677</v>
      </c>
      <c r="F364" s="58" t="s">
        <v>592</v>
      </c>
      <c r="G364" s="58" t="s">
        <v>169</v>
      </c>
      <c r="H364" s="58" t="s">
        <v>11</v>
      </c>
      <c r="I364" s="58" t="s">
        <v>133</v>
      </c>
      <c r="J364" s="60">
        <v>5.4</v>
      </c>
      <c r="K364" s="60">
        <f t="shared" si="42"/>
        <v>4.2352941176470589</v>
      </c>
      <c r="L364" s="61">
        <f>prodnorm44</f>
        <v>0</v>
      </c>
      <c r="M364" s="58" t="s">
        <v>41</v>
      </c>
      <c r="N364" s="62">
        <f>uurtarief44</f>
        <v>0</v>
      </c>
      <c r="O364" s="60" t="e">
        <f t="shared" si="43"/>
        <v>#DIV/0!</v>
      </c>
      <c r="P364" s="62" t="e">
        <f t="shared" si="44"/>
        <v>#DIV/0!</v>
      </c>
      <c r="Q364" s="60" t="e">
        <f t="shared" si="45"/>
        <v>#DIV/0!</v>
      </c>
      <c r="R364" s="63" t="e">
        <f t="shared" si="46"/>
        <v>#DIV/0!</v>
      </c>
    </row>
    <row r="365" spans="1:18" x14ac:dyDescent="0.2">
      <c r="A365" s="57" t="s">
        <v>486</v>
      </c>
      <c r="B365" s="58" t="s">
        <v>420</v>
      </c>
      <c r="C365" s="58" t="s">
        <v>193</v>
      </c>
      <c r="D365" s="58" t="s">
        <v>678</v>
      </c>
      <c r="E365" s="59" t="s">
        <v>679</v>
      </c>
      <c r="F365" s="58" t="s">
        <v>497</v>
      </c>
      <c r="G365" s="58" t="s">
        <v>145</v>
      </c>
      <c r="H365" s="58" t="s">
        <v>11</v>
      </c>
      <c r="I365" s="58" t="s">
        <v>133</v>
      </c>
      <c r="J365" s="60">
        <v>22</v>
      </c>
      <c r="K365" s="60">
        <f t="shared" si="42"/>
        <v>17.254901960784313</v>
      </c>
      <c r="L365" s="61">
        <f>prodnorm30</f>
        <v>0</v>
      </c>
      <c r="M365" s="58" t="s">
        <v>41</v>
      </c>
      <c r="N365" s="62">
        <f>uurtarief30</f>
        <v>0</v>
      </c>
      <c r="O365" s="60" t="e">
        <f t="shared" si="43"/>
        <v>#DIV/0!</v>
      </c>
      <c r="P365" s="62" t="e">
        <f t="shared" si="44"/>
        <v>#DIV/0!</v>
      </c>
      <c r="Q365" s="60" t="e">
        <f t="shared" si="45"/>
        <v>#DIV/0!</v>
      </c>
      <c r="R365" s="63" t="e">
        <f t="shared" si="46"/>
        <v>#DIV/0!</v>
      </c>
    </row>
    <row r="366" spans="1:18" x14ac:dyDescent="0.2">
      <c r="A366" s="57" t="s">
        <v>486</v>
      </c>
      <c r="B366" s="58" t="s">
        <v>420</v>
      </c>
      <c r="C366" s="58" t="s">
        <v>193</v>
      </c>
      <c r="D366" s="58" t="s">
        <v>680</v>
      </c>
      <c r="E366" s="59" t="s">
        <v>681</v>
      </c>
      <c r="F366" s="58" t="s">
        <v>506</v>
      </c>
      <c r="G366" s="58" t="s">
        <v>143</v>
      </c>
      <c r="H366" s="58" t="s">
        <v>11</v>
      </c>
      <c r="I366" s="58" t="s">
        <v>133</v>
      </c>
      <c r="J366" s="60">
        <v>129</v>
      </c>
      <c r="K366" s="60">
        <f t="shared" si="42"/>
        <v>101.17647058823529</v>
      </c>
      <c r="L366" s="61">
        <f>prodnorm29</f>
        <v>0</v>
      </c>
      <c r="M366" s="58" t="s">
        <v>41</v>
      </c>
      <c r="N366" s="62">
        <f>uurtarief29</f>
        <v>0</v>
      </c>
      <c r="O366" s="60" t="e">
        <f t="shared" si="43"/>
        <v>#DIV/0!</v>
      </c>
      <c r="P366" s="62" t="e">
        <f t="shared" si="44"/>
        <v>#DIV/0!</v>
      </c>
      <c r="Q366" s="60" t="e">
        <f t="shared" si="45"/>
        <v>#DIV/0!</v>
      </c>
      <c r="R366" s="63" t="e">
        <f t="shared" si="46"/>
        <v>#DIV/0!</v>
      </c>
    </row>
    <row r="367" spans="1:18" x14ac:dyDescent="0.2">
      <c r="A367" s="57" t="s">
        <v>486</v>
      </c>
      <c r="B367" s="58" t="s">
        <v>420</v>
      </c>
      <c r="C367" s="58" t="s">
        <v>252</v>
      </c>
      <c r="D367" s="58" t="s">
        <v>682</v>
      </c>
      <c r="E367" s="59" t="s">
        <v>538</v>
      </c>
      <c r="F367" s="58" t="s">
        <v>506</v>
      </c>
      <c r="G367" s="58" t="s">
        <v>171</v>
      </c>
      <c r="H367" s="58" t="s">
        <v>11</v>
      </c>
      <c r="I367" s="58" t="s">
        <v>133</v>
      </c>
      <c r="J367" s="60">
        <v>67</v>
      </c>
      <c r="K367" s="60">
        <f t="shared" si="42"/>
        <v>52.549019607843135</v>
      </c>
      <c r="L367" s="61">
        <f>prodnorm45</f>
        <v>0</v>
      </c>
      <c r="M367" s="58" t="s">
        <v>41</v>
      </c>
      <c r="N367" s="62">
        <f>uurtarief45</f>
        <v>0</v>
      </c>
      <c r="O367" s="60" t="e">
        <f t="shared" si="43"/>
        <v>#DIV/0!</v>
      </c>
      <c r="P367" s="62" t="e">
        <f t="shared" si="44"/>
        <v>#DIV/0!</v>
      </c>
      <c r="Q367" s="60" t="e">
        <f t="shared" si="45"/>
        <v>#DIV/0!</v>
      </c>
      <c r="R367" s="63" t="e">
        <f t="shared" si="46"/>
        <v>#DIV/0!</v>
      </c>
    </row>
    <row r="368" spans="1:18" x14ac:dyDescent="0.2">
      <c r="A368" s="57" t="s">
        <v>486</v>
      </c>
      <c r="B368" s="58" t="s">
        <v>420</v>
      </c>
      <c r="C368" s="58" t="s">
        <v>299</v>
      </c>
      <c r="D368" s="58" t="s">
        <v>683</v>
      </c>
      <c r="E368" s="59" t="s">
        <v>684</v>
      </c>
      <c r="F368" s="58" t="s">
        <v>506</v>
      </c>
      <c r="G368" s="58" t="s">
        <v>171</v>
      </c>
      <c r="H368" s="58" t="s">
        <v>11</v>
      </c>
      <c r="I368" s="58" t="s">
        <v>133</v>
      </c>
      <c r="J368" s="60">
        <v>27</v>
      </c>
      <c r="K368" s="60">
        <f t="shared" si="42"/>
        <v>21.176470588235293</v>
      </c>
      <c r="L368" s="61">
        <f>prodnorm45</f>
        <v>0</v>
      </c>
      <c r="M368" s="58" t="s">
        <v>41</v>
      </c>
      <c r="N368" s="62">
        <f>uurtarief45</f>
        <v>0</v>
      </c>
      <c r="O368" s="60" t="e">
        <f t="shared" si="43"/>
        <v>#DIV/0!</v>
      </c>
      <c r="P368" s="62" t="e">
        <f t="shared" si="44"/>
        <v>#DIV/0!</v>
      </c>
      <c r="Q368" s="60" t="e">
        <f t="shared" si="45"/>
        <v>#DIV/0!</v>
      </c>
      <c r="R368" s="63" t="e">
        <f t="shared" si="46"/>
        <v>#DIV/0!</v>
      </c>
    </row>
    <row r="369" spans="1:18" x14ac:dyDescent="0.2">
      <c r="A369" s="64" t="s">
        <v>486</v>
      </c>
      <c r="B369" s="65" t="s">
        <v>420</v>
      </c>
      <c r="C369" s="65" t="s">
        <v>336</v>
      </c>
      <c r="D369" s="65" t="s">
        <v>685</v>
      </c>
      <c r="E369" s="66" t="s">
        <v>684</v>
      </c>
      <c r="F369" s="65" t="s">
        <v>506</v>
      </c>
      <c r="G369" s="65" t="s">
        <v>171</v>
      </c>
      <c r="H369" s="65" t="s">
        <v>11</v>
      </c>
      <c r="I369" s="65" t="s">
        <v>133</v>
      </c>
      <c r="J369" s="67">
        <v>32.5</v>
      </c>
      <c r="K369" s="67">
        <f t="shared" ref="K369" si="47">J369*VLOOKUP(H369,dagsoorttabel1,2,FALSE)</f>
        <v>25.490196078431371</v>
      </c>
      <c r="L369" s="68">
        <f>prodnorm45</f>
        <v>0</v>
      </c>
      <c r="M369" s="65" t="s">
        <v>41</v>
      </c>
      <c r="N369" s="69">
        <f>uurtarief45</f>
        <v>0</v>
      </c>
      <c r="O369" s="67" t="e">
        <f t="shared" si="43"/>
        <v>#DIV/0!</v>
      </c>
      <c r="P369" s="69" t="e">
        <f t="shared" ref="P369" si="48">ROUND(N369,2)*O369</f>
        <v>#DIV/0!</v>
      </c>
      <c r="Q369" s="67" t="e">
        <f t="shared" si="45"/>
        <v>#DIV/0!</v>
      </c>
      <c r="R369" s="70" t="e">
        <f t="shared" ref="R369" si="49">Q369*ROUND(N369,2)</f>
        <v>#DIV/0!</v>
      </c>
    </row>
    <row r="370" spans="1:18" x14ac:dyDescent="0.2">
      <c r="A370" s="71" t="s">
        <v>484</v>
      </c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3">
        <f>IF(_xlfn.SINGLE(object2_urenjaar1)&gt;0,_xlfn.SINGLE(object2_prijsjaar1)/_xlfn.SINGLE(object2_urenjaar1),0)</f>
        <v>0</v>
      </c>
      <c r="O370" s="42" t="e">
        <f>SUM(O209:O369)</f>
        <v>#DIV/0!</v>
      </c>
      <c r="P370" s="43" t="e">
        <f>SUM(P209:P369)</f>
        <v>#DIV/0!</v>
      </c>
      <c r="Q370" s="42" t="e">
        <f>SUM(Q209:Q369)</f>
        <v>#DIV/0!</v>
      </c>
      <c r="R370" s="44" t="e">
        <f>SUM(R209:R369)</f>
        <v>#DIV/0!</v>
      </c>
    </row>
    <row r="371" spans="1:18" x14ac:dyDescent="0.2">
      <c r="A371" s="49" t="s">
        <v>686</v>
      </c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39"/>
    </row>
    <row r="372" spans="1:18" x14ac:dyDescent="0.2">
      <c r="A372" s="50" t="s">
        <v>687</v>
      </c>
      <c r="B372" s="51" t="s">
        <v>688</v>
      </c>
      <c r="C372" s="51" t="s">
        <v>189</v>
      </c>
      <c r="D372" s="51" t="s">
        <v>689</v>
      </c>
      <c r="E372" s="52" t="s">
        <v>690</v>
      </c>
      <c r="F372" s="51" t="s">
        <v>489</v>
      </c>
      <c r="G372" s="51" t="s">
        <v>132</v>
      </c>
      <c r="H372" s="51" t="s">
        <v>11</v>
      </c>
      <c r="I372" s="51" t="s">
        <v>133</v>
      </c>
      <c r="J372" s="53">
        <v>536.6</v>
      </c>
      <c r="K372" s="53">
        <f t="shared" ref="K372:K403" si="50">J372*VLOOKUP(H372,dagsoorttabel1,2,FALSE)</f>
        <v>420.86274509803923</v>
      </c>
      <c r="L372" s="54">
        <f>prodnorm22</f>
        <v>0</v>
      </c>
      <c r="M372" s="51" t="s">
        <v>41</v>
      </c>
      <c r="N372" s="55">
        <f>uurtarief22</f>
        <v>0</v>
      </c>
      <c r="O372" s="53" t="e">
        <f t="shared" ref="O372:O403" si="51">IF(ISBLANK(L372),0,K372/ROUND(L372,4))</f>
        <v>#DIV/0!</v>
      </c>
      <c r="P372" s="55" t="e">
        <f t="shared" ref="P372:P403" si="52">ROUND(N372,2)*O372</f>
        <v>#DIV/0!</v>
      </c>
      <c r="Q372" s="53" t="e">
        <f t="shared" ref="Q372:Q403" si="53">O372*dagenperjaar1</f>
        <v>#DIV/0!</v>
      </c>
      <c r="R372" s="56" t="e">
        <f t="shared" ref="R372:R403" si="54">Q372*ROUND(N372,2)</f>
        <v>#DIV/0!</v>
      </c>
    </row>
    <row r="373" spans="1:18" x14ac:dyDescent="0.2">
      <c r="A373" s="57" t="s">
        <v>687</v>
      </c>
      <c r="B373" s="58" t="s">
        <v>688</v>
      </c>
      <c r="C373" s="58" t="s">
        <v>189</v>
      </c>
      <c r="D373" s="58" t="s">
        <v>691</v>
      </c>
      <c r="E373" s="59" t="s">
        <v>692</v>
      </c>
      <c r="F373" s="58" t="s">
        <v>489</v>
      </c>
      <c r="G373" s="58" t="s">
        <v>153</v>
      </c>
      <c r="H373" s="58" t="s">
        <v>11</v>
      </c>
      <c r="I373" s="58" t="s">
        <v>133</v>
      </c>
      <c r="J373" s="60">
        <v>51.4</v>
      </c>
      <c r="K373" s="60">
        <f t="shared" si="50"/>
        <v>40.313725490196077</v>
      </c>
      <c r="L373" s="61">
        <f>prodnorm36</f>
        <v>0</v>
      </c>
      <c r="M373" s="58" t="s">
        <v>41</v>
      </c>
      <c r="N373" s="62">
        <f>uurtarief36</f>
        <v>0</v>
      </c>
      <c r="O373" s="60" t="e">
        <f t="shared" si="51"/>
        <v>#DIV/0!</v>
      </c>
      <c r="P373" s="62" t="e">
        <f t="shared" si="52"/>
        <v>#DIV/0!</v>
      </c>
      <c r="Q373" s="60" t="e">
        <f t="shared" si="53"/>
        <v>#DIV/0!</v>
      </c>
      <c r="R373" s="63" t="e">
        <f t="shared" si="54"/>
        <v>#DIV/0!</v>
      </c>
    </row>
    <row r="374" spans="1:18" x14ac:dyDescent="0.2">
      <c r="A374" s="57" t="s">
        <v>687</v>
      </c>
      <c r="B374" s="58" t="s">
        <v>688</v>
      </c>
      <c r="C374" s="58" t="s">
        <v>189</v>
      </c>
      <c r="D374" s="58" t="s">
        <v>693</v>
      </c>
      <c r="E374" s="59" t="s">
        <v>694</v>
      </c>
      <c r="F374" s="58" t="s">
        <v>260</v>
      </c>
      <c r="G374" s="58" t="s">
        <v>171</v>
      </c>
      <c r="H374" s="58" t="s">
        <v>11</v>
      </c>
      <c r="I374" s="58" t="s">
        <v>133</v>
      </c>
      <c r="J374" s="60">
        <v>56</v>
      </c>
      <c r="K374" s="60">
        <f t="shared" si="50"/>
        <v>43.921568627450981</v>
      </c>
      <c r="L374" s="61">
        <f>prodnorm45</f>
        <v>0</v>
      </c>
      <c r="M374" s="58" t="s">
        <v>41</v>
      </c>
      <c r="N374" s="62">
        <f>uurtarief45</f>
        <v>0</v>
      </c>
      <c r="O374" s="60" t="e">
        <f t="shared" si="51"/>
        <v>#DIV/0!</v>
      </c>
      <c r="P374" s="62" t="e">
        <f t="shared" si="52"/>
        <v>#DIV/0!</v>
      </c>
      <c r="Q374" s="60" t="e">
        <f t="shared" si="53"/>
        <v>#DIV/0!</v>
      </c>
      <c r="R374" s="63" t="e">
        <f t="shared" si="54"/>
        <v>#DIV/0!</v>
      </c>
    </row>
    <row r="375" spans="1:18" x14ac:dyDescent="0.2">
      <c r="A375" s="57" t="s">
        <v>687</v>
      </c>
      <c r="B375" s="58" t="s">
        <v>688</v>
      </c>
      <c r="C375" s="58" t="s">
        <v>189</v>
      </c>
      <c r="D375" s="58" t="s">
        <v>695</v>
      </c>
      <c r="E375" s="59" t="s">
        <v>696</v>
      </c>
      <c r="F375" s="58" t="s">
        <v>489</v>
      </c>
      <c r="G375" s="58" t="s">
        <v>153</v>
      </c>
      <c r="H375" s="58" t="s">
        <v>11</v>
      </c>
      <c r="I375" s="58" t="s">
        <v>133</v>
      </c>
      <c r="J375" s="60">
        <v>70</v>
      </c>
      <c r="K375" s="60">
        <f t="shared" si="50"/>
        <v>54.901960784313722</v>
      </c>
      <c r="L375" s="61">
        <f>prodnorm36</f>
        <v>0</v>
      </c>
      <c r="M375" s="58" t="s">
        <v>41</v>
      </c>
      <c r="N375" s="62">
        <f>uurtarief36</f>
        <v>0</v>
      </c>
      <c r="O375" s="60" t="e">
        <f t="shared" si="51"/>
        <v>#DIV/0!</v>
      </c>
      <c r="P375" s="62" t="e">
        <f t="shared" si="52"/>
        <v>#DIV/0!</v>
      </c>
      <c r="Q375" s="60" t="e">
        <f t="shared" si="53"/>
        <v>#DIV/0!</v>
      </c>
      <c r="R375" s="63" t="e">
        <f t="shared" si="54"/>
        <v>#DIV/0!</v>
      </c>
    </row>
    <row r="376" spans="1:18" x14ac:dyDescent="0.2">
      <c r="A376" s="57" t="s">
        <v>687</v>
      </c>
      <c r="B376" s="58" t="s">
        <v>688</v>
      </c>
      <c r="C376" s="58" t="s">
        <v>189</v>
      </c>
      <c r="D376" s="58" t="s">
        <v>697</v>
      </c>
      <c r="E376" s="59" t="s">
        <v>698</v>
      </c>
      <c r="F376" s="58" t="s">
        <v>489</v>
      </c>
      <c r="G376" s="58" t="s">
        <v>169</v>
      </c>
      <c r="H376" s="58" t="s">
        <v>11</v>
      </c>
      <c r="I376" s="58" t="s">
        <v>133</v>
      </c>
      <c r="J376" s="60">
        <v>10</v>
      </c>
      <c r="K376" s="60">
        <f t="shared" si="50"/>
        <v>7.8431372549019605</v>
      </c>
      <c r="L376" s="61">
        <f>prodnorm44</f>
        <v>0</v>
      </c>
      <c r="M376" s="58" t="s">
        <v>41</v>
      </c>
      <c r="N376" s="62">
        <f>uurtarief44</f>
        <v>0</v>
      </c>
      <c r="O376" s="60" t="e">
        <f t="shared" si="51"/>
        <v>#DIV/0!</v>
      </c>
      <c r="P376" s="62" t="e">
        <f t="shared" si="52"/>
        <v>#DIV/0!</v>
      </c>
      <c r="Q376" s="60" t="e">
        <f t="shared" si="53"/>
        <v>#DIV/0!</v>
      </c>
      <c r="R376" s="63" t="e">
        <f t="shared" si="54"/>
        <v>#DIV/0!</v>
      </c>
    </row>
    <row r="377" spans="1:18" x14ac:dyDescent="0.2">
      <c r="A377" s="57" t="s">
        <v>687</v>
      </c>
      <c r="B377" s="58" t="s">
        <v>688</v>
      </c>
      <c r="C377" s="58" t="s">
        <v>189</v>
      </c>
      <c r="D377" s="58" t="s">
        <v>699</v>
      </c>
      <c r="E377" s="59" t="s">
        <v>698</v>
      </c>
      <c r="F377" s="58" t="s">
        <v>489</v>
      </c>
      <c r="G377" s="58" t="s">
        <v>169</v>
      </c>
      <c r="H377" s="58" t="s">
        <v>11</v>
      </c>
      <c r="I377" s="58" t="s">
        <v>133</v>
      </c>
      <c r="J377" s="60">
        <v>17</v>
      </c>
      <c r="K377" s="60">
        <f t="shared" si="50"/>
        <v>13.333333333333334</v>
      </c>
      <c r="L377" s="61">
        <f>prodnorm44</f>
        <v>0</v>
      </c>
      <c r="M377" s="58" t="s">
        <v>41</v>
      </c>
      <c r="N377" s="62">
        <f>uurtarief44</f>
        <v>0</v>
      </c>
      <c r="O377" s="60" t="e">
        <f t="shared" si="51"/>
        <v>#DIV/0!</v>
      </c>
      <c r="P377" s="62" t="e">
        <f t="shared" si="52"/>
        <v>#DIV/0!</v>
      </c>
      <c r="Q377" s="60" t="e">
        <f t="shared" si="53"/>
        <v>#DIV/0!</v>
      </c>
      <c r="R377" s="63" t="e">
        <f t="shared" si="54"/>
        <v>#DIV/0!</v>
      </c>
    </row>
    <row r="378" spans="1:18" x14ac:dyDescent="0.2">
      <c r="A378" s="57" t="s">
        <v>687</v>
      </c>
      <c r="B378" s="58" t="s">
        <v>688</v>
      </c>
      <c r="C378" s="58" t="s">
        <v>189</v>
      </c>
      <c r="D378" s="58" t="s">
        <v>700</v>
      </c>
      <c r="E378" s="59" t="s">
        <v>701</v>
      </c>
      <c r="F378" s="58" t="s">
        <v>489</v>
      </c>
      <c r="G378" s="58" t="s">
        <v>169</v>
      </c>
      <c r="H378" s="58" t="s">
        <v>11</v>
      </c>
      <c r="I378" s="58" t="s">
        <v>133</v>
      </c>
      <c r="J378" s="60">
        <v>22</v>
      </c>
      <c r="K378" s="60">
        <f t="shared" si="50"/>
        <v>17.254901960784313</v>
      </c>
      <c r="L378" s="61">
        <f>prodnorm44</f>
        <v>0</v>
      </c>
      <c r="M378" s="58" t="s">
        <v>41</v>
      </c>
      <c r="N378" s="62">
        <f>uurtarief44</f>
        <v>0</v>
      </c>
      <c r="O378" s="60" t="e">
        <f t="shared" si="51"/>
        <v>#DIV/0!</v>
      </c>
      <c r="P378" s="62" t="e">
        <f t="shared" si="52"/>
        <v>#DIV/0!</v>
      </c>
      <c r="Q378" s="60" t="e">
        <f t="shared" si="53"/>
        <v>#DIV/0!</v>
      </c>
      <c r="R378" s="63" t="e">
        <f t="shared" si="54"/>
        <v>#DIV/0!</v>
      </c>
    </row>
    <row r="379" spans="1:18" x14ac:dyDescent="0.2">
      <c r="A379" s="57" t="s">
        <v>687</v>
      </c>
      <c r="B379" s="58" t="s">
        <v>688</v>
      </c>
      <c r="C379" s="58" t="s">
        <v>189</v>
      </c>
      <c r="D379" s="58" t="s">
        <v>702</v>
      </c>
      <c r="E379" s="59" t="s">
        <v>703</v>
      </c>
      <c r="F379" s="58" t="s">
        <v>489</v>
      </c>
      <c r="G379" s="58" t="s">
        <v>167</v>
      </c>
      <c r="H379" s="58" t="s">
        <v>11</v>
      </c>
      <c r="I379" s="58" t="s">
        <v>133</v>
      </c>
      <c r="J379" s="60">
        <v>12</v>
      </c>
      <c r="K379" s="60">
        <f t="shared" si="50"/>
        <v>9.4117647058823533</v>
      </c>
      <c r="L379" s="61">
        <f>prodnorm43</f>
        <v>0</v>
      </c>
      <c r="M379" s="58" t="s">
        <v>41</v>
      </c>
      <c r="N379" s="62">
        <f>uurtarief43</f>
        <v>0</v>
      </c>
      <c r="O379" s="60" t="e">
        <f t="shared" si="51"/>
        <v>#DIV/0!</v>
      </c>
      <c r="P379" s="62" t="e">
        <f t="shared" si="52"/>
        <v>#DIV/0!</v>
      </c>
      <c r="Q379" s="60" t="e">
        <f t="shared" si="53"/>
        <v>#DIV/0!</v>
      </c>
      <c r="R379" s="63" t="e">
        <f t="shared" si="54"/>
        <v>#DIV/0!</v>
      </c>
    </row>
    <row r="380" spans="1:18" x14ac:dyDescent="0.2">
      <c r="A380" s="57" t="s">
        <v>687</v>
      </c>
      <c r="B380" s="58" t="s">
        <v>688</v>
      </c>
      <c r="C380" s="58" t="s">
        <v>189</v>
      </c>
      <c r="D380" s="58" t="s">
        <v>704</v>
      </c>
      <c r="E380" s="59" t="s">
        <v>703</v>
      </c>
      <c r="F380" s="58" t="s">
        <v>489</v>
      </c>
      <c r="G380" s="58" t="s">
        <v>167</v>
      </c>
      <c r="H380" s="58" t="s">
        <v>11</v>
      </c>
      <c r="I380" s="58" t="s">
        <v>133</v>
      </c>
      <c r="J380" s="60">
        <v>12</v>
      </c>
      <c r="K380" s="60">
        <f t="shared" si="50"/>
        <v>9.4117647058823533</v>
      </c>
      <c r="L380" s="61">
        <f>prodnorm43</f>
        <v>0</v>
      </c>
      <c r="M380" s="58" t="s">
        <v>41</v>
      </c>
      <c r="N380" s="62">
        <f>uurtarief43</f>
        <v>0</v>
      </c>
      <c r="O380" s="60" t="e">
        <f t="shared" si="51"/>
        <v>#DIV/0!</v>
      </c>
      <c r="P380" s="62" t="e">
        <f t="shared" si="52"/>
        <v>#DIV/0!</v>
      </c>
      <c r="Q380" s="60" t="e">
        <f t="shared" si="53"/>
        <v>#DIV/0!</v>
      </c>
      <c r="R380" s="63" t="e">
        <f t="shared" si="54"/>
        <v>#DIV/0!</v>
      </c>
    </row>
    <row r="381" spans="1:18" x14ac:dyDescent="0.2">
      <c r="A381" s="57" t="s">
        <v>687</v>
      </c>
      <c r="B381" s="58" t="s">
        <v>688</v>
      </c>
      <c r="C381" s="58" t="s">
        <v>189</v>
      </c>
      <c r="D381" s="58" t="s">
        <v>705</v>
      </c>
      <c r="E381" s="59" t="s">
        <v>706</v>
      </c>
      <c r="F381" s="58" t="s">
        <v>489</v>
      </c>
      <c r="G381" s="58" t="s">
        <v>169</v>
      </c>
      <c r="H381" s="58" t="s">
        <v>11</v>
      </c>
      <c r="I381" s="58" t="s">
        <v>133</v>
      </c>
      <c r="J381" s="60">
        <v>31</v>
      </c>
      <c r="K381" s="60">
        <f t="shared" si="50"/>
        <v>24.313725490196077</v>
      </c>
      <c r="L381" s="61">
        <f>prodnorm44</f>
        <v>0</v>
      </c>
      <c r="M381" s="58" t="s">
        <v>41</v>
      </c>
      <c r="N381" s="62">
        <f>uurtarief44</f>
        <v>0</v>
      </c>
      <c r="O381" s="60" t="e">
        <f t="shared" si="51"/>
        <v>#DIV/0!</v>
      </c>
      <c r="P381" s="62" t="e">
        <f t="shared" si="52"/>
        <v>#DIV/0!</v>
      </c>
      <c r="Q381" s="60" t="e">
        <f t="shared" si="53"/>
        <v>#DIV/0!</v>
      </c>
      <c r="R381" s="63" t="e">
        <f t="shared" si="54"/>
        <v>#DIV/0!</v>
      </c>
    </row>
    <row r="382" spans="1:18" x14ac:dyDescent="0.2">
      <c r="A382" s="57" t="s">
        <v>687</v>
      </c>
      <c r="B382" s="58" t="s">
        <v>688</v>
      </c>
      <c r="C382" s="58" t="s">
        <v>189</v>
      </c>
      <c r="D382" s="58" t="s">
        <v>707</v>
      </c>
      <c r="E382" s="59" t="s">
        <v>703</v>
      </c>
      <c r="F382" s="58" t="s">
        <v>489</v>
      </c>
      <c r="G382" s="58" t="s">
        <v>167</v>
      </c>
      <c r="H382" s="58" t="s">
        <v>11</v>
      </c>
      <c r="I382" s="58" t="s">
        <v>133</v>
      </c>
      <c r="J382" s="60">
        <v>2</v>
      </c>
      <c r="K382" s="60">
        <f t="shared" si="50"/>
        <v>1.5686274509803921</v>
      </c>
      <c r="L382" s="61">
        <f>prodnorm43</f>
        <v>0</v>
      </c>
      <c r="M382" s="58" t="s">
        <v>41</v>
      </c>
      <c r="N382" s="62">
        <f>uurtarief43</f>
        <v>0</v>
      </c>
      <c r="O382" s="60" t="e">
        <f t="shared" si="51"/>
        <v>#DIV/0!</v>
      </c>
      <c r="P382" s="62" t="e">
        <f t="shared" si="52"/>
        <v>#DIV/0!</v>
      </c>
      <c r="Q382" s="60" t="e">
        <f t="shared" si="53"/>
        <v>#DIV/0!</v>
      </c>
      <c r="R382" s="63" t="e">
        <f t="shared" si="54"/>
        <v>#DIV/0!</v>
      </c>
    </row>
    <row r="383" spans="1:18" x14ac:dyDescent="0.2">
      <c r="A383" s="57" t="s">
        <v>687</v>
      </c>
      <c r="B383" s="58" t="s">
        <v>688</v>
      </c>
      <c r="C383" s="58" t="s">
        <v>189</v>
      </c>
      <c r="D383" s="58" t="s">
        <v>708</v>
      </c>
      <c r="E383" s="59" t="s">
        <v>709</v>
      </c>
      <c r="F383" s="58" t="s">
        <v>489</v>
      </c>
      <c r="G383" s="58" t="s">
        <v>167</v>
      </c>
      <c r="H383" s="58" t="s">
        <v>11</v>
      </c>
      <c r="I383" s="58" t="s">
        <v>133</v>
      </c>
      <c r="J383" s="60">
        <v>4</v>
      </c>
      <c r="K383" s="60">
        <f t="shared" si="50"/>
        <v>3.1372549019607843</v>
      </c>
      <c r="L383" s="61">
        <f>prodnorm43</f>
        <v>0</v>
      </c>
      <c r="M383" s="58" t="s">
        <v>41</v>
      </c>
      <c r="N383" s="62">
        <f>uurtarief43</f>
        <v>0</v>
      </c>
      <c r="O383" s="60" t="e">
        <f t="shared" si="51"/>
        <v>#DIV/0!</v>
      </c>
      <c r="P383" s="62" t="e">
        <f t="shared" si="52"/>
        <v>#DIV/0!</v>
      </c>
      <c r="Q383" s="60" t="e">
        <f t="shared" si="53"/>
        <v>#DIV/0!</v>
      </c>
      <c r="R383" s="63" t="e">
        <f t="shared" si="54"/>
        <v>#DIV/0!</v>
      </c>
    </row>
    <row r="384" spans="1:18" x14ac:dyDescent="0.2">
      <c r="A384" s="57" t="s">
        <v>687</v>
      </c>
      <c r="B384" s="58" t="s">
        <v>688</v>
      </c>
      <c r="C384" s="58" t="s">
        <v>189</v>
      </c>
      <c r="D384" s="58" t="s">
        <v>710</v>
      </c>
      <c r="E384" s="59" t="s">
        <v>711</v>
      </c>
      <c r="F384" s="58" t="s">
        <v>489</v>
      </c>
      <c r="G384" s="58" t="s">
        <v>143</v>
      </c>
      <c r="H384" s="58" t="s">
        <v>11</v>
      </c>
      <c r="I384" s="58" t="s">
        <v>133</v>
      </c>
      <c r="J384" s="60">
        <v>27</v>
      </c>
      <c r="K384" s="60">
        <f t="shared" si="50"/>
        <v>21.176470588235293</v>
      </c>
      <c r="L384" s="61">
        <f>prodnorm29</f>
        <v>0</v>
      </c>
      <c r="M384" s="58" t="s">
        <v>41</v>
      </c>
      <c r="N384" s="62">
        <f>uurtarief29</f>
        <v>0</v>
      </c>
      <c r="O384" s="60" t="e">
        <f t="shared" si="51"/>
        <v>#DIV/0!</v>
      </c>
      <c r="P384" s="62" t="e">
        <f t="shared" si="52"/>
        <v>#DIV/0!</v>
      </c>
      <c r="Q384" s="60" t="e">
        <f t="shared" si="53"/>
        <v>#DIV/0!</v>
      </c>
      <c r="R384" s="63" t="e">
        <f t="shared" si="54"/>
        <v>#DIV/0!</v>
      </c>
    </row>
    <row r="385" spans="1:18" x14ac:dyDescent="0.2">
      <c r="A385" s="57" t="s">
        <v>687</v>
      </c>
      <c r="B385" s="58" t="s">
        <v>688</v>
      </c>
      <c r="C385" s="58" t="s">
        <v>593</v>
      </c>
      <c r="D385" s="58" t="s">
        <v>712</v>
      </c>
      <c r="E385" s="59" t="s">
        <v>713</v>
      </c>
      <c r="F385" s="58" t="s">
        <v>714</v>
      </c>
      <c r="G385" s="58" t="s">
        <v>147</v>
      </c>
      <c r="H385" s="58" t="s">
        <v>11</v>
      </c>
      <c r="I385" s="58" t="s">
        <v>133</v>
      </c>
      <c r="J385" s="60">
        <v>857</v>
      </c>
      <c r="K385" s="60">
        <f t="shared" si="50"/>
        <v>672.15686274509801</v>
      </c>
      <c r="L385" s="61">
        <f>prodnorm32</f>
        <v>0</v>
      </c>
      <c r="M385" s="58" t="s">
        <v>41</v>
      </c>
      <c r="N385" s="62">
        <f>uurtarief32</f>
        <v>0</v>
      </c>
      <c r="O385" s="60" t="e">
        <f t="shared" si="51"/>
        <v>#DIV/0!</v>
      </c>
      <c r="P385" s="62" t="e">
        <f t="shared" si="52"/>
        <v>#DIV/0!</v>
      </c>
      <c r="Q385" s="60" t="e">
        <f t="shared" si="53"/>
        <v>#DIV/0!</v>
      </c>
      <c r="R385" s="63" t="e">
        <f t="shared" si="54"/>
        <v>#DIV/0!</v>
      </c>
    </row>
    <row r="386" spans="1:18" x14ac:dyDescent="0.2">
      <c r="A386" s="57" t="s">
        <v>687</v>
      </c>
      <c r="B386" s="58" t="s">
        <v>688</v>
      </c>
      <c r="C386" s="58" t="s">
        <v>593</v>
      </c>
      <c r="D386" s="58" t="s">
        <v>715</v>
      </c>
      <c r="E386" s="59" t="s">
        <v>716</v>
      </c>
      <c r="F386" s="58" t="s">
        <v>714</v>
      </c>
      <c r="G386" s="58" t="s">
        <v>147</v>
      </c>
      <c r="H386" s="58" t="s">
        <v>21</v>
      </c>
      <c r="I386" s="58" t="s">
        <v>133</v>
      </c>
      <c r="J386" s="60">
        <v>102</v>
      </c>
      <c r="K386" s="60">
        <f t="shared" si="50"/>
        <v>4</v>
      </c>
      <c r="L386" s="61">
        <f>prodnorm31</f>
        <v>0</v>
      </c>
      <c r="M386" s="58" t="s">
        <v>41</v>
      </c>
      <c r="N386" s="62">
        <f>uurtarief31</f>
        <v>0</v>
      </c>
      <c r="O386" s="60" t="e">
        <f t="shared" si="51"/>
        <v>#DIV/0!</v>
      </c>
      <c r="P386" s="62" t="e">
        <f t="shared" si="52"/>
        <v>#DIV/0!</v>
      </c>
      <c r="Q386" s="60" t="e">
        <f t="shared" si="53"/>
        <v>#DIV/0!</v>
      </c>
      <c r="R386" s="63" t="e">
        <f t="shared" si="54"/>
        <v>#DIV/0!</v>
      </c>
    </row>
    <row r="387" spans="1:18" x14ac:dyDescent="0.2">
      <c r="A387" s="57" t="s">
        <v>687</v>
      </c>
      <c r="B387" s="58" t="s">
        <v>688</v>
      </c>
      <c r="C387" s="58" t="s">
        <v>593</v>
      </c>
      <c r="D387" s="58" t="s">
        <v>717</v>
      </c>
      <c r="E387" s="59" t="s">
        <v>718</v>
      </c>
      <c r="F387" s="58" t="s">
        <v>489</v>
      </c>
      <c r="G387" s="58" t="s">
        <v>151</v>
      </c>
      <c r="H387" s="58" t="s">
        <v>11</v>
      </c>
      <c r="I387" s="58" t="s">
        <v>133</v>
      </c>
      <c r="J387" s="60">
        <v>31</v>
      </c>
      <c r="K387" s="60">
        <f t="shared" si="50"/>
        <v>24.313725490196077</v>
      </c>
      <c r="L387" s="61">
        <f t="shared" ref="L387:L392" si="55">prodnorm35</f>
        <v>0</v>
      </c>
      <c r="M387" s="58" t="s">
        <v>41</v>
      </c>
      <c r="N387" s="62">
        <f t="shared" ref="N387:N392" si="56">uurtarief35</f>
        <v>0</v>
      </c>
      <c r="O387" s="60" t="e">
        <f t="shared" si="51"/>
        <v>#DIV/0!</v>
      </c>
      <c r="P387" s="62" t="e">
        <f t="shared" si="52"/>
        <v>#DIV/0!</v>
      </c>
      <c r="Q387" s="60" t="e">
        <f t="shared" si="53"/>
        <v>#DIV/0!</v>
      </c>
      <c r="R387" s="63" t="e">
        <f t="shared" si="54"/>
        <v>#DIV/0!</v>
      </c>
    </row>
    <row r="388" spans="1:18" x14ac:dyDescent="0.2">
      <c r="A388" s="57" t="s">
        <v>687</v>
      </c>
      <c r="B388" s="58" t="s">
        <v>688</v>
      </c>
      <c r="C388" s="58" t="s">
        <v>593</v>
      </c>
      <c r="D388" s="58" t="s">
        <v>719</v>
      </c>
      <c r="E388" s="59" t="s">
        <v>718</v>
      </c>
      <c r="F388" s="58" t="s">
        <v>489</v>
      </c>
      <c r="G388" s="58" t="s">
        <v>151</v>
      </c>
      <c r="H388" s="58" t="s">
        <v>11</v>
      </c>
      <c r="I388" s="58" t="s">
        <v>133</v>
      </c>
      <c r="J388" s="60">
        <v>31</v>
      </c>
      <c r="K388" s="60">
        <f t="shared" si="50"/>
        <v>24.313725490196077</v>
      </c>
      <c r="L388" s="61">
        <f t="shared" si="55"/>
        <v>0</v>
      </c>
      <c r="M388" s="58" t="s">
        <v>41</v>
      </c>
      <c r="N388" s="62">
        <f t="shared" si="56"/>
        <v>0</v>
      </c>
      <c r="O388" s="60" t="e">
        <f t="shared" si="51"/>
        <v>#DIV/0!</v>
      </c>
      <c r="P388" s="62" t="e">
        <f t="shared" si="52"/>
        <v>#DIV/0!</v>
      </c>
      <c r="Q388" s="60" t="e">
        <f t="shared" si="53"/>
        <v>#DIV/0!</v>
      </c>
      <c r="R388" s="63" t="e">
        <f t="shared" si="54"/>
        <v>#DIV/0!</v>
      </c>
    </row>
    <row r="389" spans="1:18" x14ac:dyDescent="0.2">
      <c r="A389" s="57" t="s">
        <v>687</v>
      </c>
      <c r="B389" s="58" t="s">
        <v>688</v>
      </c>
      <c r="C389" s="58" t="s">
        <v>593</v>
      </c>
      <c r="D389" s="58" t="s">
        <v>720</v>
      </c>
      <c r="E389" s="59" t="s">
        <v>721</v>
      </c>
      <c r="F389" s="58" t="s">
        <v>489</v>
      </c>
      <c r="G389" s="58" t="s">
        <v>151</v>
      </c>
      <c r="H389" s="58" t="s">
        <v>11</v>
      </c>
      <c r="I389" s="58" t="s">
        <v>133</v>
      </c>
      <c r="J389" s="60">
        <v>31</v>
      </c>
      <c r="K389" s="60">
        <f t="shared" si="50"/>
        <v>24.313725490196077</v>
      </c>
      <c r="L389" s="61">
        <f t="shared" si="55"/>
        <v>0</v>
      </c>
      <c r="M389" s="58" t="s">
        <v>41</v>
      </c>
      <c r="N389" s="62">
        <f t="shared" si="56"/>
        <v>0</v>
      </c>
      <c r="O389" s="60" t="e">
        <f t="shared" si="51"/>
        <v>#DIV/0!</v>
      </c>
      <c r="P389" s="62" t="e">
        <f t="shared" si="52"/>
        <v>#DIV/0!</v>
      </c>
      <c r="Q389" s="60" t="e">
        <f t="shared" si="53"/>
        <v>#DIV/0!</v>
      </c>
      <c r="R389" s="63" t="e">
        <f t="shared" si="54"/>
        <v>#DIV/0!</v>
      </c>
    </row>
    <row r="390" spans="1:18" x14ac:dyDescent="0.2">
      <c r="A390" s="57" t="s">
        <v>687</v>
      </c>
      <c r="B390" s="58" t="s">
        <v>688</v>
      </c>
      <c r="C390" s="58" t="s">
        <v>593</v>
      </c>
      <c r="D390" s="58" t="s">
        <v>722</v>
      </c>
      <c r="E390" s="59" t="s">
        <v>721</v>
      </c>
      <c r="F390" s="58" t="s">
        <v>489</v>
      </c>
      <c r="G390" s="58" t="s">
        <v>151</v>
      </c>
      <c r="H390" s="58" t="s">
        <v>11</v>
      </c>
      <c r="I390" s="58" t="s">
        <v>133</v>
      </c>
      <c r="J390" s="60">
        <v>31</v>
      </c>
      <c r="K390" s="60">
        <f t="shared" si="50"/>
        <v>24.313725490196077</v>
      </c>
      <c r="L390" s="61">
        <f t="shared" si="55"/>
        <v>0</v>
      </c>
      <c r="M390" s="58" t="s">
        <v>41</v>
      </c>
      <c r="N390" s="62">
        <f t="shared" si="56"/>
        <v>0</v>
      </c>
      <c r="O390" s="60" t="e">
        <f t="shared" si="51"/>
        <v>#DIV/0!</v>
      </c>
      <c r="P390" s="62" t="e">
        <f t="shared" si="52"/>
        <v>#DIV/0!</v>
      </c>
      <c r="Q390" s="60" t="e">
        <f t="shared" si="53"/>
        <v>#DIV/0!</v>
      </c>
      <c r="R390" s="63" t="e">
        <f t="shared" si="54"/>
        <v>#DIV/0!</v>
      </c>
    </row>
    <row r="391" spans="1:18" x14ac:dyDescent="0.2">
      <c r="A391" s="57" t="s">
        <v>687</v>
      </c>
      <c r="B391" s="58" t="s">
        <v>688</v>
      </c>
      <c r="C391" s="58" t="s">
        <v>593</v>
      </c>
      <c r="D391" s="58" t="s">
        <v>723</v>
      </c>
      <c r="E391" s="59" t="s">
        <v>724</v>
      </c>
      <c r="F391" s="58" t="s">
        <v>489</v>
      </c>
      <c r="G391" s="58" t="s">
        <v>151</v>
      </c>
      <c r="H391" s="58" t="s">
        <v>11</v>
      </c>
      <c r="I391" s="58" t="s">
        <v>133</v>
      </c>
      <c r="J391" s="60">
        <v>31</v>
      </c>
      <c r="K391" s="60">
        <f t="shared" si="50"/>
        <v>24.313725490196077</v>
      </c>
      <c r="L391" s="61">
        <f t="shared" si="55"/>
        <v>0</v>
      </c>
      <c r="M391" s="58" t="s">
        <v>41</v>
      </c>
      <c r="N391" s="62">
        <f t="shared" si="56"/>
        <v>0</v>
      </c>
      <c r="O391" s="60" t="e">
        <f t="shared" si="51"/>
        <v>#DIV/0!</v>
      </c>
      <c r="P391" s="62" t="e">
        <f t="shared" si="52"/>
        <v>#DIV/0!</v>
      </c>
      <c r="Q391" s="60" t="e">
        <f t="shared" si="53"/>
        <v>#DIV/0!</v>
      </c>
      <c r="R391" s="63" t="e">
        <f t="shared" si="54"/>
        <v>#DIV/0!</v>
      </c>
    </row>
    <row r="392" spans="1:18" x14ac:dyDescent="0.2">
      <c r="A392" s="57" t="s">
        <v>687</v>
      </c>
      <c r="B392" s="58" t="s">
        <v>688</v>
      </c>
      <c r="C392" s="58" t="s">
        <v>593</v>
      </c>
      <c r="D392" s="58" t="s">
        <v>725</v>
      </c>
      <c r="E392" s="59" t="s">
        <v>724</v>
      </c>
      <c r="F392" s="58" t="s">
        <v>489</v>
      </c>
      <c r="G392" s="58" t="s">
        <v>151</v>
      </c>
      <c r="H392" s="58" t="s">
        <v>11</v>
      </c>
      <c r="I392" s="58" t="s">
        <v>133</v>
      </c>
      <c r="J392" s="60">
        <v>31</v>
      </c>
      <c r="K392" s="60">
        <f t="shared" si="50"/>
        <v>24.313725490196077</v>
      </c>
      <c r="L392" s="61">
        <f t="shared" si="55"/>
        <v>0</v>
      </c>
      <c r="M392" s="58" t="s">
        <v>41</v>
      </c>
      <c r="N392" s="62">
        <f t="shared" si="56"/>
        <v>0</v>
      </c>
      <c r="O392" s="60" t="e">
        <f t="shared" si="51"/>
        <v>#DIV/0!</v>
      </c>
      <c r="P392" s="62" t="e">
        <f t="shared" si="52"/>
        <v>#DIV/0!</v>
      </c>
      <c r="Q392" s="60" t="e">
        <f t="shared" si="53"/>
        <v>#DIV/0!</v>
      </c>
      <c r="R392" s="63" t="e">
        <f t="shared" si="54"/>
        <v>#DIV/0!</v>
      </c>
    </row>
    <row r="393" spans="1:18" x14ac:dyDescent="0.2">
      <c r="A393" s="57" t="s">
        <v>687</v>
      </c>
      <c r="B393" s="58" t="s">
        <v>688</v>
      </c>
      <c r="C393" s="58" t="s">
        <v>593</v>
      </c>
      <c r="D393" s="58" t="s">
        <v>726</v>
      </c>
      <c r="E393" s="59" t="s">
        <v>727</v>
      </c>
      <c r="F393" s="58" t="s">
        <v>489</v>
      </c>
      <c r="G393" s="58" t="s">
        <v>173</v>
      </c>
      <c r="H393" s="58" t="s">
        <v>12</v>
      </c>
      <c r="I393" s="58" t="s">
        <v>174</v>
      </c>
      <c r="J393" s="60">
        <v>11</v>
      </c>
      <c r="K393" s="60">
        <f t="shared" si="50"/>
        <v>6.9019607843137258</v>
      </c>
      <c r="L393" s="61">
        <f>prodnorm21</f>
        <v>0</v>
      </c>
      <c r="M393" s="58" t="s">
        <v>41</v>
      </c>
      <c r="N393" s="62">
        <f>uurtarief21</f>
        <v>0</v>
      </c>
      <c r="O393" s="60" t="e">
        <f t="shared" si="51"/>
        <v>#DIV/0!</v>
      </c>
      <c r="P393" s="62" t="e">
        <f t="shared" si="52"/>
        <v>#DIV/0!</v>
      </c>
      <c r="Q393" s="60" t="e">
        <f t="shared" si="53"/>
        <v>#DIV/0!</v>
      </c>
      <c r="R393" s="63" t="e">
        <f t="shared" si="54"/>
        <v>#DIV/0!</v>
      </c>
    </row>
    <row r="394" spans="1:18" x14ac:dyDescent="0.2">
      <c r="A394" s="57" t="s">
        <v>687</v>
      </c>
      <c r="B394" s="58" t="s">
        <v>688</v>
      </c>
      <c r="C394" s="58" t="s">
        <v>593</v>
      </c>
      <c r="D394" s="58" t="s">
        <v>726</v>
      </c>
      <c r="E394" s="59" t="s">
        <v>727</v>
      </c>
      <c r="F394" s="58" t="s">
        <v>489</v>
      </c>
      <c r="G394" s="58" t="s">
        <v>135</v>
      </c>
      <c r="H394" s="58" t="s">
        <v>18</v>
      </c>
      <c r="I394" s="58" t="s">
        <v>133</v>
      </c>
      <c r="J394" s="60">
        <v>11</v>
      </c>
      <c r="K394" s="60">
        <f t="shared" si="50"/>
        <v>1.7254901960784315</v>
      </c>
      <c r="L394" s="61">
        <f>prodnorm24</f>
        <v>0</v>
      </c>
      <c r="M394" s="58" t="s">
        <v>41</v>
      </c>
      <c r="N394" s="62">
        <f>uurtarief24</f>
        <v>0</v>
      </c>
      <c r="O394" s="60" t="e">
        <f t="shared" si="51"/>
        <v>#DIV/0!</v>
      </c>
      <c r="P394" s="62" t="e">
        <f t="shared" si="52"/>
        <v>#DIV/0!</v>
      </c>
      <c r="Q394" s="60" t="e">
        <f t="shared" si="53"/>
        <v>#DIV/0!</v>
      </c>
      <c r="R394" s="63" t="e">
        <f t="shared" si="54"/>
        <v>#DIV/0!</v>
      </c>
    </row>
    <row r="395" spans="1:18" x14ac:dyDescent="0.2">
      <c r="A395" s="57" t="s">
        <v>687</v>
      </c>
      <c r="B395" s="58" t="s">
        <v>688</v>
      </c>
      <c r="C395" s="58" t="s">
        <v>593</v>
      </c>
      <c r="D395" s="58" t="s">
        <v>728</v>
      </c>
      <c r="E395" s="59" t="s">
        <v>727</v>
      </c>
      <c r="F395" s="58" t="s">
        <v>489</v>
      </c>
      <c r="G395" s="58" t="s">
        <v>173</v>
      </c>
      <c r="H395" s="58" t="s">
        <v>12</v>
      </c>
      <c r="I395" s="58" t="s">
        <v>174</v>
      </c>
      <c r="J395" s="60">
        <v>11</v>
      </c>
      <c r="K395" s="60">
        <f t="shared" si="50"/>
        <v>6.9019607843137258</v>
      </c>
      <c r="L395" s="61">
        <f>prodnorm21</f>
        <v>0</v>
      </c>
      <c r="M395" s="58" t="s">
        <v>41</v>
      </c>
      <c r="N395" s="62">
        <f>uurtarief21</f>
        <v>0</v>
      </c>
      <c r="O395" s="60" t="e">
        <f t="shared" si="51"/>
        <v>#DIV/0!</v>
      </c>
      <c r="P395" s="62" t="e">
        <f t="shared" si="52"/>
        <v>#DIV/0!</v>
      </c>
      <c r="Q395" s="60" t="e">
        <f t="shared" si="53"/>
        <v>#DIV/0!</v>
      </c>
      <c r="R395" s="63" t="e">
        <f t="shared" si="54"/>
        <v>#DIV/0!</v>
      </c>
    </row>
    <row r="396" spans="1:18" x14ac:dyDescent="0.2">
      <c r="A396" s="57" t="s">
        <v>687</v>
      </c>
      <c r="B396" s="58" t="s">
        <v>688</v>
      </c>
      <c r="C396" s="58" t="s">
        <v>593</v>
      </c>
      <c r="D396" s="58" t="s">
        <v>728</v>
      </c>
      <c r="E396" s="59" t="s">
        <v>727</v>
      </c>
      <c r="F396" s="58" t="s">
        <v>489</v>
      </c>
      <c r="G396" s="58" t="s">
        <v>135</v>
      </c>
      <c r="H396" s="58" t="s">
        <v>18</v>
      </c>
      <c r="I396" s="58" t="s">
        <v>133</v>
      </c>
      <c r="J396" s="60">
        <v>11</v>
      </c>
      <c r="K396" s="60">
        <f t="shared" si="50"/>
        <v>1.7254901960784315</v>
      </c>
      <c r="L396" s="61">
        <f>prodnorm24</f>
        <v>0</v>
      </c>
      <c r="M396" s="58" t="s">
        <v>41</v>
      </c>
      <c r="N396" s="62">
        <f>uurtarief24</f>
        <v>0</v>
      </c>
      <c r="O396" s="60" t="e">
        <f t="shared" si="51"/>
        <v>#DIV/0!</v>
      </c>
      <c r="P396" s="62" t="e">
        <f t="shared" si="52"/>
        <v>#DIV/0!</v>
      </c>
      <c r="Q396" s="60" t="e">
        <f t="shared" si="53"/>
        <v>#DIV/0!</v>
      </c>
      <c r="R396" s="63" t="e">
        <f t="shared" si="54"/>
        <v>#DIV/0!</v>
      </c>
    </row>
    <row r="397" spans="1:18" x14ac:dyDescent="0.2">
      <c r="A397" s="57" t="s">
        <v>687</v>
      </c>
      <c r="B397" s="58" t="s">
        <v>688</v>
      </c>
      <c r="C397" s="58" t="s">
        <v>593</v>
      </c>
      <c r="D397" s="58" t="s">
        <v>729</v>
      </c>
      <c r="E397" s="59" t="s">
        <v>730</v>
      </c>
      <c r="F397" s="58" t="s">
        <v>489</v>
      </c>
      <c r="G397" s="58" t="s">
        <v>151</v>
      </c>
      <c r="H397" s="58" t="s">
        <v>11</v>
      </c>
      <c r="I397" s="58" t="s">
        <v>133</v>
      </c>
      <c r="J397" s="60">
        <v>6</v>
      </c>
      <c r="K397" s="60">
        <f t="shared" si="50"/>
        <v>4.7058823529411766</v>
      </c>
      <c r="L397" s="61">
        <f>prodnorm35</f>
        <v>0</v>
      </c>
      <c r="M397" s="58" t="s">
        <v>41</v>
      </c>
      <c r="N397" s="62">
        <f>uurtarief35</f>
        <v>0</v>
      </c>
      <c r="O397" s="60" t="e">
        <f t="shared" si="51"/>
        <v>#DIV/0!</v>
      </c>
      <c r="P397" s="62" t="e">
        <f t="shared" si="52"/>
        <v>#DIV/0!</v>
      </c>
      <c r="Q397" s="60" t="e">
        <f t="shared" si="53"/>
        <v>#DIV/0!</v>
      </c>
      <c r="R397" s="63" t="e">
        <f t="shared" si="54"/>
        <v>#DIV/0!</v>
      </c>
    </row>
    <row r="398" spans="1:18" x14ac:dyDescent="0.2">
      <c r="A398" s="57" t="s">
        <v>687</v>
      </c>
      <c r="B398" s="58" t="s">
        <v>688</v>
      </c>
      <c r="C398" s="58" t="s">
        <v>593</v>
      </c>
      <c r="D398" s="58" t="s">
        <v>731</v>
      </c>
      <c r="E398" s="59" t="s">
        <v>730</v>
      </c>
      <c r="F398" s="58" t="s">
        <v>489</v>
      </c>
      <c r="G398" s="58" t="s">
        <v>151</v>
      </c>
      <c r="H398" s="58" t="s">
        <v>11</v>
      </c>
      <c r="I398" s="58" t="s">
        <v>133</v>
      </c>
      <c r="J398" s="60">
        <v>6</v>
      </c>
      <c r="K398" s="60">
        <f t="shared" si="50"/>
        <v>4.7058823529411766</v>
      </c>
      <c r="L398" s="61">
        <f>prodnorm35</f>
        <v>0</v>
      </c>
      <c r="M398" s="58" t="s">
        <v>41</v>
      </c>
      <c r="N398" s="62">
        <f>uurtarief35</f>
        <v>0</v>
      </c>
      <c r="O398" s="60" t="e">
        <f t="shared" si="51"/>
        <v>#DIV/0!</v>
      </c>
      <c r="P398" s="62" t="e">
        <f t="shared" si="52"/>
        <v>#DIV/0!</v>
      </c>
      <c r="Q398" s="60" t="e">
        <f t="shared" si="53"/>
        <v>#DIV/0!</v>
      </c>
      <c r="R398" s="63" t="e">
        <f t="shared" si="54"/>
        <v>#DIV/0!</v>
      </c>
    </row>
    <row r="399" spans="1:18" x14ac:dyDescent="0.2">
      <c r="A399" s="57" t="s">
        <v>687</v>
      </c>
      <c r="B399" s="58" t="s">
        <v>688</v>
      </c>
      <c r="C399" s="58" t="s">
        <v>593</v>
      </c>
      <c r="D399" s="58" t="s">
        <v>732</v>
      </c>
      <c r="E399" s="59" t="s">
        <v>733</v>
      </c>
      <c r="F399" s="58" t="s">
        <v>489</v>
      </c>
      <c r="G399" s="58" t="s">
        <v>147</v>
      </c>
      <c r="H399" s="58" t="s">
        <v>11</v>
      </c>
      <c r="I399" s="58" t="s">
        <v>133</v>
      </c>
      <c r="J399" s="60">
        <v>108</v>
      </c>
      <c r="K399" s="60">
        <f t="shared" si="50"/>
        <v>84.705882352941174</v>
      </c>
      <c r="L399" s="61">
        <f>prodnorm32</f>
        <v>0</v>
      </c>
      <c r="M399" s="58" t="s">
        <v>41</v>
      </c>
      <c r="N399" s="62">
        <f>uurtarief32</f>
        <v>0</v>
      </c>
      <c r="O399" s="60" t="e">
        <f t="shared" si="51"/>
        <v>#DIV/0!</v>
      </c>
      <c r="P399" s="62" t="e">
        <f t="shared" si="52"/>
        <v>#DIV/0!</v>
      </c>
      <c r="Q399" s="60" t="e">
        <f t="shared" si="53"/>
        <v>#DIV/0!</v>
      </c>
      <c r="R399" s="63" t="e">
        <f t="shared" si="54"/>
        <v>#DIV/0!</v>
      </c>
    </row>
    <row r="400" spans="1:18" x14ac:dyDescent="0.2">
      <c r="A400" s="57" t="s">
        <v>687</v>
      </c>
      <c r="B400" s="58" t="s">
        <v>688</v>
      </c>
      <c r="C400" s="58" t="s">
        <v>593</v>
      </c>
      <c r="D400" s="58" t="s">
        <v>734</v>
      </c>
      <c r="E400" s="59" t="s">
        <v>735</v>
      </c>
      <c r="F400" s="58" t="s">
        <v>489</v>
      </c>
      <c r="G400" s="58" t="s">
        <v>171</v>
      </c>
      <c r="H400" s="58" t="s">
        <v>11</v>
      </c>
      <c r="I400" s="58" t="s">
        <v>133</v>
      </c>
      <c r="J400" s="60">
        <v>68</v>
      </c>
      <c r="K400" s="60">
        <f t="shared" si="50"/>
        <v>53.333333333333336</v>
      </c>
      <c r="L400" s="61">
        <f>prodnorm45</f>
        <v>0</v>
      </c>
      <c r="M400" s="58" t="s">
        <v>41</v>
      </c>
      <c r="N400" s="62">
        <f>uurtarief45</f>
        <v>0</v>
      </c>
      <c r="O400" s="60" t="e">
        <f t="shared" si="51"/>
        <v>#DIV/0!</v>
      </c>
      <c r="P400" s="62" t="e">
        <f t="shared" si="52"/>
        <v>#DIV/0!</v>
      </c>
      <c r="Q400" s="60" t="e">
        <f t="shared" si="53"/>
        <v>#DIV/0!</v>
      </c>
      <c r="R400" s="63" t="e">
        <f t="shared" si="54"/>
        <v>#DIV/0!</v>
      </c>
    </row>
    <row r="401" spans="1:18" x14ac:dyDescent="0.2">
      <c r="A401" s="57" t="s">
        <v>687</v>
      </c>
      <c r="B401" s="58" t="s">
        <v>688</v>
      </c>
      <c r="C401" s="58" t="s">
        <v>593</v>
      </c>
      <c r="D401" s="58" t="s">
        <v>736</v>
      </c>
      <c r="E401" s="59" t="s">
        <v>207</v>
      </c>
      <c r="F401" s="58" t="s">
        <v>489</v>
      </c>
      <c r="G401" s="58" t="s">
        <v>171</v>
      </c>
      <c r="H401" s="58" t="s">
        <v>11</v>
      </c>
      <c r="I401" s="58" t="s">
        <v>133</v>
      </c>
      <c r="J401" s="60">
        <v>117</v>
      </c>
      <c r="K401" s="60">
        <f t="shared" si="50"/>
        <v>91.764705882352942</v>
      </c>
      <c r="L401" s="61">
        <f>prodnorm45</f>
        <v>0</v>
      </c>
      <c r="M401" s="58" t="s">
        <v>41</v>
      </c>
      <c r="N401" s="62">
        <f>uurtarief45</f>
        <v>0</v>
      </c>
      <c r="O401" s="60" t="e">
        <f t="shared" si="51"/>
        <v>#DIV/0!</v>
      </c>
      <c r="P401" s="62" t="e">
        <f t="shared" si="52"/>
        <v>#DIV/0!</v>
      </c>
      <c r="Q401" s="60" t="e">
        <f t="shared" si="53"/>
        <v>#DIV/0!</v>
      </c>
      <c r="R401" s="63" t="e">
        <f t="shared" si="54"/>
        <v>#DIV/0!</v>
      </c>
    </row>
    <row r="402" spans="1:18" x14ac:dyDescent="0.2">
      <c r="A402" s="57" t="s">
        <v>687</v>
      </c>
      <c r="B402" s="58" t="s">
        <v>688</v>
      </c>
      <c r="C402" s="58" t="s">
        <v>593</v>
      </c>
      <c r="D402" s="58" t="s">
        <v>737</v>
      </c>
      <c r="E402" s="59" t="s">
        <v>207</v>
      </c>
      <c r="F402" s="58" t="s">
        <v>489</v>
      </c>
      <c r="G402" s="58" t="s">
        <v>171</v>
      </c>
      <c r="H402" s="58" t="s">
        <v>11</v>
      </c>
      <c r="I402" s="58" t="s">
        <v>133</v>
      </c>
      <c r="J402" s="60">
        <v>70</v>
      </c>
      <c r="K402" s="60">
        <f t="shared" si="50"/>
        <v>54.901960784313722</v>
      </c>
      <c r="L402" s="61">
        <f>prodnorm45</f>
        <v>0</v>
      </c>
      <c r="M402" s="58" t="s">
        <v>41</v>
      </c>
      <c r="N402" s="62">
        <f>uurtarief45</f>
        <v>0</v>
      </c>
      <c r="O402" s="60" t="e">
        <f t="shared" si="51"/>
        <v>#DIV/0!</v>
      </c>
      <c r="P402" s="62" t="e">
        <f t="shared" si="52"/>
        <v>#DIV/0!</v>
      </c>
      <c r="Q402" s="60" t="e">
        <f t="shared" si="53"/>
        <v>#DIV/0!</v>
      </c>
      <c r="R402" s="63" t="e">
        <f t="shared" si="54"/>
        <v>#DIV/0!</v>
      </c>
    </row>
    <row r="403" spans="1:18" x14ac:dyDescent="0.2">
      <c r="A403" s="57" t="s">
        <v>687</v>
      </c>
      <c r="B403" s="58" t="s">
        <v>688</v>
      </c>
      <c r="C403" s="58" t="s">
        <v>593</v>
      </c>
      <c r="D403" s="58" t="s">
        <v>738</v>
      </c>
      <c r="E403" s="59" t="s">
        <v>739</v>
      </c>
      <c r="F403" s="58" t="s">
        <v>592</v>
      </c>
      <c r="G403" s="58" t="s">
        <v>147</v>
      </c>
      <c r="H403" s="58" t="s">
        <v>21</v>
      </c>
      <c r="I403" s="58" t="s">
        <v>133</v>
      </c>
      <c r="J403" s="60">
        <v>13</v>
      </c>
      <c r="K403" s="60">
        <f t="shared" si="50"/>
        <v>0.50980392156862742</v>
      </c>
      <c r="L403" s="61">
        <f>prodnorm31</f>
        <v>0</v>
      </c>
      <c r="M403" s="58" t="s">
        <v>41</v>
      </c>
      <c r="N403" s="62">
        <f>uurtarief31</f>
        <v>0</v>
      </c>
      <c r="O403" s="60" t="e">
        <f t="shared" si="51"/>
        <v>#DIV/0!</v>
      </c>
      <c r="P403" s="62" t="e">
        <f t="shared" si="52"/>
        <v>#DIV/0!</v>
      </c>
      <c r="Q403" s="60" t="e">
        <f t="shared" si="53"/>
        <v>#DIV/0!</v>
      </c>
      <c r="R403" s="63" t="e">
        <f t="shared" si="54"/>
        <v>#DIV/0!</v>
      </c>
    </row>
    <row r="404" spans="1:18" x14ac:dyDescent="0.2">
      <c r="A404" s="57" t="s">
        <v>687</v>
      </c>
      <c r="B404" s="58" t="s">
        <v>688</v>
      </c>
      <c r="C404" s="58" t="s">
        <v>593</v>
      </c>
      <c r="D404" s="58" t="s">
        <v>740</v>
      </c>
      <c r="E404" s="59" t="s">
        <v>741</v>
      </c>
      <c r="F404" s="58" t="s">
        <v>592</v>
      </c>
      <c r="G404" s="58" t="s">
        <v>171</v>
      </c>
      <c r="H404" s="58" t="s">
        <v>11</v>
      </c>
      <c r="I404" s="58" t="s">
        <v>133</v>
      </c>
      <c r="J404" s="60">
        <v>34.5</v>
      </c>
      <c r="K404" s="60">
        <f t="shared" ref="K404:K435" si="57">J404*VLOOKUP(H404,dagsoorttabel1,2,FALSE)</f>
        <v>27.058823529411764</v>
      </c>
      <c r="L404" s="61">
        <f>prodnorm45</f>
        <v>0</v>
      </c>
      <c r="M404" s="58" t="s">
        <v>41</v>
      </c>
      <c r="N404" s="62">
        <f>uurtarief45</f>
        <v>0</v>
      </c>
      <c r="O404" s="60" t="e">
        <f t="shared" ref="O404:O435" si="58">IF(ISBLANK(L404),0,K404/ROUND(L404,4))</f>
        <v>#DIV/0!</v>
      </c>
      <c r="P404" s="62" t="e">
        <f t="shared" ref="P404:P435" si="59">ROUND(N404,2)*O404</f>
        <v>#DIV/0!</v>
      </c>
      <c r="Q404" s="60" t="e">
        <f t="shared" ref="Q404:Q435" si="60">O404*dagenperjaar1</f>
        <v>#DIV/0!</v>
      </c>
      <c r="R404" s="63" t="e">
        <f t="shared" ref="R404:R435" si="61">Q404*ROUND(N404,2)</f>
        <v>#DIV/0!</v>
      </c>
    </row>
    <row r="405" spans="1:18" x14ac:dyDescent="0.2">
      <c r="A405" s="57" t="s">
        <v>687</v>
      </c>
      <c r="B405" s="58" t="s">
        <v>688</v>
      </c>
      <c r="C405" s="58" t="s">
        <v>193</v>
      </c>
      <c r="D405" s="58" t="s">
        <v>742</v>
      </c>
      <c r="E405" s="59" t="s">
        <v>305</v>
      </c>
      <c r="F405" s="58" t="s">
        <v>260</v>
      </c>
      <c r="G405" s="58" t="s">
        <v>135</v>
      </c>
      <c r="H405" s="58" t="s">
        <v>11</v>
      </c>
      <c r="I405" s="58" t="s">
        <v>133</v>
      </c>
      <c r="J405" s="60">
        <v>134</v>
      </c>
      <c r="K405" s="60">
        <f t="shared" si="57"/>
        <v>105.09803921568627</v>
      </c>
      <c r="L405" s="61">
        <f>prodnorm23</f>
        <v>0</v>
      </c>
      <c r="M405" s="58" t="s">
        <v>41</v>
      </c>
      <c r="N405" s="62">
        <f>uurtarief23</f>
        <v>0</v>
      </c>
      <c r="O405" s="60" t="e">
        <f t="shared" si="58"/>
        <v>#DIV/0!</v>
      </c>
      <c r="P405" s="62" t="e">
        <f t="shared" si="59"/>
        <v>#DIV/0!</v>
      </c>
      <c r="Q405" s="60" t="e">
        <f t="shared" si="60"/>
        <v>#DIV/0!</v>
      </c>
      <c r="R405" s="63" t="e">
        <f t="shared" si="61"/>
        <v>#DIV/0!</v>
      </c>
    </row>
    <row r="406" spans="1:18" x14ac:dyDescent="0.2">
      <c r="A406" s="57" t="s">
        <v>687</v>
      </c>
      <c r="B406" s="58" t="s">
        <v>688</v>
      </c>
      <c r="C406" s="58" t="s">
        <v>193</v>
      </c>
      <c r="D406" s="58" t="s">
        <v>743</v>
      </c>
      <c r="E406" s="59" t="s">
        <v>488</v>
      </c>
      <c r="F406" s="58" t="s">
        <v>497</v>
      </c>
      <c r="G406" s="58" t="s">
        <v>173</v>
      </c>
      <c r="H406" s="58" t="s">
        <v>12</v>
      </c>
      <c r="I406" s="58" t="s">
        <v>174</v>
      </c>
      <c r="J406" s="60">
        <v>24</v>
      </c>
      <c r="K406" s="60">
        <f t="shared" si="57"/>
        <v>15.058823529411764</v>
      </c>
      <c r="L406" s="61">
        <f>prodnorm21</f>
        <v>0</v>
      </c>
      <c r="M406" s="58" t="s">
        <v>41</v>
      </c>
      <c r="N406" s="62">
        <f>uurtarief21</f>
        <v>0</v>
      </c>
      <c r="O406" s="60" t="e">
        <f t="shared" si="58"/>
        <v>#DIV/0!</v>
      </c>
      <c r="P406" s="62" t="e">
        <f t="shared" si="59"/>
        <v>#DIV/0!</v>
      </c>
      <c r="Q406" s="60" t="e">
        <f t="shared" si="60"/>
        <v>#DIV/0!</v>
      </c>
      <c r="R406" s="63" t="e">
        <f t="shared" si="61"/>
        <v>#DIV/0!</v>
      </c>
    </row>
    <row r="407" spans="1:18" x14ac:dyDescent="0.2">
      <c r="A407" s="57" t="s">
        <v>687</v>
      </c>
      <c r="B407" s="58" t="s">
        <v>688</v>
      </c>
      <c r="C407" s="58" t="s">
        <v>193</v>
      </c>
      <c r="D407" s="58" t="s">
        <v>743</v>
      </c>
      <c r="E407" s="59" t="s">
        <v>488</v>
      </c>
      <c r="F407" s="58" t="s">
        <v>497</v>
      </c>
      <c r="G407" s="58" t="s">
        <v>137</v>
      </c>
      <c r="H407" s="58" t="s">
        <v>18</v>
      </c>
      <c r="I407" s="58" t="s">
        <v>133</v>
      </c>
      <c r="J407" s="60">
        <v>24</v>
      </c>
      <c r="K407" s="60">
        <f t="shared" si="57"/>
        <v>3.7647058823529411</v>
      </c>
      <c r="L407" s="61">
        <f>prodnorm26</f>
        <v>0</v>
      </c>
      <c r="M407" s="58" t="s">
        <v>41</v>
      </c>
      <c r="N407" s="62">
        <f>uurtarief26</f>
        <v>0</v>
      </c>
      <c r="O407" s="60" t="e">
        <f t="shared" si="58"/>
        <v>#DIV/0!</v>
      </c>
      <c r="P407" s="62" t="e">
        <f t="shared" si="59"/>
        <v>#DIV/0!</v>
      </c>
      <c r="Q407" s="60" t="e">
        <f t="shared" si="60"/>
        <v>#DIV/0!</v>
      </c>
      <c r="R407" s="63" t="e">
        <f t="shared" si="61"/>
        <v>#DIV/0!</v>
      </c>
    </row>
    <row r="408" spans="1:18" x14ac:dyDescent="0.2">
      <c r="A408" s="57" t="s">
        <v>687</v>
      </c>
      <c r="B408" s="58" t="s">
        <v>688</v>
      </c>
      <c r="C408" s="58" t="s">
        <v>193</v>
      </c>
      <c r="D408" s="58" t="s">
        <v>744</v>
      </c>
      <c r="E408" s="59" t="s">
        <v>488</v>
      </c>
      <c r="F408" s="58" t="s">
        <v>497</v>
      </c>
      <c r="G408" s="58" t="s">
        <v>173</v>
      </c>
      <c r="H408" s="58" t="s">
        <v>12</v>
      </c>
      <c r="I408" s="58" t="s">
        <v>174</v>
      </c>
      <c r="J408" s="60">
        <v>35</v>
      </c>
      <c r="K408" s="60">
        <f t="shared" si="57"/>
        <v>21.96078431372549</v>
      </c>
      <c r="L408" s="61">
        <f>prodnorm21</f>
        <v>0</v>
      </c>
      <c r="M408" s="58" t="s">
        <v>41</v>
      </c>
      <c r="N408" s="62">
        <f>uurtarief21</f>
        <v>0</v>
      </c>
      <c r="O408" s="60" t="e">
        <f t="shared" si="58"/>
        <v>#DIV/0!</v>
      </c>
      <c r="P408" s="62" t="e">
        <f t="shared" si="59"/>
        <v>#DIV/0!</v>
      </c>
      <c r="Q408" s="60" t="e">
        <f t="shared" si="60"/>
        <v>#DIV/0!</v>
      </c>
      <c r="R408" s="63" t="e">
        <f t="shared" si="61"/>
        <v>#DIV/0!</v>
      </c>
    </row>
    <row r="409" spans="1:18" x14ac:dyDescent="0.2">
      <c r="A409" s="57" t="s">
        <v>687</v>
      </c>
      <c r="B409" s="58" t="s">
        <v>688</v>
      </c>
      <c r="C409" s="58" t="s">
        <v>193</v>
      </c>
      <c r="D409" s="58" t="s">
        <v>744</v>
      </c>
      <c r="E409" s="59" t="s">
        <v>488</v>
      </c>
      <c r="F409" s="58" t="s">
        <v>497</v>
      </c>
      <c r="G409" s="58" t="s">
        <v>137</v>
      </c>
      <c r="H409" s="58" t="s">
        <v>18</v>
      </c>
      <c r="I409" s="58" t="s">
        <v>133</v>
      </c>
      <c r="J409" s="60">
        <v>35</v>
      </c>
      <c r="K409" s="60">
        <f t="shared" si="57"/>
        <v>5.4901960784313726</v>
      </c>
      <c r="L409" s="61">
        <f>prodnorm26</f>
        <v>0</v>
      </c>
      <c r="M409" s="58" t="s">
        <v>41</v>
      </c>
      <c r="N409" s="62">
        <f>uurtarief26</f>
        <v>0</v>
      </c>
      <c r="O409" s="60" t="e">
        <f t="shared" si="58"/>
        <v>#DIV/0!</v>
      </c>
      <c r="P409" s="62" t="e">
        <f t="shared" si="59"/>
        <v>#DIV/0!</v>
      </c>
      <c r="Q409" s="60" t="e">
        <f t="shared" si="60"/>
        <v>#DIV/0!</v>
      </c>
      <c r="R409" s="63" t="e">
        <f t="shared" si="61"/>
        <v>#DIV/0!</v>
      </c>
    </row>
    <row r="410" spans="1:18" x14ac:dyDescent="0.2">
      <c r="A410" s="57" t="s">
        <v>687</v>
      </c>
      <c r="B410" s="58" t="s">
        <v>688</v>
      </c>
      <c r="C410" s="58" t="s">
        <v>193</v>
      </c>
      <c r="D410" s="58" t="s">
        <v>745</v>
      </c>
      <c r="E410" s="59" t="s">
        <v>488</v>
      </c>
      <c r="F410" s="58" t="s">
        <v>497</v>
      </c>
      <c r="G410" s="58" t="s">
        <v>173</v>
      </c>
      <c r="H410" s="58" t="s">
        <v>12</v>
      </c>
      <c r="I410" s="58" t="s">
        <v>174</v>
      </c>
      <c r="J410" s="60">
        <v>21</v>
      </c>
      <c r="K410" s="60">
        <f t="shared" si="57"/>
        <v>13.176470588235293</v>
      </c>
      <c r="L410" s="61">
        <f>prodnorm21</f>
        <v>0</v>
      </c>
      <c r="M410" s="58" t="s">
        <v>41</v>
      </c>
      <c r="N410" s="62">
        <f>uurtarief21</f>
        <v>0</v>
      </c>
      <c r="O410" s="60" t="e">
        <f t="shared" si="58"/>
        <v>#DIV/0!</v>
      </c>
      <c r="P410" s="62" t="e">
        <f t="shared" si="59"/>
        <v>#DIV/0!</v>
      </c>
      <c r="Q410" s="60" t="e">
        <f t="shared" si="60"/>
        <v>#DIV/0!</v>
      </c>
      <c r="R410" s="63" t="e">
        <f t="shared" si="61"/>
        <v>#DIV/0!</v>
      </c>
    </row>
    <row r="411" spans="1:18" x14ac:dyDescent="0.2">
      <c r="A411" s="57" t="s">
        <v>687</v>
      </c>
      <c r="B411" s="58" t="s">
        <v>688</v>
      </c>
      <c r="C411" s="58" t="s">
        <v>193</v>
      </c>
      <c r="D411" s="58" t="s">
        <v>745</v>
      </c>
      <c r="E411" s="59" t="s">
        <v>488</v>
      </c>
      <c r="F411" s="58" t="s">
        <v>497</v>
      </c>
      <c r="G411" s="58" t="s">
        <v>137</v>
      </c>
      <c r="H411" s="58" t="s">
        <v>18</v>
      </c>
      <c r="I411" s="58" t="s">
        <v>133</v>
      </c>
      <c r="J411" s="60">
        <v>21</v>
      </c>
      <c r="K411" s="60">
        <f t="shared" si="57"/>
        <v>3.2941176470588234</v>
      </c>
      <c r="L411" s="61">
        <f>prodnorm26</f>
        <v>0</v>
      </c>
      <c r="M411" s="58" t="s">
        <v>41</v>
      </c>
      <c r="N411" s="62">
        <f>uurtarief26</f>
        <v>0</v>
      </c>
      <c r="O411" s="60" t="e">
        <f t="shared" si="58"/>
        <v>#DIV/0!</v>
      </c>
      <c r="P411" s="62" t="e">
        <f t="shared" si="59"/>
        <v>#DIV/0!</v>
      </c>
      <c r="Q411" s="60" t="e">
        <f t="shared" si="60"/>
        <v>#DIV/0!</v>
      </c>
      <c r="R411" s="63" t="e">
        <f t="shared" si="61"/>
        <v>#DIV/0!</v>
      </c>
    </row>
    <row r="412" spans="1:18" x14ac:dyDescent="0.2">
      <c r="A412" s="57" t="s">
        <v>687</v>
      </c>
      <c r="B412" s="58" t="s">
        <v>688</v>
      </c>
      <c r="C412" s="58" t="s">
        <v>193</v>
      </c>
      <c r="D412" s="58" t="s">
        <v>746</v>
      </c>
      <c r="E412" s="59" t="s">
        <v>488</v>
      </c>
      <c r="F412" s="58" t="s">
        <v>497</v>
      </c>
      <c r="G412" s="58" t="s">
        <v>173</v>
      </c>
      <c r="H412" s="58" t="s">
        <v>12</v>
      </c>
      <c r="I412" s="58" t="s">
        <v>174</v>
      </c>
      <c r="J412" s="60">
        <v>14</v>
      </c>
      <c r="K412" s="60">
        <f t="shared" si="57"/>
        <v>8.7843137254901968</v>
      </c>
      <c r="L412" s="61">
        <f>prodnorm21</f>
        <v>0</v>
      </c>
      <c r="M412" s="58" t="s">
        <v>41</v>
      </c>
      <c r="N412" s="62">
        <f>uurtarief21</f>
        <v>0</v>
      </c>
      <c r="O412" s="60" t="e">
        <f t="shared" si="58"/>
        <v>#DIV/0!</v>
      </c>
      <c r="P412" s="62" t="e">
        <f t="shared" si="59"/>
        <v>#DIV/0!</v>
      </c>
      <c r="Q412" s="60" t="e">
        <f t="shared" si="60"/>
        <v>#DIV/0!</v>
      </c>
      <c r="R412" s="63" t="e">
        <f t="shared" si="61"/>
        <v>#DIV/0!</v>
      </c>
    </row>
    <row r="413" spans="1:18" x14ac:dyDescent="0.2">
      <c r="A413" s="57" t="s">
        <v>687</v>
      </c>
      <c r="B413" s="58" t="s">
        <v>688</v>
      </c>
      <c r="C413" s="58" t="s">
        <v>193</v>
      </c>
      <c r="D413" s="58" t="s">
        <v>746</v>
      </c>
      <c r="E413" s="59" t="s">
        <v>488</v>
      </c>
      <c r="F413" s="58" t="s">
        <v>497</v>
      </c>
      <c r="G413" s="58" t="s">
        <v>137</v>
      </c>
      <c r="H413" s="58" t="s">
        <v>18</v>
      </c>
      <c r="I413" s="58" t="s">
        <v>133</v>
      </c>
      <c r="J413" s="60">
        <v>14</v>
      </c>
      <c r="K413" s="60">
        <f t="shared" si="57"/>
        <v>2.1960784313725492</v>
      </c>
      <c r="L413" s="61">
        <f>prodnorm26</f>
        <v>0</v>
      </c>
      <c r="M413" s="58" t="s">
        <v>41</v>
      </c>
      <c r="N413" s="62">
        <f>uurtarief26</f>
        <v>0</v>
      </c>
      <c r="O413" s="60" t="e">
        <f t="shared" si="58"/>
        <v>#DIV/0!</v>
      </c>
      <c r="P413" s="62" t="e">
        <f t="shared" si="59"/>
        <v>#DIV/0!</v>
      </c>
      <c r="Q413" s="60" t="e">
        <f t="shared" si="60"/>
        <v>#DIV/0!</v>
      </c>
      <c r="R413" s="63" t="e">
        <f t="shared" si="61"/>
        <v>#DIV/0!</v>
      </c>
    </row>
    <row r="414" spans="1:18" x14ac:dyDescent="0.2">
      <c r="A414" s="57" t="s">
        <v>687</v>
      </c>
      <c r="B414" s="58" t="s">
        <v>688</v>
      </c>
      <c r="C414" s="58" t="s">
        <v>193</v>
      </c>
      <c r="D414" s="58" t="s">
        <v>747</v>
      </c>
      <c r="E414" s="59" t="s">
        <v>488</v>
      </c>
      <c r="F414" s="58" t="s">
        <v>497</v>
      </c>
      <c r="G414" s="58" t="s">
        <v>173</v>
      </c>
      <c r="H414" s="58" t="s">
        <v>12</v>
      </c>
      <c r="I414" s="58" t="s">
        <v>174</v>
      </c>
      <c r="J414" s="60">
        <v>43</v>
      </c>
      <c r="K414" s="60">
        <f t="shared" si="57"/>
        <v>26.980392156862745</v>
      </c>
      <c r="L414" s="61">
        <f>prodnorm21</f>
        <v>0</v>
      </c>
      <c r="M414" s="58" t="s">
        <v>41</v>
      </c>
      <c r="N414" s="62">
        <f>uurtarief21</f>
        <v>0</v>
      </c>
      <c r="O414" s="60" t="e">
        <f t="shared" si="58"/>
        <v>#DIV/0!</v>
      </c>
      <c r="P414" s="62" t="e">
        <f t="shared" si="59"/>
        <v>#DIV/0!</v>
      </c>
      <c r="Q414" s="60" t="e">
        <f t="shared" si="60"/>
        <v>#DIV/0!</v>
      </c>
      <c r="R414" s="63" t="e">
        <f t="shared" si="61"/>
        <v>#DIV/0!</v>
      </c>
    </row>
    <row r="415" spans="1:18" x14ac:dyDescent="0.2">
      <c r="A415" s="57" t="s">
        <v>687</v>
      </c>
      <c r="B415" s="58" t="s">
        <v>688</v>
      </c>
      <c r="C415" s="58" t="s">
        <v>193</v>
      </c>
      <c r="D415" s="58" t="s">
        <v>747</v>
      </c>
      <c r="E415" s="59" t="s">
        <v>488</v>
      </c>
      <c r="F415" s="58" t="s">
        <v>497</v>
      </c>
      <c r="G415" s="58" t="s">
        <v>137</v>
      </c>
      <c r="H415" s="58" t="s">
        <v>18</v>
      </c>
      <c r="I415" s="58" t="s">
        <v>133</v>
      </c>
      <c r="J415" s="60">
        <v>43</v>
      </c>
      <c r="K415" s="60">
        <f t="shared" si="57"/>
        <v>6.7450980392156863</v>
      </c>
      <c r="L415" s="61">
        <f>prodnorm26</f>
        <v>0</v>
      </c>
      <c r="M415" s="58" t="s">
        <v>41</v>
      </c>
      <c r="N415" s="62">
        <f>uurtarief26</f>
        <v>0</v>
      </c>
      <c r="O415" s="60" t="e">
        <f t="shared" si="58"/>
        <v>#DIV/0!</v>
      </c>
      <c r="P415" s="62" t="e">
        <f t="shared" si="59"/>
        <v>#DIV/0!</v>
      </c>
      <c r="Q415" s="60" t="e">
        <f t="shared" si="60"/>
        <v>#DIV/0!</v>
      </c>
      <c r="R415" s="63" t="e">
        <f t="shared" si="61"/>
        <v>#DIV/0!</v>
      </c>
    </row>
    <row r="416" spans="1:18" x14ac:dyDescent="0.2">
      <c r="A416" s="57" t="s">
        <v>687</v>
      </c>
      <c r="B416" s="58" t="s">
        <v>688</v>
      </c>
      <c r="C416" s="58" t="s">
        <v>193</v>
      </c>
      <c r="D416" s="58" t="s">
        <v>748</v>
      </c>
      <c r="E416" s="59" t="s">
        <v>488</v>
      </c>
      <c r="F416" s="58" t="s">
        <v>497</v>
      </c>
      <c r="G416" s="58" t="s">
        <v>173</v>
      </c>
      <c r="H416" s="58" t="s">
        <v>12</v>
      </c>
      <c r="I416" s="58" t="s">
        <v>174</v>
      </c>
      <c r="J416" s="60">
        <v>24</v>
      </c>
      <c r="K416" s="60">
        <f t="shared" si="57"/>
        <v>15.058823529411764</v>
      </c>
      <c r="L416" s="61">
        <f>prodnorm21</f>
        <v>0</v>
      </c>
      <c r="M416" s="58" t="s">
        <v>41</v>
      </c>
      <c r="N416" s="62">
        <f>uurtarief21</f>
        <v>0</v>
      </c>
      <c r="O416" s="60" t="e">
        <f t="shared" si="58"/>
        <v>#DIV/0!</v>
      </c>
      <c r="P416" s="62" t="e">
        <f t="shared" si="59"/>
        <v>#DIV/0!</v>
      </c>
      <c r="Q416" s="60" t="e">
        <f t="shared" si="60"/>
        <v>#DIV/0!</v>
      </c>
      <c r="R416" s="63" t="e">
        <f t="shared" si="61"/>
        <v>#DIV/0!</v>
      </c>
    </row>
    <row r="417" spans="1:18" x14ac:dyDescent="0.2">
      <c r="A417" s="57" t="s">
        <v>687</v>
      </c>
      <c r="B417" s="58" t="s">
        <v>688</v>
      </c>
      <c r="C417" s="58" t="s">
        <v>193</v>
      </c>
      <c r="D417" s="58" t="s">
        <v>748</v>
      </c>
      <c r="E417" s="59" t="s">
        <v>488</v>
      </c>
      <c r="F417" s="58" t="s">
        <v>497</v>
      </c>
      <c r="G417" s="58" t="s">
        <v>137</v>
      </c>
      <c r="H417" s="58" t="s">
        <v>18</v>
      </c>
      <c r="I417" s="58" t="s">
        <v>133</v>
      </c>
      <c r="J417" s="60">
        <v>24</v>
      </c>
      <c r="K417" s="60">
        <f t="shared" si="57"/>
        <v>3.7647058823529411</v>
      </c>
      <c r="L417" s="61">
        <f>prodnorm26</f>
        <v>0</v>
      </c>
      <c r="M417" s="58" t="s">
        <v>41</v>
      </c>
      <c r="N417" s="62">
        <f>uurtarief26</f>
        <v>0</v>
      </c>
      <c r="O417" s="60" t="e">
        <f t="shared" si="58"/>
        <v>#DIV/0!</v>
      </c>
      <c r="P417" s="62" t="e">
        <f t="shared" si="59"/>
        <v>#DIV/0!</v>
      </c>
      <c r="Q417" s="60" t="e">
        <f t="shared" si="60"/>
        <v>#DIV/0!</v>
      </c>
      <c r="R417" s="63" t="e">
        <f t="shared" si="61"/>
        <v>#DIV/0!</v>
      </c>
    </row>
    <row r="418" spans="1:18" x14ac:dyDescent="0.2">
      <c r="A418" s="57" t="s">
        <v>687</v>
      </c>
      <c r="B418" s="58" t="s">
        <v>688</v>
      </c>
      <c r="C418" s="58" t="s">
        <v>193</v>
      </c>
      <c r="D418" s="58" t="s">
        <v>749</v>
      </c>
      <c r="E418" s="59" t="s">
        <v>750</v>
      </c>
      <c r="F418" s="58" t="s">
        <v>751</v>
      </c>
      <c r="G418" s="58" t="s">
        <v>153</v>
      </c>
      <c r="H418" s="58" t="s">
        <v>11</v>
      </c>
      <c r="I418" s="58" t="s">
        <v>133</v>
      </c>
      <c r="J418" s="60">
        <v>53</v>
      </c>
      <c r="K418" s="60">
        <f t="shared" si="57"/>
        <v>41.568627450980394</v>
      </c>
      <c r="L418" s="61">
        <f>prodnorm36</f>
        <v>0</v>
      </c>
      <c r="M418" s="58" t="s">
        <v>41</v>
      </c>
      <c r="N418" s="62">
        <f>uurtarief36</f>
        <v>0</v>
      </c>
      <c r="O418" s="60" t="e">
        <f t="shared" si="58"/>
        <v>#DIV/0!</v>
      </c>
      <c r="P418" s="62" t="e">
        <f t="shared" si="59"/>
        <v>#DIV/0!</v>
      </c>
      <c r="Q418" s="60" t="e">
        <f t="shared" si="60"/>
        <v>#DIV/0!</v>
      </c>
      <c r="R418" s="63" t="e">
        <f t="shared" si="61"/>
        <v>#DIV/0!</v>
      </c>
    </row>
    <row r="419" spans="1:18" x14ac:dyDescent="0.2">
      <c r="A419" s="57" t="s">
        <v>687</v>
      </c>
      <c r="B419" s="58" t="s">
        <v>688</v>
      </c>
      <c r="C419" s="58" t="s">
        <v>193</v>
      </c>
      <c r="D419" s="58" t="s">
        <v>752</v>
      </c>
      <c r="E419" s="59" t="s">
        <v>753</v>
      </c>
      <c r="F419" s="58" t="s">
        <v>489</v>
      </c>
      <c r="G419" s="58" t="s">
        <v>171</v>
      </c>
      <c r="H419" s="58" t="s">
        <v>11</v>
      </c>
      <c r="I419" s="58" t="s">
        <v>133</v>
      </c>
      <c r="J419" s="60">
        <v>23</v>
      </c>
      <c r="K419" s="60">
        <f t="shared" si="57"/>
        <v>18.03921568627451</v>
      </c>
      <c r="L419" s="61">
        <f>prodnorm45</f>
        <v>0</v>
      </c>
      <c r="M419" s="58" t="s">
        <v>41</v>
      </c>
      <c r="N419" s="62">
        <f>uurtarief45</f>
        <v>0</v>
      </c>
      <c r="O419" s="60" t="e">
        <f t="shared" si="58"/>
        <v>#DIV/0!</v>
      </c>
      <c r="P419" s="62" t="e">
        <f t="shared" si="59"/>
        <v>#DIV/0!</v>
      </c>
      <c r="Q419" s="60" t="e">
        <f t="shared" si="60"/>
        <v>#DIV/0!</v>
      </c>
      <c r="R419" s="63" t="e">
        <f t="shared" si="61"/>
        <v>#DIV/0!</v>
      </c>
    </row>
    <row r="420" spans="1:18" x14ac:dyDescent="0.2">
      <c r="A420" s="57" t="s">
        <v>687</v>
      </c>
      <c r="B420" s="58" t="s">
        <v>688</v>
      </c>
      <c r="C420" s="58" t="s">
        <v>193</v>
      </c>
      <c r="D420" s="58" t="s">
        <v>754</v>
      </c>
      <c r="E420" s="59" t="s">
        <v>755</v>
      </c>
      <c r="F420" s="58" t="s">
        <v>489</v>
      </c>
      <c r="G420" s="58" t="s">
        <v>135</v>
      </c>
      <c r="H420" s="58" t="s">
        <v>11</v>
      </c>
      <c r="I420" s="58" t="s">
        <v>133</v>
      </c>
      <c r="J420" s="60">
        <v>33</v>
      </c>
      <c r="K420" s="60">
        <f t="shared" si="57"/>
        <v>25.882352941176471</v>
      </c>
      <c r="L420" s="61">
        <f>prodnorm23</f>
        <v>0</v>
      </c>
      <c r="M420" s="58" t="s">
        <v>41</v>
      </c>
      <c r="N420" s="62">
        <f>uurtarief23</f>
        <v>0</v>
      </c>
      <c r="O420" s="60" t="e">
        <f t="shared" si="58"/>
        <v>#DIV/0!</v>
      </c>
      <c r="P420" s="62" t="e">
        <f t="shared" si="59"/>
        <v>#DIV/0!</v>
      </c>
      <c r="Q420" s="60" t="e">
        <f t="shared" si="60"/>
        <v>#DIV/0!</v>
      </c>
      <c r="R420" s="63" t="e">
        <f t="shared" si="61"/>
        <v>#DIV/0!</v>
      </c>
    </row>
    <row r="421" spans="1:18" x14ac:dyDescent="0.2">
      <c r="A421" s="57" t="s">
        <v>687</v>
      </c>
      <c r="B421" s="58" t="s">
        <v>688</v>
      </c>
      <c r="C421" s="58" t="s">
        <v>193</v>
      </c>
      <c r="D421" s="58" t="s">
        <v>756</v>
      </c>
      <c r="E421" s="59" t="s">
        <v>488</v>
      </c>
      <c r="F421" s="58" t="s">
        <v>497</v>
      </c>
      <c r="G421" s="58" t="s">
        <v>173</v>
      </c>
      <c r="H421" s="58" t="s">
        <v>12</v>
      </c>
      <c r="I421" s="58" t="s">
        <v>174</v>
      </c>
      <c r="J421" s="60">
        <v>14</v>
      </c>
      <c r="K421" s="60">
        <f t="shared" si="57"/>
        <v>8.7843137254901968</v>
      </c>
      <c r="L421" s="61">
        <f>prodnorm21</f>
        <v>0</v>
      </c>
      <c r="M421" s="58" t="s">
        <v>41</v>
      </c>
      <c r="N421" s="62">
        <f>uurtarief21</f>
        <v>0</v>
      </c>
      <c r="O421" s="60" t="e">
        <f t="shared" si="58"/>
        <v>#DIV/0!</v>
      </c>
      <c r="P421" s="62" t="e">
        <f t="shared" si="59"/>
        <v>#DIV/0!</v>
      </c>
      <c r="Q421" s="60" t="e">
        <f t="shared" si="60"/>
        <v>#DIV/0!</v>
      </c>
      <c r="R421" s="63" t="e">
        <f t="shared" si="61"/>
        <v>#DIV/0!</v>
      </c>
    </row>
    <row r="422" spans="1:18" x14ac:dyDescent="0.2">
      <c r="A422" s="57" t="s">
        <v>687</v>
      </c>
      <c r="B422" s="58" t="s">
        <v>688</v>
      </c>
      <c r="C422" s="58" t="s">
        <v>193</v>
      </c>
      <c r="D422" s="58" t="s">
        <v>756</v>
      </c>
      <c r="E422" s="59" t="s">
        <v>488</v>
      </c>
      <c r="F422" s="58" t="s">
        <v>497</v>
      </c>
      <c r="G422" s="58" t="s">
        <v>137</v>
      </c>
      <c r="H422" s="58" t="s">
        <v>18</v>
      </c>
      <c r="I422" s="58" t="s">
        <v>133</v>
      </c>
      <c r="J422" s="60">
        <v>14</v>
      </c>
      <c r="K422" s="60">
        <f t="shared" si="57"/>
        <v>2.1960784313725492</v>
      </c>
      <c r="L422" s="61">
        <f>prodnorm26</f>
        <v>0</v>
      </c>
      <c r="M422" s="58" t="s">
        <v>41</v>
      </c>
      <c r="N422" s="62">
        <f>uurtarief26</f>
        <v>0</v>
      </c>
      <c r="O422" s="60" t="e">
        <f t="shared" si="58"/>
        <v>#DIV/0!</v>
      </c>
      <c r="P422" s="62" t="e">
        <f t="shared" si="59"/>
        <v>#DIV/0!</v>
      </c>
      <c r="Q422" s="60" t="e">
        <f t="shared" si="60"/>
        <v>#DIV/0!</v>
      </c>
      <c r="R422" s="63" t="e">
        <f t="shared" si="61"/>
        <v>#DIV/0!</v>
      </c>
    </row>
    <row r="423" spans="1:18" x14ac:dyDescent="0.2">
      <c r="A423" s="57" t="s">
        <v>687</v>
      </c>
      <c r="B423" s="58" t="s">
        <v>688</v>
      </c>
      <c r="C423" s="58" t="s">
        <v>193</v>
      </c>
      <c r="D423" s="58" t="s">
        <v>757</v>
      </c>
      <c r="E423" s="59" t="s">
        <v>488</v>
      </c>
      <c r="F423" s="58" t="s">
        <v>497</v>
      </c>
      <c r="G423" s="58" t="s">
        <v>173</v>
      </c>
      <c r="H423" s="58" t="s">
        <v>12</v>
      </c>
      <c r="I423" s="58" t="s">
        <v>174</v>
      </c>
      <c r="J423" s="60">
        <v>9</v>
      </c>
      <c r="K423" s="60">
        <f t="shared" si="57"/>
        <v>5.6470588235294112</v>
      </c>
      <c r="L423" s="61">
        <f>prodnorm21</f>
        <v>0</v>
      </c>
      <c r="M423" s="58" t="s">
        <v>41</v>
      </c>
      <c r="N423" s="62">
        <f>uurtarief21</f>
        <v>0</v>
      </c>
      <c r="O423" s="60" t="e">
        <f t="shared" si="58"/>
        <v>#DIV/0!</v>
      </c>
      <c r="P423" s="62" t="e">
        <f t="shared" si="59"/>
        <v>#DIV/0!</v>
      </c>
      <c r="Q423" s="60" t="e">
        <f t="shared" si="60"/>
        <v>#DIV/0!</v>
      </c>
      <c r="R423" s="63" t="e">
        <f t="shared" si="61"/>
        <v>#DIV/0!</v>
      </c>
    </row>
    <row r="424" spans="1:18" x14ac:dyDescent="0.2">
      <c r="A424" s="57" t="s">
        <v>687</v>
      </c>
      <c r="B424" s="58" t="s">
        <v>688</v>
      </c>
      <c r="C424" s="58" t="s">
        <v>193</v>
      </c>
      <c r="D424" s="58" t="s">
        <v>757</v>
      </c>
      <c r="E424" s="59" t="s">
        <v>488</v>
      </c>
      <c r="F424" s="58" t="s">
        <v>497</v>
      </c>
      <c r="G424" s="58" t="s">
        <v>137</v>
      </c>
      <c r="H424" s="58" t="s">
        <v>18</v>
      </c>
      <c r="I424" s="58" t="s">
        <v>133</v>
      </c>
      <c r="J424" s="60">
        <v>9</v>
      </c>
      <c r="K424" s="60">
        <f t="shared" si="57"/>
        <v>1.4117647058823528</v>
      </c>
      <c r="L424" s="61">
        <f>prodnorm26</f>
        <v>0</v>
      </c>
      <c r="M424" s="58" t="s">
        <v>41</v>
      </c>
      <c r="N424" s="62">
        <f>uurtarief26</f>
        <v>0</v>
      </c>
      <c r="O424" s="60" t="e">
        <f t="shared" si="58"/>
        <v>#DIV/0!</v>
      </c>
      <c r="P424" s="62" t="e">
        <f t="shared" si="59"/>
        <v>#DIV/0!</v>
      </c>
      <c r="Q424" s="60" t="e">
        <f t="shared" si="60"/>
        <v>#DIV/0!</v>
      </c>
      <c r="R424" s="63" t="e">
        <f t="shared" si="61"/>
        <v>#DIV/0!</v>
      </c>
    </row>
    <row r="425" spans="1:18" x14ac:dyDescent="0.2">
      <c r="A425" s="57" t="s">
        <v>687</v>
      </c>
      <c r="B425" s="58" t="s">
        <v>688</v>
      </c>
      <c r="C425" s="58" t="s">
        <v>193</v>
      </c>
      <c r="D425" s="58" t="s">
        <v>758</v>
      </c>
      <c r="E425" s="59" t="s">
        <v>491</v>
      </c>
      <c r="F425" s="58" t="s">
        <v>497</v>
      </c>
      <c r="G425" s="58" t="s">
        <v>173</v>
      </c>
      <c r="H425" s="58" t="s">
        <v>12</v>
      </c>
      <c r="I425" s="58" t="s">
        <v>174</v>
      </c>
      <c r="J425" s="60">
        <v>7.5</v>
      </c>
      <c r="K425" s="60">
        <f t="shared" si="57"/>
        <v>4.7058823529411766</v>
      </c>
      <c r="L425" s="61">
        <f>prodnorm21</f>
        <v>0</v>
      </c>
      <c r="M425" s="58" t="s">
        <v>41</v>
      </c>
      <c r="N425" s="62">
        <f>uurtarief21</f>
        <v>0</v>
      </c>
      <c r="O425" s="60" t="e">
        <f t="shared" si="58"/>
        <v>#DIV/0!</v>
      </c>
      <c r="P425" s="62" t="e">
        <f t="shared" si="59"/>
        <v>#DIV/0!</v>
      </c>
      <c r="Q425" s="60" t="e">
        <f t="shared" si="60"/>
        <v>#DIV/0!</v>
      </c>
      <c r="R425" s="63" t="e">
        <f t="shared" si="61"/>
        <v>#DIV/0!</v>
      </c>
    </row>
    <row r="426" spans="1:18" x14ac:dyDescent="0.2">
      <c r="A426" s="57" t="s">
        <v>687</v>
      </c>
      <c r="B426" s="58" t="s">
        <v>688</v>
      </c>
      <c r="C426" s="58" t="s">
        <v>193</v>
      </c>
      <c r="D426" s="58" t="s">
        <v>758</v>
      </c>
      <c r="E426" s="59" t="s">
        <v>491</v>
      </c>
      <c r="F426" s="58" t="s">
        <v>497</v>
      </c>
      <c r="G426" s="58" t="s">
        <v>137</v>
      </c>
      <c r="H426" s="58" t="s">
        <v>18</v>
      </c>
      <c r="I426" s="58" t="s">
        <v>133</v>
      </c>
      <c r="J426" s="60">
        <v>7.5</v>
      </c>
      <c r="K426" s="60">
        <f t="shared" si="57"/>
        <v>1.1764705882352942</v>
      </c>
      <c r="L426" s="61">
        <f>prodnorm26</f>
        <v>0</v>
      </c>
      <c r="M426" s="58" t="s">
        <v>41</v>
      </c>
      <c r="N426" s="62">
        <f>uurtarief26</f>
        <v>0</v>
      </c>
      <c r="O426" s="60" t="e">
        <f t="shared" si="58"/>
        <v>#DIV/0!</v>
      </c>
      <c r="P426" s="62" t="e">
        <f t="shared" si="59"/>
        <v>#DIV/0!</v>
      </c>
      <c r="Q426" s="60" t="e">
        <f t="shared" si="60"/>
        <v>#DIV/0!</v>
      </c>
      <c r="R426" s="63" t="e">
        <f t="shared" si="61"/>
        <v>#DIV/0!</v>
      </c>
    </row>
    <row r="427" spans="1:18" x14ac:dyDescent="0.2">
      <c r="A427" s="57" t="s">
        <v>687</v>
      </c>
      <c r="B427" s="58" t="s">
        <v>688</v>
      </c>
      <c r="C427" s="58" t="s">
        <v>193</v>
      </c>
      <c r="D427" s="58" t="s">
        <v>759</v>
      </c>
      <c r="E427" s="59" t="s">
        <v>760</v>
      </c>
      <c r="F427" s="58" t="s">
        <v>497</v>
      </c>
      <c r="G427" s="58" t="s">
        <v>137</v>
      </c>
      <c r="H427" s="58" t="s">
        <v>11</v>
      </c>
      <c r="I427" s="58" t="s">
        <v>133</v>
      </c>
      <c r="J427" s="60">
        <v>12</v>
      </c>
      <c r="K427" s="60">
        <f t="shared" si="57"/>
        <v>9.4117647058823533</v>
      </c>
      <c r="L427" s="61">
        <f>prodnorm25</f>
        <v>0</v>
      </c>
      <c r="M427" s="58" t="s">
        <v>41</v>
      </c>
      <c r="N427" s="62">
        <f>uurtarief25</f>
        <v>0</v>
      </c>
      <c r="O427" s="60" t="e">
        <f t="shared" si="58"/>
        <v>#DIV/0!</v>
      </c>
      <c r="P427" s="62" t="e">
        <f t="shared" si="59"/>
        <v>#DIV/0!</v>
      </c>
      <c r="Q427" s="60" t="e">
        <f t="shared" si="60"/>
        <v>#DIV/0!</v>
      </c>
      <c r="R427" s="63" t="e">
        <f t="shared" si="61"/>
        <v>#DIV/0!</v>
      </c>
    </row>
    <row r="428" spans="1:18" x14ac:dyDescent="0.2">
      <c r="A428" s="57" t="s">
        <v>687</v>
      </c>
      <c r="B428" s="58" t="s">
        <v>688</v>
      </c>
      <c r="C428" s="58" t="s">
        <v>193</v>
      </c>
      <c r="D428" s="58" t="s">
        <v>761</v>
      </c>
      <c r="E428" s="59" t="s">
        <v>207</v>
      </c>
      <c r="F428" s="58" t="s">
        <v>489</v>
      </c>
      <c r="G428" s="58" t="s">
        <v>171</v>
      </c>
      <c r="H428" s="58" t="s">
        <v>11</v>
      </c>
      <c r="I428" s="58" t="s">
        <v>133</v>
      </c>
      <c r="J428" s="60">
        <v>101</v>
      </c>
      <c r="K428" s="60">
        <f t="shared" si="57"/>
        <v>79.215686274509807</v>
      </c>
      <c r="L428" s="61">
        <f>prodnorm45</f>
        <v>0</v>
      </c>
      <c r="M428" s="58" t="s">
        <v>41</v>
      </c>
      <c r="N428" s="62">
        <f>uurtarief45</f>
        <v>0</v>
      </c>
      <c r="O428" s="60" t="e">
        <f t="shared" si="58"/>
        <v>#DIV/0!</v>
      </c>
      <c r="P428" s="62" t="e">
        <f t="shared" si="59"/>
        <v>#DIV/0!</v>
      </c>
      <c r="Q428" s="60" t="e">
        <f t="shared" si="60"/>
        <v>#DIV/0!</v>
      </c>
      <c r="R428" s="63" t="e">
        <f t="shared" si="61"/>
        <v>#DIV/0!</v>
      </c>
    </row>
    <row r="429" spans="1:18" x14ac:dyDescent="0.2">
      <c r="A429" s="57" t="s">
        <v>687</v>
      </c>
      <c r="B429" s="58" t="s">
        <v>688</v>
      </c>
      <c r="C429" s="58" t="s">
        <v>193</v>
      </c>
      <c r="D429" s="58" t="s">
        <v>762</v>
      </c>
      <c r="E429" s="59" t="s">
        <v>763</v>
      </c>
      <c r="F429" s="58" t="s">
        <v>260</v>
      </c>
      <c r="G429" s="58" t="s">
        <v>171</v>
      </c>
      <c r="H429" s="58" t="s">
        <v>11</v>
      </c>
      <c r="I429" s="58" t="s">
        <v>133</v>
      </c>
      <c r="J429" s="60">
        <v>329</v>
      </c>
      <c r="K429" s="60">
        <f t="shared" si="57"/>
        <v>258.03921568627453</v>
      </c>
      <c r="L429" s="61">
        <f>prodnorm45</f>
        <v>0</v>
      </c>
      <c r="M429" s="58" t="s">
        <v>41</v>
      </c>
      <c r="N429" s="62">
        <f>uurtarief45</f>
        <v>0</v>
      </c>
      <c r="O429" s="60" t="e">
        <f t="shared" si="58"/>
        <v>#DIV/0!</v>
      </c>
      <c r="P429" s="62" t="e">
        <f t="shared" si="59"/>
        <v>#DIV/0!</v>
      </c>
      <c r="Q429" s="60" t="e">
        <f t="shared" si="60"/>
        <v>#DIV/0!</v>
      </c>
      <c r="R429" s="63" t="e">
        <f t="shared" si="61"/>
        <v>#DIV/0!</v>
      </c>
    </row>
    <row r="430" spans="1:18" x14ac:dyDescent="0.2">
      <c r="A430" s="57" t="s">
        <v>687</v>
      </c>
      <c r="B430" s="58" t="s">
        <v>688</v>
      </c>
      <c r="C430" s="58" t="s">
        <v>193</v>
      </c>
      <c r="D430" s="58" t="s">
        <v>764</v>
      </c>
      <c r="E430" s="59" t="s">
        <v>765</v>
      </c>
      <c r="F430" s="58" t="s">
        <v>260</v>
      </c>
      <c r="G430" s="58" t="s">
        <v>169</v>
      </c>
      <c r="H430" s="58" t="s">
        <v>11</v>
      </c>
      <c r="I430" s="58" t="s">
        <v>133</v>
      </c>
      <c r="J430" s="60">
        <v>125</v>
      </c>
      <c r="K430" s="60">
        <f t="shared" si="57"/>
        <v>98.039215686274503</v>
      </c>
      <c r="L430" s="61">
        <f>prodnorm44</f>
        <v>0</v>
      </c>
      <c r="M430" s="58" t="s">
        <v>41</v>
      </c>
      <c r="N430" s="62">
        <f>uurtarief44</f>
        <v>0</v>
      </c>
      <c r="O430" s="60" t="e">
        <f t="shared" si="58"/>
        <v>#DIV/0!</v>
      </c>
      <c r="P430" s="62" t="e">
        <f t="shared" si="59"/>
        <v>#DIV/0!</v>
      </c>
      <c r="Q430" s="60" t="e">
        <f t="shared" si="60"/>
        <v>#DIV/0!</v>
      </c>
      <c r="R430" s="63" t="e">
        <f t="shared" si="61"/>
        <v>#DIV/0!</v>
      </c>
    </row>
    <row r="431" spans="1:18" x14ac:dyDescent="0.2">
      <c r="A431" s="57" t="s">
        <v>687</v>
      </c>
      <c r="B431" s="58" t="s">
        <v>688</v>
      </c>
      <c r="C431" s="58" t="s">
        <v>193</v>
      </c>
      <c r="D431" s="58" t="s">
        <v>766</v>
      </c>
      <c r="E431" s="59" t="s">
        <v>767</v>
      </c>
      <c r="F431" s="58" t="s">
        <v>768</v>
      </c>
      <c r="G431" s="58" t="s">
        <v>145</v>
      </c>
      <c r="H431" s="58" t="s">
        <v>11</v>
      </c>
      <c r="I431" s="58" t="s">
        <v>133</v>
      </c>
      <c r="J431" s="60">
        <v>27</v>
      </c>
      <c r="K431" s="60">
        <f t="shared" si="57"/>
        <v>21.176470588235293</v>
      </c>
      <c r="L431" s="61">
        <f>prodnorm30</f>
        <v>0</v>
      </c>
      <c r="M431" s="58" t="s">
        <v>41</v>
      </c>
      <c r="N431" s="62">
        <f>uurtarief30</f>
        <v>0</v>
      </c>
      <c r="O431" s="60" t="e">
        <f t="shared" si="58"/>
        <v>#DIV/0!</v>
      </c>
      <c r="P431" s="62" t="e">
        <f t="shared" si="59"/>
        <v>#DIV/0!</v>
      </c>
      <c r="Q431" s="60" t="e">
        <f t="shared" si="60"/>
        <v>#DIV/0!</v>
      </c>
      <c r="R431" s="63" t="e">
        <f t="shared" si="61"/>
        <v>#DIV/0!</v>
      </c>
    </row>
    <row r="432" spans="1:18" x14ac:dyDescent="0.2">
      <c r="A432" s="57" t="s">
        <v>687</v>
      </c>
      <c r="B432" s="58" t="s">
        <v>688</v>
      </c>
      <c r="C432" s="58" t="s">
        <v>193</v>
      </c>
      <c r="D432" s="58" t="s">
        <v>769</v>
      </c>
      <c r="E432" s="59" t="s">
        <v>770</v>
      </c>
      <c r="F432" s="58" t="s">
        <v>489</v>
      </c>
      <c r="G432" s="58" t="s">
        <v>169</v>
      </c>
      <c r="H432" s="58" t="s">
        <v>11</v>
      </c>
      <c r="I432" s="58" t="s">
        <v>133</v>
      </c>
      <c r="J432" s="60">
        <v>29</v>
      </c>
      <c r="K432" s="60">
        <f t="shared" si="57"/>
        <v>22.745098039215687</v>
      </c>
      <c r="L432" s="61">
        <f>prodnorm44</f>
        <v>0</v>
      </c>
      <c r="M432" s="58" t="s">
        <v>41</v>
      </c>
      <c r="N432" s="62">
        <f>uurtarief44</f>
        <v>0</v>
      </c>
      <c r="O432" s="60" t="e">
        <f t="shared" si="58"/>
        <v>#DIV/0!</v>
      </c>
      <c r="P432" s="62" t="e">
        <f t="shared" si="59"/>
        <v>#DIV/0!</v>
      </c>
      <c r="Q432" s="60" t="e">
        <f t="shared" si="60"/>
        <v>#DIV/0!</v>
      </c>
      <c r="R432" s="63" t="e">
        <f t="shared" si="61"/>
        <v>#DIV/0!</v>
      </c>
    </row>
    <row r="433" spans="1:18" x14ac:dyDescent="0.2">
      <c r="A433" s="57" t="s">
        <v>687</v>
      </c>
      <c r="B433" s="58" t="s">
        <v>688</v>
      </c>
      <c r="C433" s="58" t="s">
        <v>193</v>
      </c>
      <c r="D433" s="58" t="s">
        <v>771</v>
      </c>
      <c r="E433" s="59" t="s">
        <v>701</v>
      </c>
      <c r="F433" s="58" t="s">
        <v>489</v>
      </c>
      <c r="G433" s="58" t="s">
        <v>169</v>
      </c>
      <c r="H433" s="58" t="s">
        <v>11</v>
      </c>
      <c r="I433" s="58" t="s">
        <v>133</v>
      </c>
      <c r="J433" s="60">
        <v>26</v>
      </c>
      <c r="K433" s="60">
        <f t="shared" si="57"/>
        <v>20.392156862745097</v>
      </c>
      <c r="L433" s="61">
        <f>prodnorm44</f>
        <v>0</v>
      </c>
      <c r="M433" s="58" t="s">
        <v>41</v>
      </c>
      <c r="N433" s="62">
        <f>uurtarief44</f>
        <v>0</v>
      </c>
      <c r="O433" s="60" t="e">
        <f t="shared" si="58"/>
        <v>#DIV/0!</v>
      </c>
      <c r="P433" s="62" t="e">
        <f t="shared" si="59"/>
        <v>#DIV/0!</v>
      </c>
      <c r="Q433" s="60" t="e">
        <f t="shared" si="60"/>
        <v>#DIV/0!</v>
      </c>
      <c r="R433" s="63" t="e">
        <f t="shared" si="61"/>
        <v>#DIV/0!</v>
      </c>
    </row>
    <row r="434" spans="1:18" x14ac:dyDescent="0.2">
      <c r="A434" s="57" t="s">
        <v>687</v>
      </c>
      <c r="B434" s="58" t="s">
        <v>688</v>
      </c>
      <c r="C434" s="58" t="s">
        <v>193</v>
      </c>
      <c r="D434" s="58" t="s">
        <v>772</v>
      </c>
      <c r="E434" s="59" t="s">
        <v>703</v>
      </c>
      <c r="F434" s="58" t="s">
        <v>489</v>
      </c>
      <c r="G434" s="58" t="s">
        <v>167</v>
      </c>
      <c r="H434" s="58" t="s">
        <v>11</v>
      </c>
      <c r="I434" s="58" t="s">
        <v>133</v>
      </c>
      <c r="J434" s="60">
        <v>9</v>
      </c>
      <c r="K434" s="60">
        <f t="shared" si="57"/>
        <v>7.0588235294117645</v>
      </c>
      <c r="L434" s="61">
        <f>prodnorm43</f>
        <v>0</v>
      </c>
      <c r="M434" s="58" t="s">
        <v>41</v>
      </c>
      <c r="N434" s="62">
        <f>uurtarief43</f>
        <v>0</v>
      </c>
      <c r="O434" s="60" t="e">
        <f t="shared" si="58"/>
        <v>#DIV/0!</v>
      </c>
      <c r="P434" s="62" t="e">
        <f t="shared" si="59"/>
        <v>#DIV/0!</v>
      </c>
      <c r="Q434" s="60" t="e">
        <f t="shared" si="60"/>
        <v>#DIV/0!</v>
      </c>
      <c r="R434" s="63" t="e">
        <f t="shared" si="61"/>
        <v>#DIV/0!</v>
      </c>
    </row>
    <row r="435" spans="1:18" x14ac:dyDescent="0.2">
      <c r="A435" s="57" t="s">
        <v>687</v>
      </c>
      <c r="B435" s="58" t="s">
        <v>688</v>
      </c>
      <c r="C435" s="58" t="s">
        <v>193</v>
      </c>
      <c r="D435" s="58" t="s">
        <v>773</v>
      </c>
      <c r="E435" s="59" t="s">
        <v>703</v>
      </c>
      <c r="F435" s="58" t="s">
        <v>489</v>
      </c>
      <c r="G435" s="58" t="s">
        <v>167</v>
      </c>
      <c r="H435" s="58" t="s">
        <v>11</v>
      </c>
      <c r="I435" s="58" t="s">
        <v>133</v>
      </c>
      <c r="J435" s="60">
        <v>10</v>
      </c>
      <c r="K435" s="60">
        <f t="shared" si="57"/>
        <v>7.8431372549019605</v>
      </c>
      <c r="L435" s="61">
        <f>prodnorm43</f>
        <v>0</v>
      </c>
      <c r="M435" s="58" t="s">
        <v>41</v>
      </c>
      <c r="N435" s="62">
        <f>uurtarief43</f>
        <v>0</v>
      </c>
      <c r="O435" s="60" t="e">
        <f t="shared" si="58"/>
        <v>#DIV/0!</v>
      </c>
      <c r="P435" s="62" t="e">
        <f t="shared" si="59"/>
        <v>#DIV/0!</v>
      </c>
      <c r="Q435" s="60" t="e">
        <f t="shared" si="60"/>
        <v>#DIV/0!</v>
      </c>
      <c r="R435" s="63" t="e">
        <f t="shared" si="61"/>
        <v>#DIV/0!</v>
      </c>
    </row>
    <row r="436" spans="1:18" x14ac:dyDescent="0.2">
      <c r="A436" s="57" t="s">
        <v>687</v>
      </c>
      <c r="B436" s="58" t="s">
        <v>688</v>
      </c>
      <c r="C436" s="58" t="s">
        <v>193</v>
      </c>
      <c r="D436" s="58" t="s">
        <v>774</v>
      </c>
      <c r="E436" s="59" t="s">
        <v>274</v>
      </c>
      <c r="F436" s="58" t="s">
        <v>775</v>
      </c>
      <c r="G436" s="58" t="s">
        <v>149</v>
      </c>
      <c r="H436" s="58" t="s">
        <v>11</v>
      </c>
      <c r="I436" s="58" t="s">
        <v>133</v>
      </c>
      <c r="J436" s="60">
        <v>3</v>
      </c>
      <c r="K436" s="60">
        <f t="shared" ref="K436:K467" si="62">J436*VLOOKUP(H436,dagsoorttabel1,2,FALSE)</f>
        <v>2.3529411764705883</v>
      </c>
      <c r="L436" s="61">
        <f>prodnorm33</f>
        <v>0</v>
      </c>
      <c r="M436" s="58" t="s">
        <v>41</v>
      </c>
      <c r="N436" s="62">
        <f>uurtarief33</f>
        <v>0</v>
      </c>
      <c r="O436" s="60" t="e">
        <f t="shared" ref="O436:O467" si="63">IF(ISBLANK(L436),0,K436/ROUND(L436,4))</f>
        <v>#DIV/0!</v>
      </c>
      <c r="P436" s="62" t="e">
        <f t="shared" ref="P436:P467" si="64">ROUND(N436,2)*O436</f>
        <v>#DIV/0!</v>
      </c>
      <c r="Q436" s="60" t="e">
        <f t="shared" ref="Q436:Q467" si="65">O436*dagenperjaar1</f>
        <v>#DIV/0!</v>
      </c>
      <c r="R436" s="63" t="e">
        <f t="shared" ref="R436:R467" si="66">Q436*ROUND(N436,2)</f>
        <v>#DIV/0!</v>
      </c>
    </row>
    <row r="437" spans="1:18" x14ac:dyDescent="0.2">
      <c r="A437" s="57" t="s">
        <v>687</v>
      </c>
      <c r="B437" s="58" t="s">
        <v>688</v>
      </c>
      <c r="C437" s="58" t="s">
        <v>193</v>
      </c>
      <c r="D437" s="58" t="s">
        <v>776</v>
      </c>
      <c r="E437" s="59" t="s">
        <v>706</v>
      </c>
      <c r="F437" s="58" t="s">
        <v>489</v>
      </c>
      <c r="G437" s="58" t="s">
        <v>169</v>
      </c>
      <c r="H437" s="58" t="s">
        <v>11</v>
      </c>
      <c r="I437" s="58" t="s">
        <v>133</v>
      </c>
      <c r="J437" s="60">
        <v>25</v>
      </c>
      <c r="K437" s="60">
        <f t="shared" si="62"/>
        <v>19.607843137254903</v>
      </c>
      <c r="L437" s="61">
        <f>prodnorm44</f>
        <v>0</v>
      </c>
      <c r="M437" s="58" t="s">
        <v>41</v>
      </c>
      <c r="N437" s="62">
        <f>uurtarief44</f>
        <v>0</v>
      </c>
      <c r="O437" s="60" t="e">
        <f t="shared" si="63"/>
        <v>#DIV/0!</v>
      </c>
      <c r="P437" s="62" t="e">
        <f t="shared" si="64"/>
        <v>#DIV/0!</v>
      </c>
      <c r="Q437" s="60" t="e">
        <f t="shared" si="65"/>
        <v>#DIV/0!</v>
      </c>
      <c r="R437" s="63" t="e">
        <f t="shared" si="66"/>
        <v>#DIV/0!</v>
      </c>
    </row>
    <row r="438" spans="1:18" x14ac:dyDescent="0.2">
      <c r="A438" s="57" t="s">
        <v>687</v>
      </c>
      <c r="B438" s="58" t="s">
        <v>688</v>
      </c>
      <c r="C438" s="58" t="s">
        <v>193</v>
      </c>
      <c r="D438" s="58" t="s">
        <v>777</v>
      </c>
      <c r="E438" s="59" t="s">
        <v>703</v>
      </c>
      <c r="F438" s="58" t="s">
        <v>489</v>
      </c>
      <c r="G438" s="58" t="s">
        <v>167</v>
      </c>
      <c r="H438" s="58" t="s">
        <v>11</v>
      </c>
      <c r="I438" s="58" t="s">
        <v>133</v>
      </c>
      <c r="J438" s="60">
        <v>12</v>
      </c>
      <c r="K438" s="60">
        <f t="shared" si="62"/>
        <v>9.4117647058823533</v>
      </c>
      <c r="L438" s="61">
        <f>prodnorm43</f>
        <v>0</v>
      </c>
      <c r="M438" s="58" t="s">
        <v>41</v>
      </c>
      <c r="N438" s="62">
        <f>uurtarief43</f>
        <v>0</v>
      </c>
      <c r="O438" s="60" t="e">
        <f t="shared" si="63"/>
        <v>#DIV/0!</v>
      </c>
      <c r="P438" s="62" t="e">
        <f t="shared" si="64"/>
        <v>#DIV/0!</v>
      </c>
      <c r="Q438" s="60" t="e">
        <f t="shared" si="65"/>
        <v>#DIV/0!</v>
      </c>
      <c r="R438" s="63" t="e">
        <f t="shared" si="66"/>
        <v>#DIV/0!</v>
      </c>
    </row>
    <row r="439" spans="1:18" x14ac:dyDescent="0.2">
      <c r="A439" s="57" t="s">
        <v>687</v>
      </c>
      <c r="B439" s="58" t="s">
        <v>688</v>
      </c>
      <c r="C439" s="58" t="s">
        <v>193</v>
      </c>
      <c r="D439" s="58" t="s">
        <v>778</v>
      </c>
      <c r="E439" s="59" t="s">
        <v>274</v>
      </c>
      <c r="F439" s="58" t="s">
        <v>775</v>
      </c>
      <c r="G439" s="58" t="s">
        <v>149</v>
      </c>
      <c r="H439" s="58" t="s">
        <v>11</v>
      </c>
      <c r="I439" s="58" t="s">
        <v>133</v>
      </c>
      <c r="J439" s="60">
        <v>5</v>
      </c>
      <c r="K439" s="60">
        <f t="shared" si="62"/>
        <v>3.9215686274509802</v>
      </c>
      <c r="L439" s="61">
        <f>prodnorm33</f>
        <v>0</v>
      </c>
      <c r="M439" s="58" t="s">
        <v>41</v>
      </c>
      <c r="N439" s="62">
        <f>uurtarief33</f>
        <v>0</v>
      </c>
      <c r="O439" s="60" t="e">
        <f t="shared" si="63"/>
        <v>#DIV/0!</v>
      </c>
      <c r="P439" s="62" t="e">
        <f t="shared" si="64"/>
        <v>#DIV/0!</v>
      </c>
      <c r="Q439" s="60" t="e">
        <f t="shared" si="65"/>
        <v>#DIV/0!</v>
      </c>
      <c r="R439" s="63" t="e">
        <f t="shared" si="66"/>
        <v>#DIV/0!</v>
      </c>
    </row>
    <row r="440" spans="1:18" x14ac:dyDescent="0.2">
      <c r="A440" s="57" t="s">
        <v>687</v>
      </c>
      <c r="B440" s="58" t="s">
        <v>688</v>
      </c>
      <c r="C440" s="58" t="s">
        <v>193</v>
      </c>
      <c r="D440" s="58" t="s">
        <v>779</v>
      </c>
      <c r="E440" s="59" t="s">
        <v>780</v>
      </c>
      <c r="F440" s="58" t="s">
        <v>489</v>
      </c>
      <c r="G440" s="58" t="s">
        <v>143</v>
      </c>
      <c r="H440" s="58" t="s">
        <v>11</v>
      </c>
      <c r="I440" s="58" t="s">
        <v>133</v>
      </c>
      <c r="J440" s="60">
        <v>42</v>
      </c>
      <c r="K440" s="60">
        <f t="shared" si="62"/>
        <v>32.941176470588232</v>
      </c>
      <c r="L440" s="61">
        <f>prodnorm29</f>
        <v>0</v>
      </c>
      <c r="M440" s="58" t="s">
        <v>41</v>
      </c>
      <c r="N440" s="62">
        <f>uurtarief29</f>
        <v>0</v>
      </c>
      <c r="O440" s="60" t="e">
        <f t="shared" si="63"/>
        <v>#DIV/0!</v>
      </c>
      <c r="P440" s="62" t="e">
        <f t="shared" si="64"/>
        <v>#DIV/0!</v>
      </c>
      <c r="Q440" s="60" t="e">
        <f t="shared" si="65"/>
        <v>#DIV/0!</v>
      </c>
      <c r="R440" s="63" t="e">
        <f t="shared" si="66"/>
        <v>#DIV/0!</v>
      </c>
    </row>
    <row r="441" spans="1:18" x14ac:dyDescent="0.2">
      <c r="A441" s="57" t="s">
        <v>687</v>
      </c>
      <c r="B441" s="58" t="s">
        <v>688</v>
      </c>
      <c r="C441" s="58" t="s">
        <v>193</v>
      </c>
      <c r="D441" s="58" t="s">
        <v>781</v>
      </c>
      <c r="E441" s="59" t="s">
        <v>209</v>
      </c>
      <c r="F441" s="58" t="s">
        <v>489</v>
      </c>
      <c r="G441" s="58" t="s">
        <v>167</v>
      </c>
      <c r="H441" s="58" t="s">
        <v>11</v>
      </c>
      <c r="I441" s="58" t="s">
        <v>133</v>
      </c>
      <c r="J441" s="60">
        <v>10</v>
      </c>
      <c r="K441" s="60">
        <f t="shared" si="62"/>
        <v>7.8431372549019605</v>
      </c>
      <c r="L441" s="61">
        <f>prodnorm43</f>
        <v>0</v>
      </c>
      <c r="M441" s="58" t="s">
        <v>41</v>
      </c>
      <c r="N441" s="62">
        <f>uurtarief43</f>
        <v>0</v>
      </c>
      <c r="O441" s="60" t="e">
        <f t="shared" si="63"/>
        <v>#DIV/0!</v>
      </c>
      <c r="P441" s="62" t="e">
        <f t="shared" si="64"/>
        <v>#DIV/0!</v>
      </c>
      <c r="Q441" s="60" t="e">
        <f t="shared" si="65"/>
        <v>#DIV/0!</v>
      </c>
      <c r="R441" s="63" t="e">
        <f t="shared" si="66"/>
        <v>#DIV/0!</v>
      </c>
    </row>
    <row r="442" spans="1:18" x14ac:dyDescent="0.2">
      <c r="A442" s="57" t="s">
        <v>687</v>
      </c>
      <c r="B442" s="58" t="s">
        <v>688</v>
      </c>
      <c r="C442" s="58" t="s">
        <v>252</v>
      </c>
      <c r="D442" s="58" t="s">
        <v>782</v>
      </c>
      <c r="E442" s="59" t="s">
        <v>783</v>
      </c>
      <c r="F442" s="58" t="s">
        <v>489</v>
      </c>
      <c r="G442" s="58" t="s">
        <v>161</v>
      </c>
      <c r="H442" s="58" t="s">
        <v>11</v>
      </c>
      <c r="I442" s="58" t="s">
        <v>133</v>
      </c>
      <c r="J442" s="60">
        <v>105</v>
      </c>
      <c r="K442" s="60">
        <f t="shared" si="62"/>
        <v>82.352941176470594</v>
      </c>
      <c r="L442" s="61">
        <f>prodnorm40</f>
        <v>0</v>
      </c>
      <c r="M442" s="58" t="s">
        <v>41</v>
      </c>
      <c r="N442" s="62">
        <f>uurtarief40</f>
        <v>0</v>
      </c>
      <c r="O442" s="60" t="e">
        <f t="shared" si="63"/>
        <v>#DIV/0!</v>
      </c>
      <c r="P442" s="62" t="e">
        <f t="shared" si="64"/>
        <v>#DIV/0!</v>
      </c>
      <c r="Q442" s="60" t="e">
        <f t="shared" si="65"/>
        <v>#DIV/0!</v>
      </c>
      <c r="R442" s="63" t="e">
        <f t="shared" si="66"/>
        <v>#DIV/0!</v>
      </c>
    </row>
    <row r="443" spans="1:18" x14ac:dyDescent="0.2">
      <c r="A443" s="57" t="s">
        <v>687</v>
      </c>
      <c r="B443" s="58" t="s">
        <v>688</v>
      </c>
      <c r="C443" s="58" t="s">
        <v>252</v>
      </c>
      <c r="D443" s="58" t="s">
        <v>784</v>
      </c>
      <c r="E443" s="59" t="s">
        <v>785</v>
      </c>
      <c r="F443" s="58" t="s">
        <v>489</v>
      </c>
      <c r="G443" s="58" t="s">
        <v>153</v>
      </c>
      <c r="H443" s="58" t="s">
        <v>11</v>
      </c>
      <c r="I443" s="58" t="s">
        <v>133</v>
      </c>
      <c r="J443" s="60">
        <v>69</v>
      </c>
      <c r="K443" s="60">
        <f t="shared" si="62"/>
        <v>54.117647058823529</v>
      </c>
      <c r="L443" s="61">
        <f>prodnorm36</f>
        <v>0</v>
      </c>
      <c r="M443" s="58" t="s">
        <v>41</v>
      </c>
      <c r="N443" s="62">
        <f>uurtarief36</f>
        <v>0</v>
      </c>
      <c r="O443" s="60" t="e">
        <f t="shared" si="63"/>
        <v>#DIV/0!</v>
      </c>
      <c r="P443" s="62" t="e">
        <f t="shared" si="64"/>
        <v>#DIV/0!</v>
      </c>
      <c r="Q443" s="60" t="e">
        <f t="shared" si="65"/>
        <v>#DIV/0!</v>
      </c>
      <c r="R443" s="63" t="e">
        <f t="shared" si="66"/>
        <v>#DIV/0!</v>
      </c>
    </row>
    <row r="444" spans="1:18" x14ac:dyDescent="0.2">
      <c r="A444" s="57" t="s">
        <v>687</v>
      </c>
      <c r="B444" s="58" t="s">
        <v>688</v>
      </c>
      <c r="C444" s="58" t="s">
        <v>252</v>
      </c>
      <c r="D444" s="58" t="s">
        <v>786</v>
      </c>
      <c r="E444" s="59" t="s">
        <v>787</v>
      </c>
      <c r="F444" s="58" t="s">
        <v>489</v>
      </c>
      <c r="G444" s="58" t="s">
        <v>153</v>
      </c>
      <c r="H444" s="58" t="s">
        <v>11</v>
      </c>
      <c r="I444" s="58" t="s">
        <v>133</v>
      </c>
      <c r="J444" s="60">
        <v>72</v>
      </c>
      <c r="K444" s="60">
        <f t="shared" si="62"/>
        <v>56.470588235294116</v>
      </c>
      <c r="L444" s="61">
        <f>prodnorm36</f>
        <v>0</v>
      </c>
      <c r="M444" s="58" t="s">
        <v>41</v>
      </c>
      <c r="N444" s="62">
        <f>uurtarief36</f>
        <v>0</v>
      </c>
      <c r="O444" s="60" t="e">
        <f t="shared" si="63"/>
        <v>#DIV/0!</v>
      </c>
      <c r="P444" s="62" t="e">
        <f t="shared" si="64"/>
        <v>#DIV/0!</v>
      </c>
      <c r="Q444" s="60" t="e">
        <f t="shared" si="65"/>
        <v>#DIV/0!</v>
      </c>
      <c r="R444" s="63" t="e">
        <f t="shared" si="66"/>
        <v>#DIV/0!</v>
      </c>
    </row>
    <row r="445" spans="1:18" x14ac:dyDescent="0.2">
      <c r="A445" s="57" t="s">
        <v>687</v>
      </c>
      <c r="B445" s="58" t="s">
        <v>688</v>
      </c>
      <c r="C445" s="58" t="s">
        <v>252</v>
      </c>
      <c r="D445" s="58" t="s">
        <v>788</v>
      </c>
      <c r="E445" s="59" t="s">
        <v>789</v>
      </c>
      <c r="F445" s="58" t="s">
        <v>489</v>
      </c>
      <c r="G445" s="58" t="s">
        <v>161</v>
      </c>
      <c r="H445" s="58" t="s">
        <v>11</v>
      </c>
      <c r="I445" s="58" t="s">
        <v>133</v>
      </c>
      <c r="J445" s="60">
        <v>38</v>
      </c>
      <c r="K445" s="60">
        <f t="shared" si="62"/>
        <v>29.803921568627452</v>
      </c>
      <c r="L445" s="61">
        <f>prodnorm40</f>
        <v>0</v>
      </c>
      <c r="M445" s="58" t="s">
        <v>41</v>
      </c>
      <c r="N445" s="62">
        <f>uurtarief40</f>
        <v>0</v>
      </c>
      <c r="O445" s="60" t="e">
        <f t="shared" si="63"/>
        <v>#DIV/0!</v>
      </c>
      <c r="P445" s="62" t="e">
        <f t="shared" si="64"/>
        <v>#DIV/0!</v>
      </c>
      <c r="Q445" s="60" t="e">
        <f t="shared" si="65"/>
        <v>#DIV/0!</v>
      </c>
      <c r="R445" s="63" t="e">
        <f t="shared" si="66"/>
        <v>#DIV/0!</v>
      </c>
    </row>
    <row r="446" spans="1:18" x14ac:dyDescent="0.2">
      <c r="A446" s="57" t="s">
        <v>687</v>
      </c>
      <c r="B446" s="58" t="s">
        <v>688</v>
      </c>
      <c r="C446" s="58" t="s">
        <v>252</v>
      </c>
      <c r="D446" s="58" t="s">
        <v>790</v>
      </c>
      <c r="E446" s="59" t="s">
        <v>727</v>
      </c>
      <c r="F446" s="58" t="s">
        <v>489</v>
      </c>
      <c r="G446" s="58" t="s">
        <v>173</v>
      </c>
      <c r="H446" s="58" t="s">
        <v>12</v>
      </c>
      <c r="I446" s="58" t="s">
        <v>174</v>
      </c>
      <c r="J446" s="60">
        <v>11</v>
      </c>
      <c r="K446" s="60">
        <f t="shared" si="62"/>
        <v>6.9019607843137258</v>
      </c>
      <c r="L446" s="61">
        <f>prodnorm21</f>
        <v>0</v>
      </c>
      <c r="M446" s="58" t="s">
        <v>41</v>
      </c>
      <c r="N446" s="62">
        <f>uurtarief21</f>
        <v>0</v>
      </c>
      <c r="O446" s="60" t="e">
        <f t="shared" si="63"/>
        <v>#DIV/0!</v>
      </c>
      <c r="P446" s="62" t="e">
        <f t="shared" si="64"/>
        <v>#DIV/0!</v>
      </c>
      <c r="Q446" s="60" t="e">
        <f t="shared" si="65"/>
        <v>#DIV/0!</v>
      </c>
      <c r="R446" s="63" t="e">
        <f t="shared" si="66"/>
        <v>#DIV/0!</v>
      </c>
    </row>
    <row r="447" spans="1:18" x14ac:dyDescent="0.2">
      <c r="A447" s="57" t="s">
        <v>687</v>
      </c>
      <c r="B447" s="58" t="s">
        <v>688</v>
      </c>
      <c r="C447" s="58" t="s">
        <v>252</v>
      </c>
      <c r="D447" s="58" t="s">
        <v>790</v>
      </c>
      <c r="E447" s="59" t="s">
        <v>727</v>
      </c>
      <c r="F447" s="58" t="s">
        <v>489</v>
      </c>
      <c r="G447" s="58" t="s">
        <v>135</v>
      </c>
      <c r="H447" s="58" t="s">
        <v>18</v>
      </c>
      <c r="I447" s="58" t="s">
        <v>133</v>
      </c>
      <c r="J447" s="60">
        <v>11</v>
      </c>
      <c r="K447" s="60">
        <f t="shared" si="62"/>
        <v>1.7254901960784315</v>
      </c>
      <c r="L447" s="61">
        <f>prodnorm24</f>
        <v>0</v>
      </c>
      <c r="M447" s="58" t="s">
        <v>41</v>
      </c>
      <c r="N447" s="62">
        <f>uurtarief24</f>
        <v>0</v>
      </c>
      <c r="O447" s="60" t="e">
        <f t="shared" si="63"/>
        <v>#DIV/0!</v>
      </c>
      <c r="P447" s="62" t="e">
        <f t="shared" si="64"/>
        <v>#DIV/0!</v>
      </c>
      <c r="Q447" s="60" t="e">
        <f t="shared" si="65"/>
        <v>#DIV/0!</v>
      </c>
      <c r="R447" s="63" t="e">
        <f t="shared" si="66"/>
        <v>#DIV/0!</v>
      </c>
    </row>
    <row r="448" spans="1:18" x14ac:dyDescent="0.2">
      <c r="A448" s="57" t="s">
        <v>687</v>
      </c>
      <c r="B448" s="58" t="s">
        <v>688</v>
      </c>
      <c r="C448" s="58" t="s">
        <v>252</v>
      </c>
      <c r="D448" s="58" t="s">
        <v>791</v>
      </c>
      <c r="E448" s="59" t="s">
        <v>792</v>
      </c>
      <c r="F448" s="58" t="s">
        <v>489</v>
      </c>
      <c r="G448" s="58" t="s">
        <v>135</v>
      </c>
      <c r="H448" s="58" t="s">
        <v>18</v>
      </c>
      <c r="I448" s="58" t="s">
        <v>133</v>
      </c>
      <c r="J448" s="60">
        <v>8</v>
      </c>
      <c r="K448" s="60">
        <f t="shared" si="62"/>
        <v>1.2549019607843137</v>
      </c>
      <c r="L448" s="61">
        <f>prodnorm24</f>
        <v>0</v>
      </c>
      <c r="M448" s="58" t="s">
        <v>41</v>
      </c>
      <c r="N448" s="62">
        <f>uurtarief24</f>
        <v>0</v>
      </c>
      <c r="O448" s="60" t="e">
        <f t="shared" si="63"/>
        <v>#DIV/0!</v>
      </c>
      <c r="P448" s="62" t="e">
        <f t="shared" si="64"/>
        <v>#DIV/0!</v>
      </c>
      <c r="Q448" s="60" t="e">
        <f t="shared" si="65"/>
        <v>#DIV/0!</v>
      </c>
      <c r="R448" s="63" t="e">
        <f t="shared" si="66"/>
        <v>#DIV/0!</v>
      </c>
    </row>
    <row r="449" spans="1:18" x14ac:dyDescent="0.2">
      <c r="A449" s="57" t="s">
        <v>687</v>
      </c>
      <c r="B449" s="58" t="s">
        <v>688</v>
      </c>
      <c r="C449" s="58" t="s">
        <v>252</v>
      </c>
      <c r="D449" s="58" t="s">
        <v>793</v>
      </c>
      <c r="E449" s="59" t="s">
        <v>787</v>
      </c>
      <c r="F449" s="58" t="s">
        <v>489</v>
      </c>
      <c r="G449" s="58" t="s">
        <v>161</v>
      </c>
      <c r="H449" s="58" t="s">
        <v>11</v>
      </c>
      <c r="I449" s="58" t="s">
        <v>133</v>
      </c>
      <c r="J449" s="60">
        <v>74</v>
      </c>
      <c r="K449" s="60">
        <f t="shared" si="62"/>
        <v>58.03921568627451</v>
      </c>
      <c r="L449" s="61">
        <f>prodnorm40</f>
        <v>0</v>
      </c>
      <c r="M449" s="58" t="s">
        <v>41</v>
      </c>
      <c r="N449" s="62">
        <f>uurtarief40</f>
        <v>0</v>
      </c>
      <c r="O449" s="60" t="e">
        <f t="shared" si="63"/>
        <v>#DIV/0!</v>
      </c>
      <c r="P449" s="62" t="e">
        <f t="shared" si="64"/>
        <v>#DIV/0!</v>
      </c>
      <c r="Q449" s="60" t="e">
        <f t="shared" si="65"/>
        <v>#DIV/0!</v>
      </c>
      <c r="R449" s="63" t="e">
        <f t="shared" si="66"/>
        <v>#DIV/0!</v>
      </c>
    </row>
    <row r="450" spans="1:18" x14ac:dyDescent="0.2">
      <c r="A450" s="57" t="s">
        <v>687</v>
      </c>
      <c r="B450" s="58" t="s">
        <v>688</v>
      </c>
      <c r="C450" s="58" t="s">
        <v>252</v>
      </c>
      <c r="D450" s="58" t="s">
        <v>794</v>
      </c>
      <c r="E450" s="59" t="s">
        <v>795</v>
      </c>
      <c r="F450" s="58" t="s">
        <v>497</v>
      </c>
      <c r="G450" s="58" t="s">
        <v>155</v>
      </c>
      <c r="H450" s="58" t="s">
        <v>11</v>
      </c>
      <c r="I450" s="58" t="s">
        <v>133</v>
      </c>
      <c r="J450" s="60">
        <v>162</v>
      </c>
      <c r="K450" s="60">
        <f t="shared" si="62"/>
        <v>127.05882352941177</v>
      </c>
      <c r="L450" s="61">
        <f>prodnorm37</f>
        <v>0</v>
      </c>
      <c r="M450" s="58" t="s">
        <v>41</v>
      </c>
      <c r="N450" s="62">
        <f>uurtarief37</f>
        <v>0</v>
      </c>
      <c r="O450" s="60" t="e">
        <f t="shared" si="63"/>
        <v>#DIV/0!</v>
      </c>
      <c r="P450" s="62" t="e">
        <f t="shared" si="64"/>
        <v>#DIV/0!</v>
      </c>
      <c r="Q450" s="60" t="e">
        <f t="shared" si="65"/>
        <v>#DIV/0!</v>
      </c>
      <c r="R450" s="63" t="e">
        <f t="shared" si="66"/>
        <v>#DIV/0!</v>
      </c>
    </row>
    <row r="451" spans="1:18" x14ac:dyDescent="0.2">
      <c r="A451" s="57" t="s">
        <v>687</v>
      </c>
      <c r="B451" s="58" t="s">
        <v>688</v>
      </c>
      <c r="C451" s="58" t="s">
        <v>252</v>
      </c>
      <c r="D451" s="58" t="s">
        <v>796</v>
      </c>
      <c r="E451" s="59" t="s">
        <v>750</v>
      </c>
      <c r="F451" s="58" t="s">
        <v>751</v>
      </c>
      <c r="G451" s="58" t="s">
        <v>153</v>
      </c>
      <c r="H451" s="58" t="s">
        <v>11</v>
      </c>
      <c r="I451" s="58" t="s">
        <v>133</v>
      </c>
      <c r="J451" s="60">
        <v>70</v>
      </c>
      <c r="K451" s="60">
        <f t="shared" si="62"/>
        <v>54.901960784313722</v>
      </c>
      <c r="L451" s="61">
        <f>prodnorm36</f>
        <v>0</v>
      </c>
      <c r="M451" s="58" t="s">
        <v>41</v>
      </c>
      <c r="N451" s="62">
        <f>uurtarief36</f>
        <v>0</v>
      </c>
      <c r="O451" s="60" t="e">
        <f t="shared" si="63"/>
        <v>#DIV/0!</v>
      </c>
      <c r="P451" s="62" t="e">
        <f t="shared" si="64"/>
        <v>#DIV/0!</v>
      </c>
      <c r="Q451" s="60" t="e">
        <f t="shared" si="65"/>
        <v>#DIV/0!</v>
      </c>
      <c r="R451" s="63" t="e">
        <f t="shared" si="66"/>
        <v>#DIV/0!</v>
      </c>
    </row>
    <row r="452" spans="1:18" x14ac:dyDescent="0.2">
      <c r="A452" s="57" t="s">
        <v>687</v>
      </c>
      <c r="B452" s="58" t="s">
        <v>688</v>
      </c>
      <c r="C452" s="58" t="s">
        <v>252</v>
      </c>
      <c r="D452" s="58" t="s">
        <v>797</v>
      </c>
      <c r="E452" s="59" t="s">
        <v>488</v>
      </c>
      <c r="F452" s="58" t="s">
        <v>489</v>
      </c>
      <c r="G452" s="58" t="s">
        <v>173</v>
      </c>
      <c r="H452" s="58" t="s">
        <v>12</v>
      </c>
      <c r="I452" s="58" t="s">
        <v>174</v>
      </c>
      <c r="J452" s="60">
        <v>17</v>
      </c>
      <c r="K452" s="60">
        <f t="shared" si="62"/>
        <v>10.666666666666666</v>
      </c>
      <c r="L452" s="61">
        <f>prodnorm21</f>
        <v>0</v>
      </c>
      <c r="M452" s="58" t="s">
        <v>41</v>
      </c>
      <c r="N452" s="62">
        <f>uurtarief21</f>
        <v>0</v>
      </c>
      <c r="O452" s="60" t="e">
        <f t="shared" si="63"/>
        <v>#DIV/0!</v>
      </c>
      <c r="P452" s="62" t="e">
        <f t="shared" si="64"/>
        <v>#DIV/0!</v>
      </c>
      <c r="Q452" s="60" t="e">
        <f t="shared" si="65"/>
        <v>#DIV/0!</v>
      </c>
      <c r="R452" s="63" t="e">
        <f t="shared" si="66"/>
        <v>#DIV/0!</v>
      </c>
    </row>
    <row r="453" spans="1:18" x14ac:dyDescent="0.2">
      <c r="A453" s="57" t="s">
        <v>687</v>
      </c>
      <c r="B453" s="58" t="s">
        <v>688</v>
      </c>
      <c r="C453" s="58" t="s">
        <v>252</v>
      </c>
      <c r="D453" s="58" t="s">
        <v>797</v>
      </c>
      <c r="E453" s="59" t="s">
        <v>488</v>
      </c>
      <c r="F453" s="58" t="s">
        <v>489</v>
      </c>
      <c r="G453" s="58" t="s">
        <v>135</v>
      </c>
      <c r="H453" s="58" t="s">
        <v>18</v>
      </c>
      <c r="I453" s="58" t="s">
        <v>133</v>
      </c>
      <c r="J453" s="60">
        <v>17</v>
      </c>
      <c r="K453" s="60">
        <f t="shared" si="62"/>
        <v>2.6666666666666665</v>
      </c>
      <c r="L453" s="61">
        <f>prodnorm24</f>
        <v>0</v>
      </c>
      <c r="M453" s="58" t="s">
        <v>41</v>
      </c>
      <c r="N453" s="62">
        <f>uurtarief24</f>
        <v>0</v>
      </c>
      <c r="O453" s="60" t="e">
        <f t="shared" si="63"/>
        <v>#DIV/0!</v>
      </c>
      <c r="P453" s="62" t="e">
        <f t="shared" si="64"/>
        <v>#DIV/0!</v>
      </c>
      <c r="Q453" s="60" t="e">
        <f t="shared" si="65"/>
        <v>#DIV/0!</v>
      </c>
      <c r="R453" s="63" t="e">
        <f t="shared" si="66"/>
        <v>#DIV/0!</v>
      </c>
    </row>
    <row r="454" spans="1:18" x14ac:dyDescent="0.2">
      <c r="A454" s="57" t="s">
        <v>687</v>
      </c>
      <c r="B454" s="58" t="s">
        <v>688</v>
      </c>
      <c r="C454" s="58" t="s">
        <v>252</v>
      </c>
      <c r="D454" s="58" t="s">
        <v>798</v>
      </c>
      <c r="E454" s="59" t="s">
        <v>488</v>
      </c>
      <c r="F454" s="58" t="s">
        <v>489</v>
      </c>
      <c r="G454" s="58" t="s">
        <v>173</v>
      </c>
      <c r="H454" s="58" t="s">
        <v>12</v>
      </c>
      <c r="I454" s="58" t="s">
        <v>174</v>
      </c>
      <c r="J454" s="60">
        <v>17</v>
      </c>
      <c r="K454" s="60">
        <f t="shared" si="62"/>
        <v>10.666666666666666</v>
      </c>
      <c r="L454" s="61">
        <f>prodnorm21</f>
        <v>0</v>
      </c>
      <c r="M454" s="58" t="s">
        <v>41</v>
      </c>
      <c r="N454" s="62">
        <f>uurtarief21</f>
        <v>0</v>
      </c>
      <c r="O454" s="60" t="e">
        <f t="shared" si="63"/>
        <v>#DIV/0!</v>
      </c>
      <c r="P454" s="62" t="e">
        <f t="shared" si="64"/>
        <v>#DIV/0!</v>
      </c>
      <c r="Q454" s="60" t="e">
        <f t="shared" si="65"/>
        <v>#DIV/0!</v>
      </c>
      <c r="R454" s="63" t="e">
        <f t="shared" si="66"/>
        <v>#DIV/0!</v>
      </c>
    </row>
    <row r="455" spans="1:18" x14ac:dyDescent="0.2">
      <c r="A455" s="57" t="s">
        <v>687</v>
      </c>
      <c r="B455" s="58" t="s">
        <v>688</v>
      </c>
      <c r="C455" s="58" t="s">
        <v>252</v>
      </c>
      <c r="D455" s="58" t="s">
        <v>798</v>
      </c>
      <c r="E455" s="59" t="s">
        <v>488</v>
      </c>
      <c r="F455" s="58" t="s">
        <v>489</v>
      </c>
      <c r="G455" s="58" t="s">
        <v>135</v>
      </c>
      <c r="H455" s="58" t="s">
        <v>18</v>
      </c>
      <c r="I455" s="58" t="s">
        <v>133</v>
      </c>
      <c r="J455" s="60">
        <v>17</v>
      </c>
      <c r="K455" s="60">
        <f t="shared" si="62"/>
        <v>2.6666666666666665</v>
      </c>
      <c r="L455" s="61">
        <f>prodnorm24</f>
        <v>0</v>
      </c>
      <c r="M455" s="58" t="s">
        <v>41</v>
      </c>
      <c r="N455" s="62">
        <f>uurtarief24</f>
        <v>0</v>
      </c>
      <c r="O455" s="60" t="e">
        <f t="shared" si="63"/>
        <v>#DIV/0!</v>
      </c>
      <c r="P455" s="62" t="e">
        <f t="shared" si="64"/>
        <v>#DIV/0!</v>
      </c>
      <c r="Q455" s="60" t="e">
        <f t="shared" si="65"/>
        <v>#DIV/0!</v>
      </c>
      <c r="R455" s="63" t="e">
        <f t="shared" si="66"/>
        <v>#DIV/0!</v>
      </c>
    </row>
    <row r="456" spans="1:18" x14ac:dyDescent="0.2">
      <c r="A456" s="57" t="s">
        <v>687</v>
      </c>
      <c r="B456" s="58" t="s">
        <v>688</v>
      </c>
      <c r="C456" s="58" t="s">
        <v>252</v>
      </c>
      <c r="D456" s="58" t="s">
        <v>799</v>
      </c>
      <c r="E456" s="59" t="s">
        <v>488</v>
      </c>
      <c r="F456" s="58" t="s">
        <v>489</v>
      </c>
      <c r="G456" s="58" t="s">
        <v>173</v>
      </c>
      <c r="H456" s="58" t="s">
        <v>12</v>
      </c>
      <c r="I456" s="58" t="s">
        <v>174</v>
      </c>
      <c r="J456" s="60">
        <v>41</v>
      </c>
      <c r="K456" s="60">
        <f t="shared" si="62"/>
        <v>25.725490196078432</v>
      </c>
      <c r="L456" s="61">
        <f>prodnorm21</f>
        <v>0</v>
      </c>
      <c r="M456" s="58" t="s">
        <v>41</v>
      </c>
      <c r="N456" s="62">
        <f>uurtarief21</f>
        <v>0</v>
      </c>
      <c r="O456" s="60" t="e">
        <f t="shared" si="63"/>
        <v>#DIV/0!</v>
      </c>
      <c r="P456" s="62" t="e">
        <f t="shared" si="64"/>
        <v>#DIV/0!</v>
      </c>
      <c r="Q456" s="60" t="e">
        <f t="shared" si="65"/>
        <v>#DIV/0!</v>
      </c>
      <c r="R456" s="63" t="e">
        <f t="shared" si="66"/>
        <v>#DIV/0!</v>
      </c>
    </row>
    <row r="457" spans="1:18" x14ac:dyDescent="0.2">
      <c r="A457" s="57" t="s">
        <v>687</v>
      </c>
      <c r="B457" s="58" t="s">
        <v>688</v>
      </c>
      <c r="C457" s="58" t="s">
        <v>252</v>
      </c>
      <c r="D457" s="58" t="s">
        <v>799</v>
      </c>
      <c r="E457" s="59" t="s">
        <v>488</v>
      </c>
      <c r="F457" s="58" t="s">
        <v>489</v>
      </c>
      <c r="G457" s="58" t="s">
        <v>135</v>
      </c>
      <c r="H457" s="58" t="s">
        <v>18</v>
      </c>
      <c r="I457" s="58" t="s">
        <v>133</v>
      </c>
      <c r="J457" s="60">
        <v>41</v>
      </c>
      <c r="K457" s="60">
        <f t="shared" si="62"/>
        <v>6.4313725490196081</v>
      </c>
      <c r="L457" s="61">
        <f>prodnorm24</f>
        <v>0</v>
      </c>
      <c r="M457" s="58" t="s">
        <v>41</v>
      </c>
      <c r="N457" s="62">
        <f>uurtarief24</f>
        <v>0</v>
      </c>
      <c r="O457" s="60" t="e">
        <f t="shared" si="63"/>
        <v>#DIV/0!</v>
      </c>
      <c r="P457" s="62" t="e">
        <f t="shared" si="64"/>
        <v>#DIV/0!</v>
      </c>
      <c r="Q457" s="60" t="e">
        <f t="shared" si="65"/>
        <v>#DIV/0!</v>
      </c>
      <c r="R457" s="63" t="e">
        <f t="shared" si="66"/>
        <v>#DIV/0!</v>
      </c>
    </row>
    <row r="458" spans="1:18" x14ac:dyDescent="0.2">
      <c r="A458" s="57" t="s">
        <v>687</v>
      </c>
      <c r="B458" s="58" t="s">
        <v>688</v>
      </c>
      <c r="C458" s="58" t="s">
        <v>252</v>
      </c>
      <c r="D458" s="58" t="s">
        <v>800</v>
      </c>
      <c r="E458" s="59" t="s">
        <v>801</v>
      </c>
      <c r="F458" s="58" t="s">
        <v>489</v>
      </c>
      <c r="G458" s="58" t="s">
        <v>153</v>
      </c>
      <c r="H458" s="58" t="s">
        <v>11</v>
      </c>
      <c r="I458" s="58" t="s">
        <v>133</v>
      </c>
      <c r="J458" s="60">
        <v>14</v>
      </c>
      <c r="K458" s="60">
        <f t="shared" si="62"/>
        <v>10.980392156862745</v>
      </c>
      <c r="L458" s="61">
        <f>prodnorm36</f>
        <v>0</v>
      </c>
      <c r="M458" s="58" t="s">
        <v>41</v>
      </c>
      <c r="N458" s="62">
        <f>uurtarief36</f>
        <v>0</v>
      </c>
      <c r="O458" s="60" t="e">
        <f t="shared" si="63"/>
        <v>#DIV/0!</v>
      </c>
      <c r="P458" s="62" t="e">
        <f t="shared" si="64"/>
        <v>#DIV/0!</v>
      </c>
      <c r="Q458" s="60" t="e">
        <f t="shared" si="65"/>
        <v>#DIV/0!</v>
      </c>
      <c r="R458" s="63" t="e">
        <f t="shared" si="66"/>
        <v>#DIV/0!</v>
      </c>
    </row>
    <row r="459" spans="1:18" x14ac:dyDescent="0.2">
      <c r="A459" s="57" t="s">
        <v>687</v>
      </c>
      <c r="B459" s="58" t="s">
        <v>688</v>
      </c>
      <c r="C459" s="58" t="s">
        <v>252</v>
      </c>
      <c r="D459" s="58" t="s">
        <v>802</v>
      </c>
      <c r="E459" s="59" t="s">
        <v>801</v>
      </c>
      <c r="F459" s="58" t="s">
        <v>489</v>
      </c>
      <c r="G459" s="58" t="s">
        <v>153</v>
      </c>
      <c r="H459" s="58" t="s">
        <v>11</v>
      </c>
      <c r="I459" s="58" t="s">
        <v>133</v>
      </c>
      <c r="J459" s="60">
        <v>15</v>
      </c>
      <c r="K459" s="60">
        <f t="shared" si="62"/>
        <v>11.76470588235294</v>
      </c>
      <c r="L459" s="61">
        <f>prodnorm36</f>
        <v>0</v>
      </c>
      <c r="M459" s="58" t="s">
        <v>41</v>
      </c>
      <c r="N459" s="62">
        <f>uurtarief36</f>
        <v>0</v>
      </c>
      <c r="O459" s="60" t="e">
        <f t="shared" si="63"/>
        <v>#DIV/0!</v>
      </c>
      <c r="P459" s="62" t="e">
        <f t="shared" si="64"/>
        <v>#DIV/0!</v>
      </c>
      <c r="Q459" s="60" t="e">
        <f t="shared" si="65"/>
        <v>#DIV/0!</v>
      </c>
      <c r="R459" s="63" t="e">
        <f t="shared" si="66"/>
        <v>#DIV/0!</v>
      </c>
    </row>
    <row r="460" spans="1:18" x14ac:dyDescent="0.2">
      <c r="A460" s="57" t="s">
        <v>687</v>
      </c>
      <c r="B460" s="58" t="s">
        <v>688</v>
      </c>
      <c r="C460" s="58" t="s">
        <v>252</v>
      </c>
      <c r="D460" s="58" t="s">
        <v>803</v>
      </c>
      <c r="E460" s="59" t="s">
        <v>801</v>
      </c>
      <c r="F460" s="58" t="s">
        <v>489</v>
      </c>
      <c r="G460" s="58" t="s">
        <v>153</v>
      </c>
      <c r="H460" s="58" t="s">
        <v>11</v>
      </c>
      <c r="I460" s="58" t="s">
        <v>133</v>
      </c>
      <c r="J460" s="60">
        <v>17</v>
      </c>
      <c r="K460" s="60">
        <f t="shared" si="62"/>
        <v>13.333333333333334</v>
      </c>
      <c r="L460" s="61">
        <f>prodnorm36</f>
        <v>0</v>
      </c>
      <c r="M460" s="58" t="s">
        <v>41</v>
      </c>
      <c r="N460" s="62">
        <f>uurtarief36</f>
        <v>0</v>
      </c>
      <c r="O460" s="60" t="e">
        <f t="shared" si="63"/>
        <v>#DIV/0!</v>
      </c>
      <c r="P460" s="62" t="e">
        <f t="shared" si="64"/>
        <v>#DIV/0!</v>
      </c>
      <c r="Q460" s="60" t="e">
        <f t="shared" si="65"/>
        <v>#DIV/0!</v>
      </c>
      <c r="R460" s="63" t="e">
        <f t="shared" si="66"/>
        <v>#DIV/0!</v>
      </c>
    </row>
    <row r="461" spans="1:18" x14ac:dyDescent="0.2">
      <c r="A461" s="57" t="s">
        <v>687</v>
      </c>
      <c r="B461" s="58" t="s">
        <v>688</v>
      </c>
      <c r="C461" s="58" t="s">
        <v>252</v>
      </c>
      <c r="D461" s="58" t="s">
        <v>804</v>
      </c>
      <c r="E461" s="59" t="s">
        <v>805</v>
      </c>
      <c r="F461" s="58" t="s">
        <v>489</v>
      </c>
      <c r="G461" s="58" t="s">
        <v>153</v>
      </c>
      <c r="H461" s="58" t="s">
        <v>11</v>
      </c>
      <c r="I461" s="58" t="s">
        <v>133</v>
      </c>
      <c r="J461" s="60">
        <v>10</v>
      </c>
      <c r="K461" s="60">
        <f t="shared" si="62"/>
        <v>7.8431372549019605</v>
      </c>
      <c r="L461" s="61">
        <f>prodnorm36</f>
        <v>0</v>
      </c>
      <c r="M461" s="58" t="s">
        <v>41</v>
      </c>
      <c r="N461" s="62">
        <f>uurtarief36</f>
        <v>0</v>
      </c>
      <c r="O461" s="60" t="e">
        <f t="shared" si="63"/>
        <v>#DIV/0!</v>
      </c>
      <c r="P461" s="62" t="e">
        <f t="shared" si="64"/>
        <v>#DIV/0!</v>
      </c>
      <c r="Q461" s="60" t="e">
        <f t="shared" si="65"/>
        <v>#DIV/0!</v>
      </c>
      <c r="R461" s="63" t="e">
        <f t="shared" si="66"/>
        <v>#DIV/0!</v>
      </c>
    </row>
    <row r="462" spans="1:18" x14ac:dyDescent="0.2">
      <c r="A462" s="57" t="s">
        <v>687</v>
      </c>
      <c r="B462" s="58" t="s">
        <v>688</v>
      </c>
      <c r="C462" s="58" t="s">
        <v>252</v>
      </c>
      <c r="D462" s="58" t="s">
        <v>806</v>
      </c>
      <c r="E462" s="59" t="s">
        <v>207</v>
      </c>
      <c r="F462" s="58" t="s">
        <v>489</v>
      </c>
      <c r="G462" s="58" t="s">
        <v>171</v>
      </c>
      <c r="H462" s="58" t="s">
        <v>11</v>
      </c>
      <c r="I462" s="58" t="s">
        <v>133</v>
      </c>
      <c r="J462" s="60">
        <v>140</v>
      </c>
      <c r="K462" s="60">
        <f t="shared" si="62"/>
        <v>109.80392156862744</v>
      </c>
      <c r="L462" s="61">
        <f>prodnorm45</f>
        <v>0</v>
      </c>
      <c r="M462" s="58" t="s">
        <v>41</v>
      </c>
      <c r="N462" s="62">
        <f>uurtarief45</f>
        <v>0</v>
      </c>
      <c r="O462" s="60" t="e">
        <f t="shared" si="63"/>
        <v>#DIV/0!</v>
      </c>
      <c r="P462" s="62" t="e">
        <f t="shared" si="64"/>
        <v>#DIV/0!</v>
      </c>
      <c r="Q462" s="60" t="e">
        <f t="shared" si="65"/>
        <v>#DIV/0!</v>
      </c>
      <c r="R462" s="63" t="e">
        <f t="shared" si="66"/>
        <v>#DIV/0!</v>
      </c>
    </row>
    <row r="463" spans="1:18" x14ac:dyDescent="0.2">
      <c r="A463" s="57" t="s">
        <v>687</v>
      </c>
      <c r="B463" s="58" t="s">
        <v>688</v>
      </c>
      <c r="C463" s="58" t="s">
        <v>252</v>
      </c>
      <c r="D463" s="58" t="s">
        <v>807</v>
      </c>
      <c r="E463" s="59" t="s">
        <v>808</v>
      </c>
      <c r="F463" s="58" t="s">
        <v>489</v>
      </c>
      <c r="G463" s="58" t="s">
        <v>157</v>
      </c>
      <c r="H463" s="58" t="s">
        <v>11</v>
      </c>
      <c r="I463" s="58" t="s">
        <v>133</v>
      </c>
      <c r="J463" s="60">
        <v>77</v>
      </c>
      <c r="K463" s="60">
        <f t="shared" si="62"/>
        <v>60.392156862745097</v>
      </c>
      <c r="L463" s="61">
        <f>prodnorm38</f>
        <v>0</v>
      </c>
      <c r="M463" s="58" t="s">
        <v>41</v>
      </c>
      <c r="N463" s="62">
        <f>uurtarief38</f>
        <v>0</v>
      </c>
      <c r="O463" s="60" t="e">
        <f t="shared" si="63"/>
        <v>#DIV/0!</v>
      </c>
      <c r="P463" s="62" t="e">
        <f t="shared" si="64"/>
        <v>#DIV/0!</v>
      </c>
      <c r="Q463" s="60" t="e">
        <f t="shared" si="65"/>
        <v>#DIV/0!</v>
      </c>
      <c r="R463" s="63" t="e">
        <f t="shared" si="66"/>
        <v>#DIV/0!</v>
      </c>
    </row>
    <row r="464" spans="1:18" x14ac:dyDescent="0.2">
      <c r="A464" s="57" t="s">
        <v>687</v>
      </c>
      <c r="B464" s="58" t="s">
        <v>688</v>
      </c>
      <c r="C464" s="58" t="s">
        <v>252</v>
      </c>
      <c r="D464" s="58" t="s">
        <v>809</v>
      </c>
      <c r="E464" s="59" t="s">
        <v>701</v>
      </c>
      <c r="F464" s="58" t="s">
        <v>489</v>
      </c>
      <c r="G464" s="58" t="s">
        <v>169</v>
      </c>
      <c r="H464" s="58" t="s">
        <v>11</v>
      </c>
      <c r="I464" s="58" t="s">
        <v>133</v>
      </c>
      <c r="J464" s="60">
        <v>26</v>
      </c>
      <c r="K464" s="60">
        <f t="shared" si="62"/>
        <v>20.392156862745097</v>
      </c>
      <c r="L464" s="61">
        <f>prodnorm44</f>
        <v>0</v>
      </c>
      <c r="M464" s="58" t="s">
        <v>41</v>
      </c>
      <c r="N464" s="62">
        <f>uurtarief44</f>
        <v>0</v>
      </c>
      <c r="O464" s="60" t="e">
        <f t="shared" si="63"/>
        <v>#DIV/0!</v>
      </c>
      <c r="P464" s="62" t="e">
        <f t="shared" si="64"/>
        <v>#DIV/0!</v>
      </c>
      <c r="Q464" s="60" t="e">
        <f t="shared" si="65"/>
        <v>#DIV/0!</v>
      </c>
      <c r="R464" s="63" t="e">
        <f t="shared" si="66"/>
        <v>#DIV/0!</v>
      </c>
    </row>
    <row r="465" spans="1:18" x14ac:dyDescent="0.2">
      <c r="A465" s="57" t="s">
        <v>687</v>
      </c>
      <c r="B465" s="58" t="s">
        <v>688</v>
      </c>
      <c r="C465" s="58" t="s">
        <v>252</v>
      </c>
      <c r="D465" s="58" t="s">
        <v>810</v>
      </c>
      <c r="E465" s="59" t="s">
        <v>703</v>
      </c>
      <c r="F465" s="58" t="s">
        <v>489</v>
      </c>
      <c r="G465" s="58" t="s">
        <v>167</v>
      </c>
      <c r="H465" s="58" t="s">
        <v>11</v>
      </c>
      <c r="I465" s="58" t="s">
        <v>133</v>
      </c>
      <c r="J465" s="60">
        <v>13</v>
      </c>
      <c r="K465" s="60">
        <f t="shared" si="62"/>
        <v>10.196078431372548</v>
      </c>
      <c r="L465" s="61">
        <f>prodnorm43</f>
        <v>0</v>
      </c>
      <c r="M465" s="58" t="s">
        <v>41</v>
      </c>
      <c r="N465" s="62">
        <f>uurtarief43</f>
        <v>0</v>
      </c>
      <c r="O465" s="60" t="e">
        <f t="shared" si="63"/>
        <v>#DIV/0!</v>
      </c>
      <c r="P465" s="62" t="e">
        <f t="shared" si="64"/>
        <v>#DIV/0!</v>
      </c>
      <c r="Q465" s="60" t="e">
        <f t="shared" si="65"/>
        <v>#DIV/0!</v>
      </c>
      <c r="R465" s="63" t="e">
        <f t="shared" si="66"/>
        <v>#DIV/0!</v>
      </c>
    </row>
    <row r="466" spans="1:18" x14ac:dyDescent="0.2">
      <c r="A466" s="57" t="s">
        <v>687</v>
      </c>
      <c r="B466" s="58" t="s">
        <v>688</v>
      </c>
      <c r="C466" s="58" t="s">
        <v>252</v>
      </c>
      <c r="D466" s="58" t="s">
        <v>811</v>
      </c>
      <c r="E466" s="59" t="s">
        <v>703</v>
      </c>
      <c r="F466" s="58" t="s">
        <v>489</v>
      </c>
      <c r="G466" s="58" t="s">
        <v>167</v>
      </c>
      <c r="H466" s="58" t="s">
        <v>11</v>
      </c>
      <c r="I466" s="58" t="s">
        <v>133</v>
      </c>
      <c r="J466" s="60">
        <v>14</v>
      </c>
      <c r="K466" s="60">
        <f t="shared" si="62"/>
        <v>10.980392156862745</v>
      </c>
      <c r="L466" s="61">
        <f>prodnorm43</f>
        <v>0</v>
      </c>
      <c r="M466" s="58" t="s">
        <v>41</v>
      </c>
      <c r="N466" s="62">
        <f>uurtarief43</f>
        <v>0</v>
      </c>
      <c r="O466" s="60" t="e">
        <f t="shared" si="63"/>
        <v>#DIV/0!</v>
      </c>
      <c r="P466" s="62" t="e">
        <f t="shared" si="64"/>
        <v>#DIV/0!</v>
      </c>
      <c r="Q466" s="60" t="e">
        <f t="shared" si="65"/>
        <v>#DIV/0!</v>
      </c>
      <c r="R466" s="63" t="e">
        <f t="shared" si="66"/>
        <v>#DIV/0!</v>
      </c>
    </row>
    <row r="467" spans="1:18" x14ac:dyDescent="0.2">
      <c r="A467" s="57" t="s">
        <v>687</v>
      </c>
      <c r="B467" s="58" t="s">
        <v>688</v>
      </c>
      <c r="C467" s="58" t="s">
        <v>252</v>
      </c>
      <c r="D467" s="58" t="s">
        <v>812</v>
      </c>
      <c r="E467" s="59" t="s">
        <v>709</v>
      </c>
      <c r="F467" s="58" t="s">
        <v>489</v>
      </c>
      <c r="G467" s="58" t="s">
        <v>167</v>
      </c>
      <c r="H467" s="58" t="s">
        <v>11</v>
      </c>
      <c r="I467" s="58" t="s">
        <v>133</v>
      </c>
      <c r="J467" s="60">
        <v>7</v>
      </c>
      <c r="K467" s="60">
        <f t="shared" si="62"/>
        <v>5.4901960784313726</v>
      </c>
      <c r="L467" s="61">
        <f>prodnorm43</f>
        <v>0</v>
      </c>
      <c r="M467" s="58" t="s">
        <v>41</v>
      </c>
      <c r="N467" s="62">
        <f>uurtarief43</f>
        <v>0</v>
      </c>
      <c r="O467" s="60" t="e">
        <f t="shared" si="63"/>
        <v>#DIV/0!</v>
      </c>
      <c r="P467" s="62" t="e">
        <f t="shared" si="64"/>
        <v>#DIV/0!</v>
      </c>
      <c r="Q467" s="60" t="e">
        <f t="shared" si="65"/>
        <v>#DIV/0!</v>
      </c>
      <c r="R467" s="63" t="e">
        <f t="shared" si="66"/>
        <v>#DIV/0!</v>
      </c>
    </row>
    <row r="468" spans="1:18" x14ac:dyDescent="0.2">
      <c r="A468" s="57" t="s">
        <v>687</v>
      </c>
      <c r="B468" s="58" t="s">
        <v>688</v>
      </c>
      <c r="C468" s="58" t="s">
        <v>252</v>
      </c>
      <c r="D468" s="58" t="s">
        <v>813</v>
      </c>
      <c r="E468" s="59" t="s">
        <v>706</v>
      </c>
      <c r="F468" s="58" t="s">
        <v>489</v>
      </c>
      <c r="G468" s="58" t="s">
        <v>169</v>
      </c>
      <c r="H468" s="58" t="s">
        <v>11</v>
      </c>
      <c r="I468" s="58" t="s">
        <v>133</v>
      </c>
      <c r="J468" s="60">
        <v>25</v>
      </c>
      <c r="K468" s="60">
        <f t="shared" ref="K468:K499" si="67">J468*VLOOKUP(H468,dagsoorttabel1,2,FALSE)</f>
        <v>19.607843137254903</v>
      </c>
      <c r="L468" s="61">
        <f>prodnorm44</f>
        <v>0</v>
      </c>
      <c r="M468" s="58" t="s">
        <v>41</v>
      </c>
      <c r="N468" s="62">
        <f>uurtarief44</f>
        <v>0</v>
      </c>
      <c r="O468" s="60" t="e">
        <f t="shared" ref="O468:O499" si="68">IF(ISBLANK(L468),0,K468/ROUND(L468,4))</f>
        <v>#DIV/0!</v>
      </c>
      <c r="P468" s="62" t="e">
        <f t="shared" ref="P468:P499" si="69">ROUND(N468,2)*O468</f>
        <v>#DIV/0!</v>
      </c>
      <c r="Q468" s="60" t="e">
        <f t="shared" ref="Q468:Q499" si="70">O468*dagenperjaar1</f>
        <v>#DIV/0!</v>
      </c>
      <c r="R468" s="63" t="e">
        <f t="shared" ref="R468:R499" si="71">Q468*ROUND(N468,2)</f>
        <v>#DIV/0!</v>
      </c>
    </row>
    <row r="469" spans="1:18" x14ac:dyDescent="0.2">
      <c r="A469" s="57" t="s">
        <v>687</v>
      </c>
      <c r="B469" s="58" t="s">
        <v>688</v>
      </c>
      <c r="C469" s="58" t="s">
        <v>252</v>
      </c>
      <c r="D469" s="58" t="s">
        <v>814</v>
      </c>
      <c r="E469" s="59" t="s">
        <v>703</v>
      </c>
      <c r="F469" s="58" t="s">
        <v>489</v>
      </c>
      <c r="G469" s="58" t="s">
        <v>167</v>
      </c>
      <c r="H469" s="58" t="s">
        <v>11</v>
      </c>
      <c r="I469" s="58" t="s">
        <v>133</v>
      </c>
      <c r="J469" s="60">
        <v>9</v>
      </c>
      <c r="K469" s="60">
        <f t="shared" si="67"/>
        <v>7.0588235294117645</v>
      </c>
      <c r="L469" s="61">
        <f>prodnorm43</f>
        <v>0</v>
      </c>
      <c r="M469" s="58" t="s">
        <v>41</v>
      </c>
      <c r="N469" s="62">
        <f>uurtarief43</f>
        <v>0</v>
      </c>
      <c r="O469" s="60" t="e">
        <f t="shared" si="68"/>
        <v>#DIV/0!</v>
      </c>
      <c r="P469" s="62" t="e">
        <f t="shared" si="69"/>
        <v>#DIV/0!</v>
      </c>
      <c r="Q469" s="60" t="e">
        <f t="shared" si="70"/>
        <v>#DIV/0!</v>
      </c>
      <c r="R469" s="63" t="e">
        <f t="shared" si="71"/>
        <v>#DIV/0!</v>
      </c>
    </row>
    <row r="470" spans="1:18" x14ac:dyDescent="0.2">
      <c r="A470" s="57" t="s">
        <v>687</v>
      </c>
      <c r="B470" s="58" t="s">
        <v>688</v>
      </c>
      <c r="C470" s="58" t="s">
        <v>252</v>
      </c>
      <c r="D470" s="58" t="s">
        <v>815</v>
      </c>
      <c r="E470" s="59" t="s">
        <v>703</v>
      </c>
      <c r="F470" s="58" t="s">
        <v>489</v>
      </c>
      <c r="G470" s="58" t="s">
        <v>167</v>
      </c>
      <c r="H470" s="58" t="s">
        <v>11</v>
      </c>
      <c r="I470" s="58" t="s">
        <v>133</v>
      </c>
      <c r="J470" s="60">
        <v>12</v>
      </c>
      <c r="K470" s="60">
        <f t="shared" si="67"/>
        <v>9.4117647058823533</v>
      </c>
      <c r="L470" s="61">
        <f>prodnorm43</f>
        <v>0</v>
      </c>
      <c r="M470" s="58" t="s">
        <v>41</v>
      </c>
      <c r="N470" s="62">
        <f>uurtarief43</f>
        <v>0</v>
      </c>
      <c r="O470" s="60" t="e">
        <f t="shared" si="68"/>
        <v>#DIV/0!</v>
      </c>
      <c r="P470" s="62" t="e">
        <f t="shared" si="69"/>
        <v>#DIV/0!</v>
      </c>
      <c r="Q470" s="60" t="e">
        <f t="shared" si="70"/>
        <v>#DIV/0!</v>
      </c>
      <c r="R470" s="63" t="e">
        <f t="shared" si="71"/>
        <v>#DIV/0!</v>
      </c>
    </row>
    <row r="471" spans="1:18" x14ac:dyDescent="0.2">
      <c r="A471" s="57" t="s">
        <v>687</v>
      </c>
      <c r="B471" s="58" t="s">
        <v>688</v>
      </c>
      <c r="C471" s="58" t="s">
        <v>299</v>
      </c>
      <c r="D471" s="58" t="s">
        <v>816</v>
      </c>
      <c r="E471" s="59" t="s">
        <v>750</v>
      </c>
      <c r="F471" s="58" t="s">
        <v>489</v>
      </c>
      <c r="G471" s="58" t="s">
        <v>153</v>
      </c>
      <c r="H471" s="58" t="s">
        <v>11</v>
      </c>
      <c r="I471" s="58" t="s">
        <v>133</v>
      </c>
      <c r="J471" s="60">
        <v>51</v>
      </c>
      <c r="K471" s="60">
        <f t="shared" si="67"/>
        <v>40</v>
      </c>
      <c r="L471" s="61">
        <f>prodnorm36</f>
        <v>0</v>
      </c>
      <c r="M471" s="58" t="s">
        <v>41</v>
      </c>
      <c r="N471" s="62">
        <f>uurtarief36</f>
        <v>0</v>
      </c>
      <c r="O471" s="60" t="e">
        <f t="shared" si="68"/>
        <v>#DIV/0!</v>
      </c>
      <c r="P471" s="62" t="e">
        <f t="shared" si="69"/>
        <v>#DIV/0!</v>
      </c>
      <c r="Q471" s="60" t="e">
        <f t="shared" si="70"/>
        <v>#DIV/0!</v>
      </c>
      <c r="R471" s="63" t="e">
        <f t="shared" si="71"/>
        <v>#DIV/0!</v>
      </c>
    </row>
    <row r="472" spans="1:18" x14ac:dyDescent="0.2">
      <c r="A472" s="57" t="s">
        <v>687</v>
      </c>
      <c r="B472" s="58" t="s">
        <v>688</v>
      </c>
      <c r="C472" s="58" t="s">
        <v>299</v>
      </c>
      <c r="D472" s="58" t="s">
        <v>817</v>
      </c>
      <c r="E472" s="59" t="s">
        <v>727</v>
      </c>
      <c r="F472" s="58" t="s">
        <v>489</v>
      </c>
      <c r="G472" s="58" t="s">
        <v>173</v>
      </c>
      <c r="H472" s="58" t="s">
        <v>12</v>
      </c>
      <c r="I472" s="58" t="s">
        <v>174</v>
      </c>
      <c r="J472" s="60">
        <v>19</v>
      </c>
      <c r="K472" s="60">
        <f t="shared" si="67"/>
        <v>11.921568627450981</v>
      </c>
      <c r="L472" s="61">
        <f>prodnorm21</f>
        <v>0</v>
      </c>
      <c r="M472" s="58" t="s">
        <v>41</v>
      </c>
      <c r="N472" s="62">
        <f>uurtarief21</f>
        <v>0</v>
      </c>
      <c r="O472" s="60" t="e">
        <f t="shared" si="68"/>
        <v>#DIV/0!</v>
      </c>
      <c r="P472" s="62" t="e">
        <f t="shared" si="69"/>
        <v>#DIV/0!</v>
      </c>
      <c r="Q472" s="60" t="e">
        <f t="shared" si="70"/>
        <v>#DIV/0!</v>
      </c>
      <c r="R472" s="63" t="e">
        <f t="shared" si="71"/>
        <v>#DIV/0!</v>
      </c>
    </row>
    <row r="473" spans="1:18" x14ac:dyDescent="0.2">
      <c r="A473" s="57" t="s">
        <v>687</v>
      </c>
      <c r="B473" s="58" t="s">
        <v>688</v>
      </c>
      <c r="C473" s="58" t="s">
        <v>299</v>
      </c>
      <c r="D473" s="58" t="s">
        <v>817</v>
      </c>
      <c r="E473" s="59" t="s">
        <v>727</v>
      </c>
      <c r="F473" s="58" t="s">
        <v>489</v>
      </c>
      <c r="G473" s="58" t="s">
        <v>135</v>
      </c>
      <c r="H473" s="58" t="s">
        <v>18</v>
      </c>
      <c r="I473" s="58" t="s">
        <v>133</v>
      </c>
      <c r="J473" s="60">
        <v>19</v>
      </c>
      <c r="K473" s="60">
        <f t="shared" si="67"/>
        <v>2.9803921568627452</v>
      </c>
      <c r="L473" s="61">
        <f>prodnorm24</f>
        <v>0</v>
      </c>
      <c r="M473" s="58" t="s">
        <v>41</v>
      </c>
      <c r="N473" s="62">
        <f>uurtarief24</f>
        <v>0</v>
      </c>
      <c r="O473" s="60" t="e">
        <f t="shared" si="68"/>
        <v>#DIV/0!</v>
      </c>
      <c r="P473" s="62" t="e">
        <f t="shared" si="69"/>
        <v>#DIV/0!</v>
      </c>
      <c r="Q473" s="60" t="e">
        <f t="shared" si="70"/>
        <v>#DIV/0!</v>
      </c>
      <c r="R473" s="63" t="e">
        <f t="shared" si="71"/>
        <v>#DIV/0!</v>
      </c>
    </row>
    <row r="474" spans="1:18" x14ac:dyDescent="0.2">
      <c r="A474" s="57" t="s">
        <v>687</v>
      </c>
      <c r="B474" s="58" t="s">
        <v>688</v>
      </c>
      <c r="C474" s="58" t="s">
        <v>299</v>
      </c>
      <c r="D474" s="58" t="s">
        <v>818</v>
      </c>
      <c r="E474" s="59" t="s">
        <v>750</v>
      </c>
      <c r="F474" s="58" t="s">
        <v>489</v>
      </c>
      <c r="G474" s="58" t="s">
        <v>153</v>
      </c>
      <c r="H474" s="58" t="s">
        <v>11</v>
      </c>
      <c r="I474" s="58" t="s">
        <v>133</v>
      </c>
      <c r="J474" s="60">
        <v>50</v>
      </c>
      <c r="K474" s="60">
        <f t="shared" si="67"/>
        <v>39.215686274509807</v>
      </c>
      <c r="L474" s="61">
        <f t="shared" ref="L474:L483" si="72">prodnorm36</f>
        <v>0</v>
      </c>
      <c r="M474" s="58" t="s">
        <v>41</v>
      </c>
      <c r="N474" s="62">
        <f t="shared" ref="N474:N483" si="73">uurtarief36</f>
        <v>0</v>
      </c>
      <c r="O474" s="60" t="e">
        <f t="shared" si="68"/>
        <v>#DIV/0!</v>
      </c>
      <c r="P474" s="62" t="e">
        <f t="shared" si="69"/>
        <v>#DIV/0!</v>
      </c>
      <c r="Q474" s="60" t="e">
        <f t="shared" si="70"/>
        <v>#DIV/0!</v>
      </c>
      <c r="R474" s="63" t="e">
        <f t="shared" si="71"/>
        <v>#DIV/0!</v>
      </c>
    </row>
    <row r="475" spans="1:18" x14ac:dyDescent="0.2">
      <c r="A475" s="57" t="s">
        <v>687</v>
      </c>
      <c r="B475" s="58" t="s">
        <v>688</v>
      </c>
      <c r="C475" s="58" t="s">
        <v>299</v>
      </c>
      <c r="D475" s="58" t="s">
        <v>819</v>
      </c>
      <c r="E475" s="59" t="s">
        <v>750</v>
      </c>
      <c r="F475" s="58" t="s">
        <v>489</v>
      </c>
      <c r="G475" s="58" t="s">
        <v>153</v>
      </c>
      <c r="H475" s="58" t="s">
        <v>11</v>
      </c>
      <c r="I475" s="58" t="s">
        <v>133</v>
      </c>
      <c r="J475" s="60">
        <v>58</v>
      </c>
      <c r="K475" s="60">
        <f t="shared" si="67"/>
        <v>45.490196078431374</v>
      </c>
      <c r="L475" s="61">
        <f t="shared" si="72"/>
        <v>0</v>
      </c>
      <c r="M475" s="58" t="s">
        <v>41</v>
      </c>
      <c r="N475" s="62">
        <f t="shared" si="73"/>
        <v>0</v>
      </c>
      <c r="O475" s="60" t="e">
        <f t="shared" si="68"/>
        <v>#DIV/0!</v>
      </c>
      <c r="P475" s="62" t="e">
        <f t="shared" si="69"/>
        <v>#DIV/0!</v>
      </c>
      <c r="Q475" s="60" t="e">
        <f t="shared" si="70"/>
        <v>#DIV/0!</v>
      </c>
      <c r="R475" s="63" t="e">
        <f t="shared" si="71"/>
        <v>#DIV/0!</v>
      </c>
    </row>
    <row r="476" spans="1:18" x14ac:dyDescent="0.2">
      <c r="A476" s="57" t="s">
        <v>687</v>
      </c>
      <c r="B476" s="58" t="s">
        <v>688</v>
      </c>
      <c r="C476" s="58" t="s">
        <v>299</v>
      </c>
      <c r="D476" s="58" t="s">
        <v>820</v>
      </c>
      <c r="E476" s="59" t="s">
        <v>750</v>
      </c>
      <c r="F476" s="58" t="s">
        <v>489</v>
      </c>
      <c r="G476" s="58" t="s">
        <v>153</v>
      </c>
      <c r="H476" s="58" t="s">
        <v>11</v>
      </c>
      <c r="I476" s="58" t="s">
        <v>133</v>
      </c>
      <c r="J476" s="60">
        <v>56</v>
      </c>
      <c r="K476" s="60">
        <f t="shared" si="67"/>
        <v>43.921568627450981</v>
      </c>
      <c r="L476" s="61">
        <f t="shared" si="72"/>
        <v>0</v>
      </c>
      <c r="M476" s="58" t="s">
        <v>41</v>
      </c>
      <c r="N476" s="62">
        <f t="shared" si="73"/>
        <v>0</v>
      </c>
      <c r="O476" s="60" t="e">
        <f t="shared" si="68"/>
        <v>#DIV/0!</v>
      </c>
      <c r="P476" s="62" t="e">
        <f t="shared" si="69"/>
        <v>#DIV/0!</v>
      </c>
      <c r="Q476" s="60" t="e">
        <f t="shared" si="70"/>
        <v>#DIV/0!</v>
      </c>
      <c r="R476" s="63" t="e">
        <f t="shared" si="71"/>
        <v>#DIV/0!</v>
      </c>
    </row>
    <row r="477" spans="1:18" x14ac:dyDescent="0.2">
      <c r="A477" s="57" t="s">
        <v>687</v>
      </c>
      <c r="B477" s="58" t="s">
        <v>688</v>
      </c>
      <c r="C477" s="58" t="s">
        <v>299</v>
      </c>
      <c r="D477" s="58" t="s">
        <v>821</v>
      </c>
      <c r="E477" s="59" t="s">
        <v>750</v>
      </c>
      <c r="F477" s="58" t="s">
        <v>489</v>
      </c>
      <c r="G477" s="58" t="s">
        <v>153</v>
      </c>
      <c r="H477" s="58" t="s">
        <v>11</v>
      </c>
      <c r="I477" s="58" t="s">
        <v>133</v>
      </c>
      <c r="J477" s="60">
        <v>50</v>
      </c>
      <c r="K477" s="60">
        <f t="shared" si="67"/>
        <v>39.215686274509807</v>
      </c>
      <c r="L477" s="61">
        <f t="shared" si="72"/>
        <v>0</v>
      </c>
      <c r="M477" s="58" t="s">
        <v>41</v>
      </c>
      <c r="N477" s="62">
        <f t="shared" si="73"/>
        <v>0</v>
      </c>
      <c r="O477" s="60" t="e">
        <f t="shared" si="68"/>
        <v>#DIV/0!</v>
      </c>
      <c r="P477" s="62" t="e">
        <f t="shared" si="69"/>
        <v>#DIV/0!</v>
      </c>
      <c r="Q477" s="60" t="e">
        <f t="shared" si="70"/>
        <v>#DIV/0!</v>
      </c>
      <c r="R477" s="63" t="e">
        <f t="shared" si="71"/>
        <v>#DIV/0!</v>
      </c>
    </row>
    <row r="478" spans="1:18" x14ac:dyDescent="0.2">
      <c r="A478" s="57" t="s">
        <v>687</v>
      </c>
      <c r="B478" s="58" t="s">
        <v>688</v>
      </c>
      <c r="C478" s="58" t="s">
        <v>299</v>
      </c>
      <c r="D478" s="58" t="s">
        <v>822</v>
      </c>
      <c r="E478" s="59" t="s">
        <v>750</v>
      </c>
      <c r="F478" s="58" t="s">
        <v>489</v>
      </c>
      <c r="G478" s="58" t="s">
        <v>153</v>
      </c>
      <c r="H478" s="58" t="s">
        <v>11</v>
      </c>
      <c r="I478" s="58" t="s">
        <v>133</v>
      </c>
      <c r="J478" s="60">
        <v>56</v>
      </c>
      <c r="K478" s="60">
        <f t="shared" si="67"/>
        <v>43.921568627450981</v>
      </c>
      <c r="L478" s="61">
        <f t="shared" si="72"/>
        <v>0</v>
      </c>
      <c r="M478" s="58" t="s">
        <v>41</v>
      </c>
      <c r="N478" s="62">
        <f t="shared" si="73"/>
        <v>0</v>
      </c>
      <c r="O478" s="60" t="e">
        <f t="shared" si="68"/>
        <v>#DIV/0!</v>
      </c>
      <c r="P478" s="62" t="e">
        <f t="shared" si="69"/>
        <v>#DIV/0!</v>
      </c>
      <c r="Q478" s="60" t="e">
        <f t="shared" si="70"/>
        <v>#DIV/0!</v>
      </c>
      <c r="R478" s="63" t="e">
        <f t="shared" si="71"/>
        <v>#DIV/0!</v>
      </c>
    </row>
    <row r="479" spans="1:18" x14ac:dyDescent="0.2">
      <c r="A479" s="57" t="s">
        <v>687</v>
      </c>
      <c r="B479" s="58" t="s">
        <v>688</v>
      </c>
      <c r="C479" s="58" t="s">
        <v>299</v>
      </c>
      <c r="D479" s="58" t="s">
        <v>823</v>
      </c>
      <c r="E479" s="59" t="s">
        <v>750</v>
      </c>
      <c r="F479" s="58" t="s">
        <v>489</v>
      </c>
      <c r="G479" s="58" t="s">
        <v>153</v>
      </c>
      <c r="H479" s="58" t="s">
        <v>11</v>
      </c>
      <c r="I479" s="58" t="s">
        <v>133</v>
      </c>
      <c r="J479" s="60">
        <v>58</v>
      </c>
      <c r="K479" s="60">
        <f t="shared" si="67"/>
        <v>45.490196078431374</v>
      </c>
      <c r="L479" s="61">
        <f t="shared" si="72"/>
        <v>0</v>
      </c>
      <c r="M479" s="58" t="s">
        <v>41</v>
      </c>
      <c r="N479" s="62">
        <f t="shared" si="73"/>
        <v>0</v>
      </c>
      <c r="O479" s="60" t="e">
        <f t="shared" si="68"/>
        <v>#DIV/0!</v>
      </c>
      <c r="P479" s="62" t="e">
        <f t="shared" si="69"/>
        <v>#DIV/0!</v>
      </c>
      <c r="Q479" s="60" t="e">
        <f t="shared" si="70"/>
        <v>#DIV/0!</v>
      </c>
      <c r="R479" s="63" t="e">
        <f t="shared" si="71"/>
        <v>#DIV/0!</v>
      </c>
    </row>
    <row r="480" spans="1:18" x14ac:dyDescent="0.2">
      <c r="A480" s="57" t="s">
        <v>687</v>
      </c>
      <c r="B480" s="58" t="s">
        <v>688</v>
      </c>
      <c r="C480" s="58" t="s">
        <v>299</v>
      </c>
      <c r="D480" s="58" t="s">
        <v>824</v>
      </c>
      <c r="E480" s="59" t="s">
        <v>750</v>
      </c>
      <c r="F480" s="58" t="s">
        <v>489</v>
      </c>
      <c r="G480" s="58" t="s">
        <v>153</v>
      </c>
      <c r="H480" s="58" t="s">
        <v>11</v>
      </c>
      <c r="I480" s="58" t="s">
        <v>133</v>
      </c>
      <c r="J480" s="60">
        <v>67</v>
      </c>
      <c r="K480" s="60">
        <f t="shared" si="67"/>
        <v>52.549019607843135</v>
      </c>
      <c r="L480" s="61">
        <f t="shared" si="72"/>
        <v>0</v>
      </c>
      <c r="M480" s="58" t="s">
        <v>41</v>
      </c>
      <c r="N480" s="62">
        <f t="shared" si="73"/>
        <v>0</v>
      </c>
      <c r="O480" s="60" t="e">
        <f t="shared" si="68"/>
        <v>#DIV/0!</v>
      </c>
      <c r="P480" s="62" t="e">
        <f t="shared" si="69"/>
        <v>#DIV/0!</v>
      </c>
      <c r="Q480" s="60" t="e">
        <f t="shared" si="70"/>
        <v>#DIV/0!</v>
      </c>
      <c r="R480" s="63" t="e">
        <f t="shared" si="71"/>
        <v>#DIV/0!</v>
      </c>
    </row>
    <row r="481" spans="1:18" x14ac:dyDescent="0.2">
      <c r="A481" s="57" t="s">
        <v>687</v>
      </c>
      <c r="B481" s="58" t="s">
        <v>688</v>
      </c>
      <c r="C481" s="58" t="s">
        <v>299</v>
      </c>
      <c r="D481" s="58" t="s">
        <v>825</v>
      </c>
      <c r="E481" s="59" t="s">
        <v>750</v>
      </c>
      <c r="F481" s="58" t="s">
        <v>489</v>
      </c>
      <c r="G481" s="58" t="s">
        <v>153</v>
      </c>
      <c r="H481" s="58" t="s">
        <v>11</v>
      </c>
      <c r="I481" s="58" t="s">
        <v>133</v>
      </c>
      <c r="J481" s="60">
        <v>51</v>
      </c>
      <c r="K481" s="60">
        <f t="shared" si="67"/>
        <v>40</v>
      </c>
      <c r="L481" s="61">
        <f t="shared" si="72"/>
        <v>0</v>
      </c>
      <c r="M481" s="58" t="s">
        <v>41</v>
      </c>
      <c r="N481" s="62">
        <f t="shared" si="73"/>
        <v>0</v>
      </c>
      <c r="O481" s="60" t="e">
        <f t="shared" si="68"/>
        <v>#DIV/0!</v>
      </c>
      <c r="P481" s="62" t="e">
        <f t="shared" si="69"/>
        <v>#DIV/0!</v>
      </c>
      <c r="Q481" s="60" t="e">
        <f t="shared" si="70"/>
        <v>#DIV/0!</v>
      </c>
      <c r="R481" s="63" t="e">
        <f t="shared" si="71"/>
        <v>#DIV/0!</v>
      </c>
    </row>
    <row r="482" spans="1:18" x14ac:dyDescent="0.2">
      <c r="A482" s="57" t="s">
        <v>687</v>
      </c>
      <c r="B482" s="58" t="s">
        <v>688</v>
      </c>
      <c r="C482" s="58" t="s">
        <v>299</v>
      </c>
      <c r="D482" s="58" t="s">
        <v>826</v>
      </c>
      <c r="E482" s="59" t="s">
        <v>750</v>
      </c>
      <c r="F482" s="58" t="s">
        <v>489</v>
      </c>
      <c r="G482" s="58" t="s">
        <v>153</v>
      </c>
      <c r="H482" s="58" t="s">
        <v>11</v>
      </c>
      <c r="I482" s="58" t="s">
        <v>133</v>
      </c>
      <c r="J482" s="60">
        <v>51</v>
      </c>
      <c r="K482" s="60">
        <f t="shared" si="67"/>
        <v>40</v>
      </c>
      <c r="L482" s="61">
        <f t="shared" si="72"/>
        <v>0</v>
      </c>
      <c r="M482" s="58" t="s">
        <v>41</v>
      </c>
      <c r="N482" s="62">
        <f t="shared" si="73"/>
        <v>0</v>
      </c>
      <c r="O482" s="60" t="e">
        <f t="shared" si="68"/>
        <v>#DIV/0!</v>
      </c>
      <c r="P482" s="62" t="e">
        <f t="shared" si="69"/>
        <v>#DIV/0!</v>
      </c>
      <c r="Q482" s="60" t="e">
        <f t="shared" si="70"/>
        <v>#DIV/0!</v>
      </c>
      <c r="R482" s="63" t="e">
        <f t="shared" si="71"/>
        <v>#DIV/0!</v>
      </c>
    </row>
    <row r="483" spans="1:18" x14ac:dyDescent="0.2">
      <c r="A483" s="57" t="s">
        <v>687</v>
      </c>
      <c r="B483" s="58" t="s">
        <v>688</v>
      </c>
      <c r="C483" s="58" t="s">
        <v>299</v>
      </c>
      <c r="D483" s="58" t="s">
        <v>827</v>
      </c>
      <c r="E483" s="59" t="s">
        <v>750</v>
      </c>
      <c r="F483" s="58" t="s">
        <v>489</v>
      </c>
      <c r="G483" s="58" t="s">
        <v>153</v>
      </c>
      <c r="H483" s="58" t="s">
        <v>11</v>
      </c>
      <c r="I483" s="58" t="s">
        <v>133</v>
      </c>
      <c r="J483" s="60">
        <v>54</v>
      </c>
      <c r="K483" s="60">
        <f t="shared" si="67"/>
        <v>42.352941176470587</v>
      </c>
      <c r="L483" s="61">
        <f t="shared" si="72"/>
        <v>0</v>
      </c>
      <c r="M483" s="58" t="s">
        <v>41</v>
      </c>
      <c r="N483" s="62">
        <f t="shared" si="73"/>
        <v>0</v>
      </c>
      <c r="O483" s="60" t="e">
        <f t="shared" si="68"/>
        <v>#DIV/0!</v>
      </c>
      <c r="P483" s="62" t="e">
        <f t="shared" si="69"/>
        <v>#DIV/0!</v>
      </c>
      <c r="Q483" s="60" t="e">
        <f t="shared" si="70"/>
        <v>#DIV/0!</v>
      </c>
      <c r="R483" s="63" t="e">
        <f t="shared" si="71"/>
        <v>#DIV/0!</v>
      </c>
    </row>
    <row r="484" spans="1:18" x14ac:dyDescent="0.2">
      <c r="A484" s="57" t="s">
        <v>687</v>
      </c>
      <c r="B484" s="58" t="s">
        <v>688</v>
      </c>
      <c r="C484" s="58" t="s">
        <v>299</v>
      </c>
      <c r="D484" s="58" t="s">
        <v>828</v>
      </c>
      <c r="E484" s="59" t="s">
        <v>727</v>
      </c>
      <c r="F484" s="58" t="s">
        <v>489</v>
      </c>
      <c r="G484" s="58" t="s">
        <v>173</v>
      </c>
      <c r="H484" s="58" t="s">
        <v>12</v>
      </c>
      <c r="I484" s="58" t="s">
        <v>174</v>
      </c>
      <c r="J484" s="60">
        <v>18</v>
      </c>
      <c r="K484" s="60">
        <f t="shared" si="67"/>
        <v>11.294117647058822</v>
      </c>
      <c r="L484" s="61">
        <f>prodnorm21</f>
        <v>0</v>
      </c>
      <c r="M484" s="58" t="s">
        <v>41</v>
      </c>
      <c r="N484" s="62">
        <f>uurtarief21</f>
        <v>0</v>
      </c>
      <c r="O484" s="60" t="e">
        <f t="shared" si="68"/>
        <v>#DIV/0!</v>
      </c>
      <c r="P484" s="62" t="e">
        <f t="shared" si="69"/>
        <v>#DIV/0!</v>
      </c>
      <c r="Q484" s="60" t="e">
        <f t="shared" si="70"/>
        <v>#DIV/0!</v>
      </c>
      <c r="R484" s="63" t="e">
        <f t="shared" si="71"/>
        <v>#DIV/0!</v>
      </c>
    </row>
    <row r="485" spans="1:18" x14ac:dyDescent="0.2">
      <c r="A485" s="57" t="s">
        <v>687</v>
      </c>
      <c r="B485" s="58" t="s">
        <v>688</v>
      </c>
      <c r="C485" s="58" t="s">
        <v>299</v>
      </c>
      <c r="D485" s="58" t="s">
        <v>828</v>
      </c>
      <c r="E485" s="59" t="s">
        <v>727</v>
      </c>
      <c r="F485" s="58" t="s">
        <v>489</v>
      </c>
      <c r="G485" s="58" t="s">
        <v>135</v>
      </c>
      <c r="H485" s="58" t="s">
        <v>18</v>
      </c>
      <c r="I485" s="58" t="s">
        <v>133</v>
      </c>
      <c r="J485" s="60">
        <v>18</v>
      </c>
      <c r="K485" s="60">
        <f t="shared" si="67"/>
        <v>2.8235294117647056</v>
      </c>
      <c r="L485" s="61">
        <f>prodnorm24</f>
        <v>0</v>
      </c>
      <c r="M485" s="58" t="s">
        <v>41</v>
      </c>
      <c r="N485" s="62">
        <f>uurtarief24</f>
        <v>0</v>
      </c>
      <c r="O485" s="60" t="e">
        <f t="shared" si="68"/>
        <v>#DIV/0!</v>
      </c>
      <c r="P485" s="62" t="e">
        <f t="shared" si="69"/>
        <v>#DIV/0!</v>
      </c>
      <c r="Q485" s="60" t="e">
        <f t="shared" si="70"/>
        <v>#DIV/0!</v>
      </c>
      <c r="R485" s="63" t="e">
        <f t="shared" si="71"/>
        <v>#DIV/0!</v>
      </c>
    </row>
    <row r="486" spans="1:18" x14ac:dyDescent="0.2">
      <c r="A486" s="57" t="s">
        <v>687</v>
      </c>
      <c r="B486" s="58" t="s">
        <v>688</v>
      </c>
      <c r="C486" s="58" t="s">
        <v>299</v>
      </c>
      <c r="D486" s="58" t="s">
        <v>829</v>
      </c>
      <c r="E486" s="59" t="s">
        <v>760</v>
      </c>
      <c r="F486" s="58" t="s">
        <v>489</v>
      </c>
      <c r="G486" s="58" t="s">
        <v>135</v>
      </c>
      <c r="H486" s="58" t="s">
        <v>11</v>
      </c>
      <c r="I486" s="58" t="s">
        <v>133</v>
      </c>
      <c r="J486" s="60">
        <v>14</v>
      </c>
      <c r="K486" s="60">
        <f t="shared" si="67"/>
        <v>10.980392156862745</v>
      </c>
      <c r="L486" s="61">
        <f>prodnorm23</f>
        <v>0</v>
      </c>
      <c r="M486" s="58" t="s">
        <v>41</v>
      </c>
      <c r="N486" s="62">
        <f>uurtarief23</f>
        <v>0</v>
      </c>
      <c r="O486" s="60" t="e">
        <f t="shared" si="68"/>
        <v>#DIV/0!</v>
      </c>
      <c r="P486" s="62" t="e">
        <f t="shared" si="69"/>
        <v>#DIV/0!</v>
      </c>
      <c r="Q486" s="60" t="e">
        <f t="shared" si="70"/>
        <v>#DIV/0!</v>
      </c>
      <c r="R486" s="63" t="e">
        <f t="shared" si="71"/>
        <v>#DIV/0!</v>
      </c>
    </row>
    <row r="487" spans="1:18" x14ac:dyDescent="0.2">
      <c r="A487" s="57" t="s">
        <v>687</v>
      </c>
      <c r="B487" s="58" t="s">
        <v>688</v>
      </c>
      <c r="C487" s="58" t="s">
        <v>299</v>
      </c>
      <c r="D487" s="58" t="s">
        <v>830</v>
      </c>
      <c r="E487" s="59" t="s">
        <v>831</v>
      </c>
      <c r="F487" s="58" t="s">
        <v>260</v>
      </c>
      <c r="G487" s="58" t="s">
        <v>153</v>
      </c>
      <c r="H487" s="58" t="s">
        <v>11</v>
      </c>
      <c r="I487" s="58" t="s">
        <v>133</v>
      </c>
      <c r="J487" s="60">
        <v>16</v>
      </c>
      <c r="K487" s="60">
        <f t="shared" si="67"/>
        <v>12.549019607843137</v>
      </c>
      <c r="L487" s="61">
        <f>prodnorm36</f>
        <v>0</v>
      </c>
      <c r="M487" s="58" t="s">
        <v>41</v>
      </c>
      <c r="N487" s="62">
        <f>uurtarief36</f>
        <v>0</v>
      </c>
      <c r="O487" s="60" t="e">
        <f t="shared" si="68"/>
        <v>#DIV/0!</v>
      </c>
      <c r="P487" s="62" t="e">
        <f t="shared" si="69"/>
        <v>#DIV/0!</v>
      </c>
      <c r="Q487" s="60" t="e">
        <f t="shared" si="70"/>
        <v>#DIV/0!</v>
      </c>
      <c r="R487" s="63" t="e">
        <f t="shared" si="71"/>
        <v>#DIV/0!</v>
      </c>
    </row>
    <row r="488" spans="1:18" x14ac:dyDescent="0.2">
      <c r="A488" s="57" t="s">
        <v>687</v>
      </c>
      <c r="B488" s="58" t="s">
        <v>688</v>
      </c>
      <c r="C488" s="58" t="s">
        <v>299</v>
      </c>
      <c r="D488" s="58" t="s">
        <v>832</v>
      </c>
      <c r="E488" s="59" t="s">
        <v>207</v>
      </c>
      <c r="F488" s="58" t="s">
        <v>489</v>
      </c>
      <c r="G488" s="58" t="s">
        <v>171</v>
      </c>
      <c r="H488" s="58" t="s">
        <v>11</v>
      </c>
      <c r="I488" s="58" t="s">
        <v>133</v>
      </c>
      <c r="J488" s="60">
        <v>41</v>
      </c>
      <c r="K488" s="60">
        <f t="shared" si="67"/>
        <v>32.156862745098039</v>
      </c>
      <c r="L488" s="61">
        <f>prodnorm45</f>
        <v>0</v>
      </c>
      <c r="M488" s="58" t="s">
        <v>41</v>
      </c>
      <c r="N488" s="62">
        <f>uurtarief45</f>
        <v>0</v>
      </c>
      <c r="O488" s="60" t="e">
        <f t="shared" si="68"/>
        <v>#DIV/0!</v>
      </c>
      <c r="P488" s="62" t="e">
        <f t="shared" si="69"/>
        <v>#DIV/0!</v>
      </c>
      <c r="Q488" s="60" t="e">
        <f t="shared" si="70"/>
        <v>#DIV/0!</v>
      </c>
      <c r="R488" s="63" t="e">
        <f t="shared" si="71"/>
        <v>#DIV/0!</v>
      </c>
    </row>
    <row r="489" spans="1:18" x14ac:dyDescent="0.2">
      <c r="A489" s="57" t="s">
        <v>687</v>
      </c>
      <c r="B489" s="58" t="s">
        <v>688</v>
      </c>
      <c r="C489" s="58" t="s">
        <v>299</v>
      </c>
      <c r="D489" s="58" t="s">
        <v>833</v>
      </c>
      <c r="E489" s="59" t="s">
        <v>207</v>
      </c>
      <c r="F489" s="58" t="s">
        <v>489</v>
      </c>
      <c r="G489" s="58" t="s">
        <v>171</v>
      </c>
      <c r="H489" s="58" t="s">
        <v>11</v>
      </c>
      <c r="I489" s="58" t="s">
        <v>133</v>
      </c>
      <c r="J489" s="60">
        <v>116</v>
      </c>
      <c r="K489" s="60">
        <f t="shared" si="67"/>
        <v>90.980392156862749</v>
      </c>
      <c r="L489" s="61">
        <f>prodnorm45</f>
        <v>0</v>
      </c>
      <c r="M489" s="58" t="s">
        <v>41</v>
      </c>
      <c r="N489" s="62">
        <f>uurtarief45</f>
        <v>0</v>
      </c>
      <c r="O489" s="60" t="e">
        <f t="shared" si="68"/>
        <v>#DIV/0!</v>
      </c>
      <c r="P489" s="62" t="e">
        <f t="shared" si="69"/>
        <v>#DIV/0!</v>
      </c>
      <c r="Q489" s="60" t="e">
        <f t="shared" si="70"/>
        <v>#DIV/0!</v>
      </c>
      <c r="R489" s="63" t="e">
        <f t="shared" si="71"/>
        <v>#DIV/0!</v>
      </c>
    </row>
    <row r="490" spans="1:18" x14ac:dyDescent="0.2">
      <c r="A490" s="57" t="s">
        <v>687</v>
      </c>
      <c r="B490" s="58" t="s">
        <v>688</v>
      </c>
      <c r="C490" s="58" t="s">
        <v>299</v>
      </c>
      <c r="D490" s="58" t="s">
        <v>834</v>
      </c>
      <c r="E490" s="59" t="s">
        <v>808</v>
      </c>
      <c r="F490" s="58" t="s">
        <v>489</v>
      </c>
      <c r="G490" s="58" t="s">
        <v>157</v>
      </c>
      <c r="H490" s="58" t="s">
        <v>11</v>
      </c>
      <c r="I490" s="58" t="s">
        <v>133</v>
      </c>
      <c r="J490" s="60">
        <v>215</v>
      </c>
      <c r="K490" s="60">
        <f t="shared" si="67"/>
        <v>168.62745098039215</v>
      </c>
      <c r="L490" s="61">
        <f>prodnorm38</f>
        <v>0</v>
      </c>
      <c r="M490" s="58" t="s">
        <v>41</v>
      </c>
      <c r="N490" s="62">
        <f>uurtarief38</f>
        <v>0</v>
      </c>
      <c r="O490" s="60" t="e">
        <f t="shared" si="68"/>
        <v>#DIV/0!</v>
      </c>
      <c r="P490" s="62" t="e">
        <f t="shared" si="69"/>
        <v>#DIV/0!</v>
      </c>
      <c r="Q490" s="60" t="e">
        <f t="shared" si="70"/>
        <v>#DIV/0!</v>
      </c>
      <c r="R490" s="63" t="e">
        <f t="shared" si="71"/>
        <v>#DIV/0!</v>
      </c>
    </row>
    <row r="491" spans="1:18" x14ac:dyDescent="0.2">
      <c r="A491" s="57" t="s">
        <v>687</v>
      </c>
      <c r="B491" s="58" t="s">
        <v>688</v>
      </c>
      <c r="C491" s="58" t="s">
        <v>299</v>
      </c>
      <c r="D491" s="58" t="s">
        <v>835</v>
      </c>
      <c r="E491" s="59" t="s">
        <v>701</v>
      </c>
      <c r="F491" s="58" t="s">
        <v>489</v>
      </c>
      <c r="G491" s="58" t="s">
        <v>169</v>
      </c>
      <c r="H491" s="58" t="s">
        <v>11</v>
      </c>
      <c r="I491" s="58" t="s">
        <v>133</v>
      </c>
      <c r="J491" s="60">
        <v>26</v>
      </c>
      <c r="K491" s="60">
        <f t="shared" si="67"/>
        <v>20.392156862745097</v>
      </c>
      <c r="L491" s="61">
        <f>prodnorm44</f>
        <v>0</v>
      </c>
      <c r="M491" s="58" t="s">
        <v>41</v>
      </c>
      <c r="N491" s="62">
        <f>uurtarief44</f>
        <v>0</v>
      </c>
      <c r="O491" s="60" t="e">
        <f t="shared" si="68"/>
        <v>#DIV/0!</v>
      </c>
      <c r="P491" s="62" t="e">
        <f t="shared" si="69"/>
        <v>#DIV/0!</v>
      </c>
      <c r="Q491" s="60" t="e">
        <f t="shared" si="70"/>
        <v>#DIV/0!</v>
      </c>
      <c r="R491" s="63" t="e">
        <f t="shared" si="71"/>
        <v>#DIV/0!</v>
      </c>
    </row>
    <row r="492" spans="1:18" x14ac:dyDescent="0.2">
      <c r="A492" s="57" t="s">
        <v>687</v>
      </c>
      <c r="B492" s="58" t="s">
        <v>688</v>
      </c>
      <c r="C492" s="58" t="s">
        <v>299</v>
      </c>
      <c r="D492" s="58" t="s">
        <v>836</v>
      </c>
      <c r="E492" s="59" t="s">
        <v>703</v>
      </c>
      <c r="F492" s="58" t="s">
        <v>489</v>
      </c>
      <c r="G492" s="58" t="s">
        <v>167</v>
      </c>
      <c r="H492" s="58" t="s">
        <v>11</v>
      </c>
      <c r="I492" s="58" t="s">
        <v>133</v>
      </c>
      <c r="J492" s="60">
        <v>13</v>
      </c>
      <c r="K492" s="60">
        <f t="shared" si="67"/>
        <v>10.196078431372548</v>
      </c>
      <c r="L492" s="61">
        <f>prodnorm43</f>
        <v>0</v>
      </c>
      <c r="M492" s="58" t="s">
        <v>41</v>
      </c>
      <c r="N492" s="62">
        <f>uurtarief43</f>
        <v>0</v>
      </c>
      <c r="O492" s="60" t="e">
        <f t="shared" si="68"/>
        <v>#DIV/0!</v>
      </c>
      <c r="P492" s="62" t="e">
        <f t="shared" si="69"/>
        <v>#DIV/0!</v>
      </c>
      <c r="Q492" s="60" t="e">
        <f t="shared" si="70"/>
        <v>#DIV/0!</v>
      </c>
      <c r="R492" s="63" t="e">
        <f t="shared" si="71"/>
        <v>#DIV/0!</v>
      </c>
    </row>
    <row r="493" spans="1:18" x14ac:dyDescent="0.2">
      <c r="A493" s="57" t="s">
        <v>687</v>
      </c>
      <c r="B493" s="58" t="s">
        <v>688</v>
      </c>
      <c r="C493" s="58" t="s">
        <v>299</v>
      </c>
      <c r="D493" s="58" t="s">
        <v>837</v>
      </c>
      <c r="E493" s="59" t="s">
        <v>703</v>
      </c>
      <c r="F493" s="58" t="s">
        <v>489</v>
      </c>
      <c r="G493" s="58" t="s">
        <v>167</v>
      </c>
      <c r="H493" s="58" t="s">
        <v>11</v>
      </c>
      <c r="I493" s="58" t="s">
        <v>133</v>
      </c>
      <c r="J493" s="60">
        <v>14</v>
      </c>
      <c r="K493" s="60">
        <f t="shared" si="67"/>
        <v>10.980392156862745</v>
      </c>
      <c r="L493" s="61">
        <f>prodnorm43</f>
        <v>0</v>
      </c>
      <c r="M493" s="58" t="s">
        <v>41</v>
      </c>
      <c r="N493" s="62">
        <f>uurtarief43</f>
        <v>0</v>
      </c>
      <c r="O493" s="60" t="e">
        <f t="shared" si="68"/>
        <v>#DIV/0!</v>
      </c>
      <c r="P493" s="62" t="e">
        <f t="shared" si="69"/>
        <v>#DIV/0!</v>
      </c>
      <c r="Q493" s="60" t="e">
        <f t="shared" si="70"/>
        <v>#DIV/0!</v>
      </c>
      <c r="R493" s="63" t="e">
        <f t="shared" si="71"/>
        <v>#DIV/0!</v>
      </c>
    </row>
    <row r="494" spans="1:18" x14ac:dyDescent="0.2">
      <c r="A494" s="57" t="s">
        <v>687</v>
      </c>
      <c r="B494" s="58" t="s">
        <v>688</v>
      </c>
      <c r="C494" s="58" t="s">
        <v>299</v>
      </c>
      <c r="D494" s="58" t="s">
        <v>838</v>
      </c>
      <c r="E494" s="59" t="s">
        <v>706</v>
      </c>
      <c r="F494" s="58" t="s">
        <v>489</v>
      </c>
      <c r="G494" s="58" t="s">
        <v>169</v>
      </c>
      <c r="H494" s="58" t="s">
        <v>11</v>
      </c>
      <c r="I494" s="58" t="s">
        <v>133</v>
      </c>
      <c r="J494" s="60">
        <v>25</v>
      </c>
      <c r="K494" s="60">
        <f t="shared" si="67"/>
        <v>19.607843137254903</v>
      </c>
      <c r="L494" s="61">
        <f>prodnorm44</f>
        <v>0</v>
      </c>
      <c r="M494" s="58" t="s">
        <v>41</v>
      </c>
      <c r="N494" s="62">
        <f>uurtarief44</f>
        <v>0</v>
      </c>
      <c r="O494" s="60" t="e">
        <f t="shared" si="68"/>
        <v>#DIV/0!</v>
      </c>
      <c r="P494" s="62" t="e">
        <f t="shared" si="69"/>
        <v>#DIV/0!</v>
      </c>
      <c r="Q494" s="60" t="e">
        <f t="shared" si="70"/>
        <v>#DIV/0!</v>
      </c>
      <c r="R494" s="63" t="e">
        <f t="shared" si="71"/>
        <v>#DIV/0!</v>
      </c>
    </row>
    <row r="495" spans="1:18" x14ac:dyDescent="0.2">
      <c r="A495" s="57" t="s">
        <v>687</v>
      </c>
      <c r="B495" s="58" t="s">
        <v>688</v>
      </c>
      <c r="C495" s="58" t="s">
        <v>299</v>
      </c>
      <c r="D495" s="58" t="s">
        <v>839</v>
      </c>
      <c r="E495" s="59" t="s">
        <v>703</v>
      </c>
      <c r="F495" s="58" t="s">
        <v>489</v>
      </c>
      <c r="G495" s="58" t="s">
        <v>167</v>
      </c>
      <c r="H495" s="58" t="s">
        <v>11</v>
      </c>
      <c r="I495" s="58" t="s">
        <v>133</v>
      </c>
      <c r="J495" s="60">
        <v>9</v>
      </c>
      <c r="K495" s="60">
        <f t="shared" si="67"/>
        <v>7.0588235294117645</v>
      </c>
      <c r="L495" s="61">
        <f>prodnorm43</f>
        <v>0</v>
      </c>
      <c r="M495" s="58" t="s">
        <v>41</v>
      </c>
      <c r="N495" s="62">
        <f>uurtarief43</f>
        <v>0</v>
      </c>
      <c r="O495" s="60" t="e">
        <f t="shared" si="68"/>
        <v>#DIV/0!</v>
      </c>
      <c r="P495" s="62" t="e">
        <f t="shared" si="69"/>
        <v>#DIV/0!</v>
      </c>
      <c r="Q495" s="60" t="e">
        <f t="shared" si="70"/>
        <v>#DIV/0!</v>
      </c>
      <c r="R495" s="63" t="e">
        <f t="shared" si="71"/>
        <v>#DIV/0!</v>
      </c>
    </row>
    <row r="496" spans="1:18" x14ac:dyDescent="0.2">
      <c r="A496" s="57" t="s">
        <v>687</v>
      </c>
      <c r="B496" s="58" t="s">
        <v>688</v>
      </c>
      <c r="C496" s="58" t="s">
        <v>299</v>
      </c>
      <c r="D496" s="58" t="s">
        <v>840</v>
      </c>
      <c r="E496" s="59" t="s">
        <v>703</v>
      </c>
      <c r="F496" s="58" t="s">
        <v>489</v>
      </c>
      <c r="G496" s="58" t="s">
        <v>167</v>
      </c>
      <c r="H496" s="58" t="s">
        <v>11</v>
      </c>
      <c r="I496" s="58" t="s">
        <v>133</v>
      </c>
      <c r="J496" s="60">
        <v>12</v>
      </c>
      <c r="K496" s="60">
        <f t="shared" si="67"/>
        <v>9.4117647058823533</v>
      </c>
      <c r="L496" s="61">
        <f>prodnorm43</f>
        <v>0</v>
      </c>
      <c r="M496" s="58" t="s">
        <v>41</v>
      </c>
      <c r="N496" s="62">
        <f>uurtarief43</f>
        <v>0</v>
      </c>
      <c r="O496" s="60" t="e">
        <f t="shared" si="68"/>
        <v>#DIV/0!</v>
      </c>
      <c r="P496" s="62" t="e">
        <f t="shared" si="69"/>
        <v>#DIV/0!</v>
      </c>
      <c r="Q496" s="60" t="e">
        <f t="shared" si="70"/>
        <v>#DIV/0!</v>
      </c>
      <c r="R496" s="63" t="e">
        <f t="shared" si="71"/>
        <v>#DIV/0!</v>
      </c>
    </row>
    <row r="497" spans="1:18" x14ac:dyDescent="0.2">
      <c r="A497" s="57" t="s">
        <v>687</v>
      </c>
      <c r="B497" s="58" t="s">
        <v>688</v>
      </c>
      <c r="C497" s="58" t="s">
        <v>336</v>
      </c>
      <c r="D497" s="58" t="s">
        <v>841</v>
      </c>
      <c r="E497" s="59" t="s">
        <v>750</v>
      </c>
      <c r="F497" s="58" t="s">
        <v>489</v>
      </c>
      <c r="G497" s="58" t="s">
        <v>153</v>
      </c>
      <c r="H497" s="58" t="s">
        <v>11</v>
      </c>
      <c r="I497" s="58" t="s">
        <v>133</v>
      </c>
      <c r="J497" s="60">
        <v>67</v>
      </c>
      <c r="K497" s="60">
        <f t="shared" si="67"/>
        <v>52.549019607843135</v>
      </c>
      <c r="L497" s="61">
        <f>prodnorm36</f>
        <v>0</v>
      </c>
      <c r="M497" s="58" t="s">
        <v>41</v>
      </c>
      <c r="N497" s="62">
        <f>uurtarief36</f>
        <v>0</v>
      </c>
      <c r="O497" s="60" t="e">
        <f t="shared" si="68"/>
        <v>#DIV/0!</v>
      </c>
      <c r="P497" s="62" t="e">
        <f t="shared" si="69"/>
        <v>#DIV/0!</v>
      </c>
      <c r="Q497" s="60" t="e">
        <f t="shared" si="70"/>
        <v>#DIV/0!</v>
      </c>
      <c r="R497" s="63" t="e">
        <f t="shared" si="71"/>
        <v>#DIV/0!</v>
      </c>
    </row>
    <row r="498" spans="1:18" x14ac:dyDescent="0.2">
      <c r="A498" s="57" t="s">
        <v>687</v>
      </c>
      <c r="B498" s="58" t="s">
        <v>688</v>
      </c>
      <c r="C498" s="58" t="s">
        <v>336</v>
      </c>
      <c r="D498" s="58" t="s">
        <v>842</v>
      </c>
      <c r="E498" s="59" t="s">
        <v>750</v>
      </c>
      <c r="F498" s="58" t="s">
        <v>489</v>
      </c>
      <c r="G498" s="58" t="s">
        <v>153</v>
      </c>
      <c r="H498" s="58" t="s">
        <v>11</v>
      </c>
      <c r="I498" s="58" t="s">
        <v>133</v>
      </c>
      <c r="J498" s="60">
        <v>51</v>
      </c>
      <c r="K498" s="60">
        <f t="shared" si="67"/>
        <v>40</v>
      </c>
      <c r="L498" s="61">
        <f>prodnorm36</f>
        <v>0</v>
      </c>
      <c r="M498" s="58" t="s">
        <v>41</v>
      </c>
      <c r="N498" s="62">
        <f>uurtarief36</f>
        <v>0</v>
      </c>
      <c r="O498" s="60" t="e">
        <f t="shared" si="68"/>
        <v>#DIV/0!</v>
      </c>
      <c r="P498" s="62" t="e">
        <f t="shared" si="69"/>
        <v>#DIV/0!</v>
      </c>
      <c r="Q498" s="60" t="e">
        <f t="shared" si="70"/>
        <v>#DIV/0!</v>
      </c>
      <c r="R498" s="63" t="e">
        <f t="shared" si="71"/>
        <v>#DIV/0!</v>
      </c>
    </row>
    <row r="499" spans="1:18" x14ac:dyDescent="0.2">
      <c r="A499" s="57" t="s">
        <v>687</v>
      </c>
      <c r="B499" s="58" t="s">
        <v>688</v>
      </c>
      <c r="C499" s="58" t="s">
        <v>336</v>
      </c>
      <c r="D499" s="58" t="s">
        <v>843</v>
      </c>
      <c r="E499" s="59" t="s">
        <v>750</v>
      </c>
      <c r="F499" s="58" t="s">
        <v>489</v>
      </c>
      <c r="G499" s="58" t="s">
        <v>153</v>
      </c>
      <c r="H499" s="58" t="s">
        <v>11</v>
      </c>
      <c r="I499" s="58" t="s">
        <v>133</v>
      </c>
      <c r="J499" s="60">
        <v>57</v>
      </c>
      <c r="K499" s="60">
        <f t="shared" si="67"/>
        <v>44.705882352941174</v>
      </c>
      <c r="L499" s="61">
        <f>prodnorm36</f>
        <v>0</v>
      </c>
      <c r="M499" s="58" t="s">
        <v>41</v>
      </c>
      <c r="N499" s="62">
        <f>uurtarief36</f>
        <v>0</v>
      </c>
      <c r="O499" s="60" t="e">
        <f t="shared" si="68"/>
        <v>#DIV/0!</v>
      </c>
      <c r="P499" s="62" t="e">
        <f t="shared" si="69"/>
        <v>#DIV/0!</v>
      </c>
      <c r="Q499" s="60" t="e">
        <f t="shared" si="70"/>
        <v>#DIV/0!</v>
      </c>
      <c r="R499" s="63" t="e">
        <f t="shared" si="71"/>
        <v>#DIV/0!</v>
      </c>
    </row>
    <row r="500" spans="1:18" x14ac:dyDescent="0.2">
      <c r="A500" s="57" t="s">
        <v>687</v>
      </c>
      <c r="B500" s="58" t="s">
        <v>688</v>
      </c>
      <c r="C500" s="58" t="s">
        <v>336</v>
      </c>
      <c r="D500" s="58" t="s">
        <v>844</v>
      </c>
      <c r="E500" s="59" t="s">
        <v>750</v>
      </c>
      <c r="F500" s="58" t="s">
        <v>489</v>
      </c>
      <c r="G500" s="58" t="s">
        <v>153</v>
      </c>
      <c r="H500" s="58" t="s">
        <v>11</v>
      </c>
      <c r="I500" s="58" t="s">
        <v>133</v>
      </c>
      <c r="J500" s="60">
        <v>51</v>
      </c>
      <c r="K500" s="60">
        <f t="shared" ref="K500:K531" si="74">J500*VLOOKUP(H500,dagsoorttabel1,2,FALSE)</f>
        <v>40</v>
      </c>
      <c r="L500" s="61">
        <f>prodnorm36</f>
        <v>0</v>
      </c>
      <c r="M500" s="58" t="s">
        <v>41</v>
      </c>
      <c r="N500" s="62">
        <f>uurtarief36</f>
        <v>0</v>
      </c>
      <c r="O500" s="60" t="e">
        <f t="shared" ref="O500:O531" si="75">IF(ISBLANK(L500),0,K500/ROUND(L500,4))</f>
        <v>#DIV/0!</v>
      </c>
      <c r="P500" s="62" t="e">
        <f t="shared" ref="P500:P531" si="76">ROUND(N500,2)*O500</f>
        <v>#DIV/0!</v>
      </c>
      <c r="Q500" s="60" t="e">
        <f t="shared" ref="Q500:Q531" si="77">O500*dagenperjaar1</f>
        <v>#DIV/0!</v>
      </c>
      <c r="R500" s="63" t="e">
        <f t="shared" ref="R500:R531" si="78">Q500*ROUND(N500,2)</f>
        <v>#DIV/0!</v>
      </c>
    </row>
    <row r="501" spans="1:18" x14ac:dyDescent="0.2">
      <c r="A501" s="57" t="s">
        <v>687</v>
      </c>
      <c r="B501" s="58" t="s">
        <v>688</v>
      </c>
      <c r="C501" s="58" t="s">
        <v>336</v>
      </c>
      <c r="D501" s="58" t="s">
        <v>845</v>
      </c>
      <c r="E501" s="59" t="s">
        <v>750</v>
      </c>
      <c r="F501" s="58" t="s">
        <v>489</v>
      </c>
      <c r="G501" s="58" t="s">
        <v>153</v>
      </c>
      <c r="H501" s="58" t="s">
        <v>11</v>
      </c>
      <c r="I501" s="58" t="s">
        <v>133</v>
      </c>
      <c r="J501" s="60">
        <v>59</v>
      </c>
      <c r="K501" s="60">
        <f t="shared" si="74"/>
        <v>46.274509803921568</v>
      </c>
      <c r="L501" s="61">
        <f>prodnorm36</f>
        <v>0</v>
      </c>
      <c r="M501" s="58" t="s">
        <v>41</v>
      </c>
      <c r="N501" s="62">
        <f>uurtarief36</f>
        <v>0</v>
      </c>
      <c r="O501" s="60" t="e">
        <f t="shared" si="75"/>
        <v>#DIV/0!</v>
      </c>
      <c r="P501" s="62" t="e">
        <f t="shared" si="76"/>
        <v>#DIV/0!</v>
      </c>
      <c r="Q501" s="60" t="e">
        <f t="shared" si="77"/>
        <v>#DIV/0!</v>
      </c>
      <c r="R501" s="63" t="e">
        <f t="shared" si="78"/>
        <v>#DIV/0!</v>
      </c>
    </row>
    <row r="502" spans="1:18" x14ac:dyDescent="0.2">
      <c r="A502" s="57" t="s">
        <v>687</v>
      </c>
      <c r="B502" s="58" t="s">
        <v>688</v>
      </c>
      <c r="C502" s="58" t="s">
        <v>336</v>
      </c>
      <c r="D502" s="58" t="s">
        <v>846</v>
      </c>
      <c r="E502" s="59" t="s">
        <v>488</v>
      </c>
      <c r="F502" s="58" t="s">
        <v>489</v>
      </c>
      <c r="G502" s="58" t="s">
        <v>173</v>
      </c>
      <c r="H502" s="58" t="s">
        <v>12</v>
      </c>
      <c r="I502" s="58" t="s">
        <v>174</v>
      </c>
      <c r="J502" s="60">
        <v>22</v>
      </c>
      <c r="K502" s="60">
        <f t="shared" si="74"/>
        <v>13.803921568627452</v>
      </c>
      <c r="L502" s="61">
        <f>prodnorm21</f>
        <v>0</v>
      </c>
      <c r="M502" s="58" t="s">
        <v>41</v>
      </c>
      <c r="N502" s="62">
        <f>uurtarief21</f>
        <v>0</v>
      </c>
      <c r="O502" s="60" t="e">
        <f t="shared" si="75"/>
        <v>#DIV/0!</v>
      </c>
      <c r="P502" s="62" t="e">
        <f t="shared" si="76"/>
        <v>#DIV/0!</v>
      </c>
      <c r="Q502" s="60" t="e">
        <f t="shared" si="77"/>
        <v>#DIV/0!</v>
      </c>
      <c r="R502" s="63" t="e">
        <f t="shared" si="78"/>
        <v>#DIV/0!</v>
      </c>
    </row>
    <row r="503" spans="1:18" x14ac:dyDescent="0.2">
      <c r="A503" s="57" t="s">
        <v>687</v>
      </c>
      <c r="B503" s="58" t="s">
        <v>688</v>
      </c>
      <c r="C503" s="58" t="s">
        <v>336</v>
      </c>
      <c r="D503" s="58" t="s">
        <v>846</v>
      </c>
      <c r="E503" s="59" t="s">
        <v>488</v>
      </c>
      <c r="F503" s="58" t="s">
        <v>489</v>
      </c>
      <c r="G503" s="58" t="s">
        <v>135</v>
      </c>
      <c r="H503" s="58" t="s">
        <v>18</v>
      </c>
      <c r="I503" s="58" t="s">
        <v>133</v>
      </c>
      <c r="J503" s="60">
        <v>22</v>
      </c>
      <c r="K503" s="60">
        <f t="shared" si="74"/>
        <v>3.4509803921568629</v>
      </c>
      <c r="L503" s="61">
        <f>prodnorm24</f>
        <v>0</v>
      </c>
      <c r="M503" s="58" t="s">
        <v>41</v>
      </c>
      <c r="N503" s="62">
        <f>uurtarief24</f>
        <v>0</v>
      </c>
      <c r="O503" s="60" t="e">
        <f t="shared" si="75"/>
        <v>#DIV/0!</v>
      </c>
      <c r="P503" s="62" t="e">
        <f t="shared" si="76"/>
        <v>#DIV/0!</v>
      </c>
      <c r="Q503" s="60" t="e">
        <f t="shared" si="77"/>
        <v>#DIV/0!</v>
      </c>
      <c r="R503" s="63" t="e">
        <f t="shared" si="78"/>
        <v>#DIV/0!</v>
      </c>
    </row>
    <row r="504" spans="1:18" x14ac:dyDescent="0.2">
      <c r="A504" s="57" t="s">
        <v>687</v>
      </c>
      <c r="B504" s="58" t="s">
        <v>688</v>
      </c>
      <c r="C504" s="58" t="s">
        <v>336</v>
      </c>
      <c r="D504" s="58" t="s">
        <v>847</v>
      </c>
      <c r="E504" s="59" t="s">
        <v>750</v>
      </c>
      <c r="F504" s="58" t="s">
        <v>489</v>
      </c>
      <c r="G504" s="58" t="s">
        <v>153</v>
      </c>
      <c r="H504" s="58" t="s">
        <v>11</v>
      </c>
      <c r="I504" s="58" t="s">
        <v>133</v>
      </c>
      <c r="J504" s="60">
        <v>73</v>
      </c>
      <c r="K504" s="60">
        <f t="shared" si="74"/>
        <v>57.254901960784316</v>
      </c>
      <c r="L504" s="61">
        <f>prodnorm36</f>
        <v>0</v>
      </c>
      <c r="M504" s="58" t="s">
        <v>41</v>
      </c>
      <c r="N504" s="62">
        <f>uurtarief36</f>
        <v>0</v>
      </c>
      <c r="O504" s="60" t="e">
        <f t="shared" si="75"/>
        <v>#DIV/0!</v>
      </c>
      <c r="P504" s="62" t="e">
        <f t="shared" si="76"/>
        <v>#DIV/0!</v>
      </c>
      <c r="Q504" s="60" t="e">
        <f t="shared" si="77"/>
        <v>#DIV/0!</v>
      </c>
      <c r="R504" s="63" t="e">
        <f t="shared" si="78"/>
        <v>#DIV/0!</v>
      </c>
    </row>
    <row r="505" spans="1:18" x14ac:dyDescent="0.2">
      <c r="A505" s="57" t="s">
        <v>687</v>
      </c>
      <c r="B505" s="58" t="s">
        <v>688</v>
      </c>
      <c r="C505" s="58" t="s">
        <v>336</v>
      </c>
      <c r="D505" s="58" t="s">
        <v>848</v>
      </c>
      <c r="E505" s="59" t="s">
        <v>207</v>
      </c>
      <c r="F505" s="58" t="s">
        <v>489</v>
      </c>
      <c r="G505" s="58" t="s">
        <v>171</v>
      </c>
      <c r="H505" s="58" t="s">
        <v>11</v>
      </c>
      <c r="I505" s="58" t="s">
        <v>133</v>
      </c>
      <c r="J505" s="60">
        <v>3</v>
      </c>
      <c r="K505" s="60">
        <f t="shared" si="74"/>
        <v>2.3529411764705883</v>
      </c>
      <c r="L505" s="61">
        <f>prodnorm45</f>
        <v>0</v>
      </c>
      <c r="M505" s="58" t="s">
        <v>41</v>
      </c>
      <c r="N505" s="62">
        <f>uurtarief45</f>
        <v>0</v>
      </c>
      <c r="O505" s="60" t="e">
        <f t="shared" si="75"/>
        <v>#DIV/0!</v>
      </c>
      <c r="P505" s="62" t="e">
        <f t="shared" si="76"/>
        <v>#DIV/0!</v>
      </c>
      <c r="Q505" s="60" t="e">
        <f t="shared" si="77"/>
        <v>#DIV/0!</v>
      </c>
      <c r="R505" s="63" t="e">
        <f t="shared" si="78"/>
        <v>#DIV/0!</v>
      </c>
    </row>
    <row r="506" spans="1:18" x14ac:dyDescent="0.2">
      <c r="A506" s="57" t="s">
        <v>687</v>
      </c>
      <c r="B506" s="58" t="s">
        <v>688</v>
      </c>
      <c r="C506" s="58" t="s">
        <v>336</v>
      </c>
      <c r="D506" s="58" t="s">
        <v>849</v>
      </c>
      <c r="E506" s="59" t="s">
        <v>750</v>
      </c>
      <c r="F506" s="58" t="s">
        <v>489</v>
      </c>
      <c r="G506" s="58" t="s">
        <v>153</v>
      </c>
      <c r="H506" s="58" t="s">
        <v>11</v>
      </c>
      <c r="I506" s="58" t="s">
        <v>133</v>
      </c>
      <c r="J506" s="60">
        <v>53</v>
      </c>
      <c r="K506" s="60">
        <f t="shared" si="74"/>
        <v>41.568627450980394</v>
      </c>
      <c r="L506" s="61">
        <f t="shared" ref="L506:L512" si="79">prodnorm36</f>
        <v>0</v>
      </c>
      <c r="M506" s="58" t="s">
        <v>41</v>
      </c>
      <c r="N506" s="62">
        <f t="shared" ref="N506:N512" si="80">uurtarief36</f>
        <v>0</v>
      </c>
      <c r="O506" s="60" t="e">
        <f t="shared" si="75"/>
        <v>#DIV/0!</v>
      </c>
      <c r="P506" s="62" t="e">
        <f t="shared" si="76"/>
        <v>#DIV/0!</v>
      </c>
      <c r="Q506" s="60" t="e">
        <f t="shared" si="77"/>
        <v>#DIV/0!</v>
      </c>
      <c r="R506" s="63" t="e">
        <f t="shared" si="78"/>
        <v>#DIV/0!</v>
      </c>
    </row>
    <row r="507" spans="1:18" x14ac:dyDescent="0.2">
      <c r="A507" s="57" t="s">
        <v>687</v>
      </c>
      <c r="B507" s="58" t="s">
        <v>688</v>
      </c>
      <c r="C507" s="58" t="s">
        <v>336</v>
      </c>
      <c r="D507" s="58" t="s">
        <v>850</v>
      </c>
      <c r="E507" s="59" t="s">
        <v>750</v>
      </c>
      <c r="F507" s="58" t="s">
        <v>489</v>
      </c>
      <c r="G507" s="58" t="s">
        <v>153</v>
      </c>
      <c r="H507" s="58" t="s">
        <v>11</v>
      </c>
      <c r="I507" s="58" t="s">
        <v>133</v>
      </c>
      <c r="J507" s="60">
        <v>53</v>
      </c>
      <c r="K507" s="60">
        <f t="shared" si="74"/>
        <v>41.568627450980394</v>
      </c>
      <c r="L507" s="61">
        <f t="shared" si="79"/>
        <v>0</v>
      </c>
      <c r="M507" s="58" t="s">
        <v>41</v>
      </c>
      <c r="N507" s="62">
        <f t="shared" si="80"/>
        <v>0</v>
      </c>
      <c r="O507" s="60" t="e">
        <f t="shared" si="75"/>
        <v>#DIV/0!</v>
      </c>
      <c r="P507" s="62" t="e">
        <f t="shared" si="76"/>
        <v>#DIV/0!</v>
      </c>
      <c r="Q507" s="60" t="e">
        <f t="shared" si="77"/>
        <v>#DIV/0!</v>
      </c>
      <c r="R507" s="63" t="e">
        <f t="shared" si="78"/>
        <v>#DIV/0!</v>
      </c>
    </row>
    <row r="508" spans="1:18" x14ac:dyDescent="0.2">
      <c r="A508" s="57" t="s">
        <v>687</v>
      </c>
      <c r="B508" s="58" t="s">
        <v>688</v>
      </c>
      <c r="C508" s="58" t="s">
        <v>336</v>
      </c>
      <c r="D508" s="58" t="s">
        <v>851</v>
      </c>
      <c r="E508" s="59" t="s">
        <v>750</v>
      </c>
      <c r="F508" s="58" t="s">
        <v>489</v>
      </c>
      <c r="G508" s="58" t="s">
        <v>153</v>
      </c>
      <c r="H508" s="58" t="s">
        <v>11</v>
      </c>
      <c r="I508" s="58" t="s">
        <v>133</v>
      </c>
      <c r="J508" s="60">
        <v>54</v>
      </c>
      <c r="K508" s="60">
        <f t="shared" si="74"/>
        <v>42.352941176470587</v>
      </c>
      <c r="L508" s="61">
        <f t="shared" si="79"/>
        <v>0</v>
      </c>
      <c r="M508" s="58" t="s">
        <v>41</v>
      </c>
      <c r="N508" s="62">
        <f t="shared" si="80"/>
        <v>0</v>
      </c>
      <c r="O508" s="60" t="e">
        <f t="shared" si="75"/>
        <v>#DIV/0!</v>
      </c>
      <c r="P508" s="62" t="e">
        <f t="shared" si="76"/>
        <v>#DIV/0!</v>
      </c>
      <c r="Q508" s="60" t="e">
        <f t="shared" si="77"/>
        <v>#DIV/0!</v>
      </c>
      <c r="R508" s="63" t="e">
        <f t="shared" si="78"/>
        <v>#DIV/0!</v>
      </c>
    </row>
    <row r="509" spans="1:18" x14ac:dyDescent="0.2">
      <c r="A509" s="57" t="s">
        <v>687</v>
      </c>
      <c r="B509" s="58" t="s">
        <v>688</v>
      </c>
      <c r="C509" s="58" t="s">
        <v>336</v>
      </c>
      <c r="D509" s="58" t="s">
        <v>852</v>
      </c>
      <c r="E509" s="59" t="s">
        <v>750</v>
      </c>
      <c r="F509" s="58" t="s">
        <v>489</v>
      </c>
      <c r="G509" s="58" t="s">
        <v>153</v>
      </c>
      <c r="H509" s="58" t="s">
        <v>11</v>
      </c>
      <c r="I509" s="58" t="s">
        <v>133</v>
      </c>
      <c r="J509" s="60">
        <v>53</v>
      </c>
      <c r="K509" s="60">
        <f t="shared" si="74"/>
        <v>41.568627450980394</v>
      </c>
      <c r="L509" s="61">
        <f t="shared" si="79"/>
        <v>0</v>
      </c>
      <c r="M509" s="58" t="s">
        <v>41</v>
      </c>
      <c r="N509" s="62">
        <f t="shared" si="80"/>
        <v>0</v>
      </c>
      <c r="O509" s="60" t="e">
        <f t="shared" si="75"/>
        <v>#DIV/0!</v>
      </c>
      <c r="P509" s="62" t="e">
        <f t="shared" si="76"/>
        <v>#DIV/0!</v>
      </c>
      <c r="Q509" s="60" t="e">
        <f t="shared" si="77"/>
        <v>#DIV/0!</v>
      </c>
      <c r="R509" s="63" t="e">
        <f t="shared" si="78"/>
        <v>#DIV/0!</v>
      </c>
    </row>
    <row r="510" spans="1:18" x14ac:dyDescent="0.2">
      <c r="A510" s="57" t="s">
        <v>687</v>
      </c>
      <c r="B510" s="58" t="s">
        <v>688</v>
      </c>
      <c r="C510" s="58" t="s">
        <v>336</v>
      </c>
      <c r="D510" s="58" t="s">
        <v>853</v>
      </c>
      <c r="E510" s="59" t="s">
        <v>750</v>
      </c>
      <c r="F510" s="58" t="s">
        <v>489</v>
      </c>
      <c r="G510" s="58" t="s">
        <v>153</v>
      </c>
      <c r="H510" s="58" t="s">
        <v>11</v>
      </c>
      <c r="I510" s="58" t="s">
        <v>133</v>
      </c>
      <c r="J510" s="60">
        <v>64</v>
      </c>
      <c r="K510" s="60">
        <f t="shared" si="74"/>
        <v>50.196078431372548</v>
      </c>
      <c r="L510" s="61">
        <f t="shared" si="79"/>
        <v>0</v>
      </c>
      <c r="M510" s="58" t="s">
        <v>41</v>
      </c>
      <c r="N510" s="62">
        <f t="shared" si="80"/>
        <v>0</v>
      </c>
      <c r="O510" s="60" t="e">
        <f t="shared" si="75"/>
        <v>#DIV/0!</v>
      </c>
      <c r="P510" s="62" t="e">
        <f t="shared" si="76"/>
        <v>#DIV/0!</v>
      </c>
      <c r="Q510" s="60" t="e">
        <f t="shared" si="77"/>
        <v>#DIV/0!</v>
      </c>
      <c r="R510" s="63" t="e">
        <f t="shared" si="78"/>
        <v>#DIV/0!</v>
      </c>
    </row>
    <row r="511" spans="1:18" x14ac:dyDescent="0.2">
      <c r="A511" s="57" t="s">
        <v>687</v>
      </c>
      <c r="B511" s="58" t="s">
        <v>688</v>
      </c>
      <c r="C511" s="58" t="s">
        <v>336</v>
      </c>
      <c r="D511" s="58" t="s">
        <v>854</v>
      </c>
      <c r="E511" s="59" t="s">
        <v>750</v>
      </c>
      <c r="F511" s="58" t="s">
        <v>489</v>
      </c>
      <c r="G511" s="58" t="s">
        <v>153</v>
      </c>
      <c r="H511" s="58" t="s">
        <v>11</v>
      </c>
      <c r="I511" s="58" t="s">
        <v>133</v>
      </c>
      <c r="J511" s="60">
        <v>49</v>
      </c>
      <c r="K511" s="60">
        <f t="shared" si="74"/>
        <v>38.431372549019606</v>
      </c>
      <c r="L511" s="61">
        <f t="shared" si="79"/>
        <v>0</v>
      </c>
      <c r="M511" s="58" t="s">
        <v>41</v>
      </c>
      <c r="N511" s="62">
        <f t="shared" si="80"/>
        <v>0</v>
      </c>
      <c r="O511" s="60" t="e">
        <f t="shared" si="75"/>
        <v>#DIV/0!</v>
      </c>
      <c r="P511" s="62" t="e">
        <f t="shared" si="76"/>
        <v>#DIV/0!</v>
      </c>
      <c r="Q511" s="60" t="e">
        <f t="shared" si="77"/>
        <v>#DIV/0!</v>
      </c>
      <c r="R511" s="63" t="e">
        <f t="shared" si="78"/>
        <v>#DIV/0!</v>
      </c>
    </row>
    <row r="512" spans="1:18" x14ac:dyDescent="0.2">
      <c r="A512" s="57" t="s">
        <v>687</v>
      </c>
      <c r="B512" s="58" t="s">
        <v>688</v>
      </c>
      <c r="C512" s="58" t="s">
        <v>336</v>
      </c>
      <c r="D512" s="58" t="s">
        <v>855</v>
      </c>
      <c r="E512" s="59" t="s">
        <v>750</v>
      </c>
      <c r="F512" s="58" t="s">
        <v>489</v>
      </c>
      <c r="G512" s="58" t="s">
        <v>153</v>
      </c>
      <c r="H512" s="58" t="s">
        <v>11</v>
      </c>
      <c r="I512" s="58" t="s">
        <v>133</v>
      </c>
      <c r="J512" s="60">
        <v>63</v>
      </c>
      <c r="K512" s="60">
        <f t="shared" si="74"/>
        <v>49.411764705882355</v>
      </c>
      <c r="L512" s="61">
        <f t="shared" si="79"/>
        <v>0</v>
      </c>
      <c r="M512" s="58" t="s">
        <v>41</v>
      </c>
      <c r="N512" s="62">
        <f t="shared" si="80"/>
        <v>0</v>
      </c>
      <c r="O512" s="60" t="e">
        <f t="shared" si="75"/>
        <v>#DIV/0!</v>
      </c>
      <c r="P512" s="62" t="e">
        <f t="shared" si="76"/>
        <v>#DIV/0!</v>
      </c>
      <c r="Q512" s="60" t="e">
        <f t="shared" si="77"/>
        <v>#DIV/0!</v>
      </c>
      <c r="R512" s="63" t="e">
        <f t="shared" si="78"/>
        <v>#DIV/0!</v>
      </c>
    </row>
    <row r="513" spans="1:18" x14ac:dyDescent="0.2">
      <c r="A513" s="57" t="s">
        <v>687</v>
      </c>
      <c r="B513" s="58" t="s">
        <v>688</v>
      </c>
      <c r="C513" s="58" t="s">
        <v>336</v>
      </c>
      <c r="D513" s="58" t="s">
        <v>856</v>
      </c>
      <c r="E513" s="59" t="s">
        <v>259</v>
      </c>
      <c r="F513" s="58" t="s">
        <v>489</v>
      </c>
      <c r="G513" s="58" t="s">
        <v>173</v>
      </c>
      <c r="H513" s="58" t="s">
        <v>12</v>
      </c>
      <c r="I513" s="58" t="s">
        <v>174</v>
      </c>
      <c r="J513" s="60">
        <v>19</v>
      </c>
      <c r="K513" s="60">
        <f t="shared" si="74"/>
        <v>11.921568627450981</v>
      </c>
      <c r="L513" s="61">
        <f>prodnorm21</f>
        <v>0</v>
      </c>
      <c r="M513" s="58" t="s">
        <v>41</v>
      </c>
      <c r="N513" s="62">
        <f>uurtarief21</f>
        <v>0</v>
      </c>
      <c r="O513" s="60" t="e">
        <f t="shared" si="75"/>
        <v>#DIV/0!</v>
      </c>
      <c r="P513" s="62" t="e">
        <f t="shared" si="76"/>
        <v>#DIV/0!</v>
      </c>
      <c r="Q513" s="60" t="e">
        <f t="shared" si="77"/>
        <v>#DIV/0!</v>
      </c>
      <c r="R513" s="63" t="e">
        <f t="shared" si="78"/>
        <v>#DIV/0!</v>
      </c>
    </row>
    <row r="514" spans="1:18" x14ac:dyDescent="0.2">
      <c r="A514" s="57" t="s">
        <v>687</v>
      </c>
      <c r="B514" s="58" t="s">
        <v>688</v>
      </c>
      <c r="C514" s="58" t="s">
        <v>336</v>
      </c>
      <c r="D514" s="58" t="s">
        <v>856</v>
      </c>
      <c r="E514" s="59" t="s">
        <v>259</v>
      </c>
      <c r="F514" s="58" t="s">
        <v>489</v>
      </c>
      <c r="G514" s="58" t="s">
        <v>135</v>
      </c>
      <c r="H514" s="58" t="s">
        <v>18</v>
      </c>
      <c r="I514" s="58" t="s">
        <v>133</v>
      </c>
      <c r="J514" s="60">
        <v>19</v>
      </c>
      <c r="K514" s="60">
        <f t="shared" si="74"/>
        <v>2.9803921568627452</v>
      </c>
      <c r="L514" s="61">
        <f>prodnorm24</f>
        <v>0</v>
      </c>
      <c r="M514" s="58" t="s">
        <v>41</v>
      </c>
      <c r="N514" s="62">
        <f>uurtarief24</f>
        <v>0</v>
      </c>
      <c r="O514" s="60" t="e">
        <f t="shared" si="75"/>
        <v>#DIV/0!</v>
      </c>
      <c r="P514" s="62" t="e">
        <f t="shared" si="76"/>
        <v>#DIV/0!</v>
      </c>
      <c r="Q514" s="60" t="e">
        <f t="shared" si="77"/>
        <v>#DIV/0!</v>
      </c>
      <c r="R514" s="63" t="e">
        <f t="shared" si="78"/>
        <v>#DIV/0!</v>
      </c>
    </row>
    <row r="515" spans="1:18" x14ac:dyDescent="0.2">
      <c r="A515" s="57" t="s">
        <v>687</v>
      </c>
      <c r="B515" s="58" t="s">
        <v>688</v>
      </c>
      <c r="C515" s="58" t="s">
        <v>336</v>
      </c>
      <c r="D515" s="58" t="s">
        <v>857</v>
      </c>
      <c r="E515" s="59" t="s">
        <v>760</v>
      </c>
      <c r="F515" s="58" t="s">
        <v>489</v>
      </c>
      <c r="G515" s="58" t="s">
        <v>135</v>
      </c>
      <c r="H515" s="58" t="s">
        <v>11</v>
      </c>
      <c r="I515" s="58" t="s">
        <v>133</v>
      </c>
      <c r="J515" s="60">
        <v>16</v>
      </c>
      <c r="K515" s="60">
        <f t="shared" si="74"/>
        <v>12.549019607843137</v>
      </c>
      <c r="L515" s="61">
        <f>prodnorm23</f>
        <v>0</v>
      </c>
      <c r="M515" s="58" t="s">
        <v>41</v>
      </c>
      <c r="N515" s="62">
        <f>uurtarief23</f>
        <v>0</v>
      </c>
      <c r="O515" s="60" t="e">
        <f t="shared" si="75"/>
        <v>#DIV/0!</v>
      </c>
      <c r="P515" s="62" t="e">
        <f t="shared" si="76"/>
        <v>#DIV/0!</v>
      </c>
      <c r="Q515" s="60" t="e">
        <f t="shared" si="77"/>
        <v>#DIV/0!</v>
      </c>
      <c r="R515" s="63" t="e">
        <f t="shared" si="78"/>
        <v>#DIV/0!</v>
      </c>
    </row>
    <row r="516" spans="1:18" x14ac:dyDescent="0.2">
      <c r="A516" s="57" t="s">
        <v>687</v>
      </c>
      <c r="B516" s="58" t="s">
        <v>688</v>
      </c>
      <c r="C516" s="58" t="s">
        <v>336</v>
      </c>
      <c r="D516" s="58" t="s">
        <v>858</v>
      </c>
      <c r="E516" s="59" t="s">
        <v>727</v>
      </c>
      <c r="F516" s="58" t="s">
        <v>489</v>
      </c>
      <c r="G516" s="58" t="s">
        <v>173</v>
      </c>
      <c r="H516" s="58" t="s">
        <v>12</v>
      </c>
      <c r="I516" s="58" t="s">
        <v>174</v>
      </c>
      <c r="J516" s="60">
        <v>15</v>
      </c>
      <c r="K516" s="60">
        <f t="shared" si="74"/>
        <v>9.4117647058823533</v>
      </c>
      <c r="L516" s="61">
        <f>prodnorm21</f>
        <v>0</v>
      </c>
      <c r="M516" s="58" t="s">
        <v>41</v>
      </c>
      <c r="N516" s="62">
        <f>uurtarief21</f>
        <v>0</v>
      </c>
      <c r="O516" s="60" t="e">
        <f t="shared" si="75"/>
        <v>#DIV/0!</v>
      </c>
      <c r="P516" s="62" t="e">
        <f t="shared" si="76"/>
        <v>#DIV/0!</v>
      </c>
      <c r="Q516" s="60" t="e">
        <f t="shared" si="77"/>
        <v>#DIV/0!</v>
      </c>
      <c r="R516" s="63" t="e">
        <f t="shared" si="78"/>
        <v>#DIV/0!</v>
      </c>
    </row>
    <row r="517" spans="1:18" x14ac:dyDescent="0.2">
      <c r="A517" s="57" t="s">
        <v>687</v>
      </c>
      <c r="B517" s="58" t="s">
        <v>688</v>
      </c>
      <c r="C517" s="58" t="s">
        <v>336</v>
      </c>
      <c r="D517" s="58" t="s">
        <v>858</v>
      </c>
      <c r="E517" s="59" t="s">
        <v>727</v>
      </c>
      <c r="F517" s="58" t="s">
        <v>489</v>
      </c>
      <c r="G517" s="58" t="s">
        <v>135</v>
      </c>
      <c r="H517" s="58" t="s">
        <v>18</v>
      </c>
      <c r="I517" s="58" t="s">
        <v>133</v>
      </c>
      <c r="J517" s="60">
        <v>15</v>
      </c>
      <c r="K517" s="60">
        <f t="shared" si="74"/>
        <v>2.3529411764705883</v>
      </c>
      <c r="L517" s="61">
        <f>prodnorm24</f>
        <v>0</v>
      </c>
      <c r="M517" s="58" t="s">
        <v>41</v>
      </c>
      <c r="N517" s="62">
        <f>uurtarief24</f>
        <v>0</v>
      </c>
      <c r="O517" s="60" t="e">
        <f t="shared" si="75"/>
        <v>#DIV/0!</v>
      </c>
      <c r="P517" s="62" t="e">
        <f t="shared" si="76"/>
        <v>#DIV/0!</v>
      </c>
      <c r="Q517" s="60" t="e">
        <f t="shared" si="77"/>
        <v>#DIV/0!</v>
      </c>
      <c r="R517" s="63" t="e">
        <f t="shared" si="78"/>
        <v>#DIV/0!</v>
      </c>
    </row>
    <row r="518" spans="1:18" x14ac:dyDescent="0.2">
      <c r="A518" s="57" t="s">
        <v>687</v>
      </c>
      <c r="B518" s="58" t="s">
        <v>688</v>
      </c>
      <c r="C518" s="58" t="s">
        <v>336</v>
      </c>
      <c r="D518" s="58" t="s">
        <v>859</v>
      </c>
      <c r="E518" s="59" t="s">
        <v>750</v>
      </c>
      <c r="F518" s="58" t="s">
        <v>489</v>
      </c>
      <c r="G518" s="58" t="s">
        <v>153</v>
      </c>
      <c r="H518" s="58" t="s">
        <v>11</v>
      </c>
      <c r="I518" s="58" t="s">
        <v>133</v>
      </c>
      <c r="J518" s="60">
        <v>53</v>
      </c>
      <c r="K518" s="60">
        <f t="shared" si="74"/>
        <v>41.568627450980394</v>
      </c>
      <c r="L518" s="61">
        <f>prodnorm36</f>
        <v>0</v>
      </c>
      <c r="M518" s="58" t="s">
        <v>41</v>
      </c>
      <c r="N518" s="62">
        <f>uurtarief36</f>
        <v>0</v>
      </c>
      <c r="O518" s="60" t="e">
        <f t="shared" si="75"/>
        <v>#DIV/0!</v>
      </c>
      <c r="P518" s="62" t="e">
        <f t="shared" si="76"/>
        <v>#DIV/0!</v>
      </c>
      <c r="Q518" s="60" t="e">
        <f t="shared" si="77"/>
        <v>#DIV/0!</v>
      </c>
      <c r="R518" s="63" t="e">
        <f t="shared" si="78"/>
        <v>#DIV/0!</v>
      </c>
    </row>
    <row r="519" spans="1:18" x14ac:dyDescent="0.2">
      <c r="A519" s="57" t="s">
        <v>687</v>
      </c>
      <c r="B519" s="58" t="s">
        <v>688</v>
      </c>
      <c r="C519" s="58" t="s">
        <v>336</v>
      </c>
      <c r="D519" s="58" t="s">
        <v>860</v>
      </c>
      <c r="E519" s="59" t="s">
        <v>861</v>
      </c>
      <c r="F519" s="58" t="s">
        <v>489</v>
      </c>
      <c r="G519" s="58" t="s">
        <v>157</v>
      </c>
      <c r="H519" s="58" t="s">
        <v>11</v>
      </c>
      <c r="I519" s="58" t="s">
        <v>133</v>
      </c>
      <c r="J519" s="60">
        <v>96</v>
      </c>
      <c r="K519" s="60">
        <f t="shared" si="74"/>
        <v>75.294117647058826</v>
      </c>
      <c r="L519" s="61">
        <f>prodnorm38</f>
        <v>0</v>
      </c>
      <c r="M519" s="58" t="s">
        <v>41</v>
      </c>
      <c r="N519" s="62">
        <f>uurtarief38</f>
        <v>0</v>
      </c>
      <c r="O519" s="60" t="e">
        <f t="shared" si="75"/>
        <v>#DIV/0!</v>
      </c>
      <c r="P519" s="62" t="e">
        <f t="shared" si="76"/>
        <v>#DIV/0!</v>
      </c>
      <c r="Q519" s="60" t="e">
        <f t="shared" si="77"/>
        <v>#DIV/0!</v>
      </c>
      <c r="R519" s="63" t="e">
        <f t="shared" si="78"/>
        <v>#DIV/0!</v>
      </c>
    </row>
    <row r="520" spans="1:18" x14ac:dyDescent="0.2">
      <c r="A520" s="57" t="s">
        <v>687</v>
      </c>
      <c r="B520" s="58" t="s">
        <v>688</v>
      </c>
      <c r="C520" s="58" t="s">
        <v>336</v>
      </c>
      <c r="D520" s="58" t="s">
        <v>862</v>
      </c>
      <c r="E520" s="59" t="s">
        <v>488</v>
      </c>
      <c r="F520" s="58" t="s">
        <v>489</v>
      </c>
      <c r="G520" s="58" t="s">
        <v>173</v>
      </c>
      <c r="H520" s="58" t="s">
        <v>12</v>
      </c>
      <c r="I520" s="58" t="s">
        <v>174</v>
      </c>
      <c r="J520" s="60">
        <v>8.5</v>
      </c>
      <c r="K520" s="60">
        <f t="shared" si="74"/>
        <v>5.333333333333333</v>
      </c>
      <c r="L520" s="61">
        <f>prodnorm21</f>
        <v>0</v>
      </c>
      <c r="M520" s="58" t="s">
        <v>41</v>
      </c>
      <c r="N520" s="62">
        <f>uurtarief21</f>
        <v>0</v>
      </c>
      <c r="O520" s="60" t="e">
        <f t="shared" si="75"/>
        <v>#DIV/0!</v>
      </c>
      <c r="P520" s="62" t="e">
        <f t="shared" si="76"/>
        <v>#DIV/0!</v>
      </c>
      <c r="Q520" s="60" t="e">
        <f t="shared" si="77"/>
        <v>#DIV/0!</v>
      </c>
      <c r="R520" s="63" t="e">
        <f t="shared" si="78"/>
        <v>#DIV/0!</v>
      </c>
    </row>
    <row r="521" spans="1:18" x14ac:dyDescent="0.2">
      <c r="A521" s="57" t="s">
        <v>687</v>
      </c>
      <c r="B521" s="58" t="s">
        <v>688</v>
      </c>
      <c r="C521" s="58" t="s">
        <v>336</v>
      </c>
      <c r="D521" s="58" t="s">
        <v>862</v>
      </c>
      <c r="E521" s="59" t="s">
        <v>488</v>
      </c>
      <c r="F521" s="58" t="s">
        <v>489</v>
      </c>
      <c r="G521" s="58" t="s">
        <v>135</v>
      </c>
      <c r="H521" s="58" t="s">
        <v>18</v>
      </c>
      <c r="I521" s="58" t="s">
        <v>133</v>
      </c>
      <c r="J521" s="60">
        <v>8.5</v>
      </c>
      <c r="K521" s="60">
        <f t="shared" si="74"/>
        <v>1.3333333333333333</v>
      </c>
      <c r="L521" s="61">
        <f>prodnorm24</f>
        <v>0</v>
      </c>
      <c r="M521" s="58" t="s">
        <v>41</v>
      </c>
      <c r="N521" s="62">
        <f>uurtarief24</f>
        <v>0</v>
      </c>
      <c r="O521" s="60" t="e">
        <f t="shared" si="75"/>
        <v>#DIV/0!</v>
      </c>
      <c r="P521" s="62" t="e">
        <f t="shared" si="76"/>
        <v>#DIV/0!</v>
      </c>
      <c r="Q521" s="60" t="e">
        <f t="shared" si="77"/>
        <v>#DIV/0!</v>
      </c>
      <c r="R521" s="63" t="e">
        <f t="shared" si="78"/>
        <v>#DIV/0!</v>
      </c>
    </row>
    <row r="522" spans="1:18" x14ac:dyDescent="0.2">
      <c r="A522" s="57" t="s">
        <v>687</v>
      </c>
      <c r="B522" s="58" t="s">
        <v>688</v>
      </c>
      <c r="C522" s="58" t="s">
        <v>336</v>
      </c>
      <c r="D522" s="58" t="s">
        <v>863</v>
      </c>
      <c r="E522" s="59" t="s">
        <v>488</v>
      </c>
      <c r="F522" s="58" t="s">
        <v>489</v>
      </c>
      <c r="G522" s="58" t="s">
        <v>173</v>
      </c>
      <c r="H522" s="58" t="s">
        <v>12</v>
      </c>
      <c r="I522" s="58" t="s">
        <v>174</v>
      </c>
      <c r="J522" s="60">
        <v>8.5</v>
      </c>
      <c r="K522" s="60">
        <f t="shared" si="74"/>
        <v>5.333333333333333</v>
      </c>
      <c r="L522" s="61">
        <f>prodnorm21</f>
        <v>0</v>
      </c>
      <c r="M522" s="58" t="s">
        <v>41</v>
      </c>
      <c r="N522" s="62">
        <f>uurtarief21</f>
        <v>0</v>
      </c>
      <c r="O522" s="60" t="e">
        <f t="shared" si="75"/>
        <v>#DIV/0!</v>
      </c>
      <c r="P522" s="62" t="e">
        <f t="shared" si="76"/>
        <v>#DIV/0!</v>
      </c>
      <c r="Q522" s="60" t="e">
        <f t="shared" si="77"/>
        <v>#DIV/0!</v>
      </c>
      <c r="R522" s="63" t="e">
        <f t="shared" si="78"/>
        <v>#DIV/0!</v>
      </c>
    </row>
    <row r="523" spans="1:18" x14ac:dyDescent="0.2">
      <c r="A523" s="57" t="s">
        <v>687</v>
      </c>
      <c r="B523" s="58" t="s">
        <v>688</v>
      </c>
      <c r="C523" s="58" t="s">
        <v>336</v>
      </c>
      <c r="D523" s="58" t="s">
        <v>863</v>
      </c>
      <c r="E523" s="59" t="s">
        <v>488</v>
      </c>
      <c r="F523" s="58" t="s">
        <v>489</v>
      </c>
      <c r="G523" s="58" t="s">
        <v>135</v>
      </c>
      <c r="H523" s="58" t="s">
        <v>18</v>
      </c>
      <c r="I523" s="58" t="s">
        <v>133</v>
      </c>
      <c r="J523" s="60">
        <v>8.5</v>
      </c>
      <c r="K523" s="60">
        <f t="shared" si="74"/>
        <v>1.3333333333333333</v>
      </c>
      <c r="L523" s="61">
        <f>prodnorm24</f>
        <v>0</v>
      </c>
      <c r="M523" s="58" t="s">
        <v>41</v>
      </c>
      <c r="N523" s="62">
        <f>uurtarief24</f>
        <v>0</v>
      </c>
      <c r="O523" s="60" t="e">
        <f t="shared" si="75"/>
        <v>#DIV/0!</v>
      </c>
      <c r="P523" s="62" t="e">
        <f t="shared" si="76"/>
        <v>#DIV/0!</v>
      </c>
      <c r="Q523" s="60" t="e">
        <f t="shared" si="77"/>
        <v>#DIV/0!</v>
      </c>
      <c r="R523" s="63" t="e">
        <f t="shared" si="78"/>
        <v>#DIV/0!</v>
      </c>
    </row>
    <row r="524" spans="1:18" x14ac:dyDescent="0.2">
      <c r="A524" s="57" t="s">
        <v>687</v>
      </c>
      <c r="B524" s="58" t="s">
        <v>688</v>
      </c>
      <c r="C524" s="58" t="s">
        <v>336</v>
      </c>
      <c r="D524" s="58" t="s">
        <v>864</v>
      </c>
      <c r="E524" s="59" t="s">
        <v>207</v>
      </c>
      <c r="F524" s="58" t="s">
        <v>489</v>
      </c>
      <c r="G524" s="58" t="s">
        <v>171</v>
      </c>
      <c r="H524" s="58" t="s">
        <v>11</v>
      </c>
      <c r="I524" s="58" t="s">
        <v>133</v>
      </c>
      <c r="J524" s="60">
        <v>49</v>
      </c>
      <c r="K524" s="60">
        <f t="shared" si="74"/>
        <v>38.431372549019606</v>
      </c>
      <c r="L524" s="61">
        <f>prodnorm45</f>
        <v>0</v>
      </c>
      <c r="M524" s="58" t="s">
        <v>41</v>
      </c>
      <c r="N524" s="62">
        <f>uurtarief45</f>
        <v>0</v>
      </c>
      <c r="O524" s="60" t="e">
        <f t="shared" si="75"/>
        <v>#DIV/0!</v>
      </c>
      <c r="P524" s="62" t="e">
        <f t="shared" si="76"/>
        <v>#DIV/0!</v>
      </c>
      <c r="Q524" s="60" t="e">
        <f t="shared" si="77"/>
        <v>#DIV/0!</v>
      </c>
      <c r="R524" s="63" t="e">
        <f t="shared" si="78"/>
        <v>#DIV/0!</v>
      </c>
    </row>
    <row r="525" spans="1:18" x14ac:dyDescent="0.2">
      <c r="A525" s="57" t="s">
        <v>687</v>
      </c>
      <c r="B525" s="58" t="s">
        <v>688</v>
      </c>
      <c r="C525" s="58" t="s">
        <v>336</v>
      </c>
      <c r="D525" s="58" t="s">
        <v>865</v>
      </c>
      <c r="E525" s="59" t="s">
        <v>808</v>
      </c>
      <c r="F525" s="58" t="s">
        <v>489</v>
      </c>
      <c r="G525" s="58" t="s">
        <v>157</v>
      </c>
      <c r="H525" s="58" t="s">
        <v>11</v>
      </c>
      <c r="I525" s="58" t="s">
        <v>133</v>
      </c>
      <c r="J525" s="60">
        <v>130</v>
      </c>
      <c r="K525" s="60">
        <f t="shared" si="74"/>
        <v>101.96078431372548</v>
      </c>
      <c r="L525" s="61">
        <f>prodnorm38</f>
        <v>0</v>
      </c>
      <c r="M525" s="58" t="s">
        <v>41</v>
      </c>
      <c r="N525" s="62">
        <f>uurtarief38</f>
        <v>0</v>
      </c>
      <c r="O525" s="60" t="e">
        <f t="shared" si="75"/>
        <v>#DIV/0!</v>
      </c>
      <c r="P525" s="62" t="e">
        <f t="shared" si="76"/>
        <v>#DIV/0!</v>
      </c>
      <c r="Q525" s="60" t="e">
        <f t="shared" si="77"/>
        <v>#DIV/0!</v>
      </c>
      <c r="R525" s="63" t="e">
        <f t="shared" si="78"/>
        <v>#DIV/0!</v>
      </c>
    </row>
    <row r="526" spans="1:18" x14ac:dyDescent="0.2">
      <c r="A526" s="57" t="s">
        <v>687</v>
      </c>
      <c r="B526" s="58" t="s">
        <v>688</v>
      </c>
      <c r="C526" s="58" t="s">
        <v>336</v>
      </c>
      <c r="D526" s="58" t="s">
        <v>866</v>
      </c>
      <c r="E526" s="59" t="s">
        <v>808</v>
      </c>
      <c r="F526" s="58" t="s">
        <v>489</v>
      </c>
      <c r="G526" s="58" t="s">
        <v>157</v>
      </c>
      <c r="H526" s="58" t="s">
        <v>11</v>
      </c>
      <c r="I526" s="58" t="s">
        <v>133</v>
      </c>
      <c r="J526" s="60">
        <v>146</v>
      </c>
      <c r="K526" s="60">
        <f t="shared" si="74"/>
        <v>114.50980392156863</v>
      </c>
      <c r="L526" s="61">
        <f>prodnorm38</f>
        <v>0</v>
      </c>
      <c r="M526" s="58" t="s">
        <v>41</v>
      </c>
      <c r="N526" s="62">
        <f>uurtarief38</f>
        <v>0</v>
      </c>
      <c r="O526" s="60" t="e">
        <f t="shared" si="75"/>
        <v>#DIV/0!</v>
      </c>
      <c r="P526" s="62" t="e">
        <f t="shared" si="76"/>
        <v>#DIV/0!</v>
      </c>
      <c r="Q526" s="60" t="e">
        <f t="shared" si="77"/>
        <v>#DIV/0!</v>
      </c>
      <c r="R526" s="63" t="e">
        <f t="shared" si="78"/>
        <v>#DIV/0!</v>
      </c>
    </row>
    <row r="527" spans="1:18" x14ac:dyDescent="0.2">
      <c r="A527" s="57" t="s">
        <v>687</v>
      </c>
      <c r="B527" s="58" t="s">
        <v>688</v>
      </c>
      <c r="C527" s="58" t="s">
        <v>336</v>
      </c>
      <c r="D527" s="58" t="s">
        <v>867</v>
      </c>
      <c r="E527" s="59" t="s">
        <v>701</v>
      </c>
      <c r="F527" s="58" t="s">
        <v>489</v>
      </c>
      <c r="G527" s="58" t="s">
        <v>169</v>
      </c>
      <c r="H527" s="58" t="s">
        <v>11</v>
      </c>
      <c r="I527" s="58" t="s">
        <v>133</v>
      </c>
      <c r="J527" s="60">
        <v>26</v>
      </c>
      <c r="K527" s="60">
        <f t="shared" si="74"/>
        <v>20.392156862745097</v>
      </c>
      <c r="L527" s="61">
        <f>prodnorm44</f>
        <v>0</v>
      </c>
      <c r="M527" s="58" t="s">
        <v>41</v>
      </c>
      <c r="N527" s="62">
        <f>uurtarief44</f>
        <v>0</v>
      </c>
      <c r="O527" s="60" t="e">
        <f t="shared" si="75"/>
        <v>#DIV/0!</v>
      </c>
      <c r="P527" s="62" t="e">
        <f t="shared" si="76"/>
        <v>#DIV/0!</v>
      </c>
      <c r="Q527" s="60" t="e">
        <f t="shared" si="77"/>
        <v>#DIV/0!</v>
      </c>
      <c r="R527" s="63" t="e">
        <f t="shared" si="78"/>
        <v>#DIV/0!</v>
      </c>
    </row>
    <row r="528" spans="1:18" x14ac:dyDescent="0.2">
      <c r="A528" s="57" t="s">
        <v>687</v>
      </c>
      <c r="B528" s="58" t="s">
        <v>688</v>
      </c>
      <c r="C528" s="58" t="s">
        <v>336</v>
      </c>
      <c r="D528" s="58" t="s">
        <v>868</v>
      </c>
      <c r="E528" s="59" t="s">
        <v>703</v>
      </c>
      <c r="F528" s="58" t="s">
        <v>489</v>
      </c>
      <c r="G528" s="58" t="s">
        <v>167</v>
      </c>
      <c r="H528" s="58" t="s">
        <v>11</v>
      </c>
      <c r="I528" s="58" t="s">
        <v>133</v>
      </c>
      <c r="J528" s="60">
        <v>13</v>
      </c>
      <c r="K528" s="60">
        <f t="shared" si="74"/>
        <v>10.196078431372548</v>
      </c>
      <c r="L528" s="61">
        <f>prodnorm43</f>
        <v>0</v>
      </c>
      <c r="M528" s="58" t="s">
        <v>41</v>
      </c>
      <c r="N528" s="62">
        <f>uurtarief43</f>
        <v>0</v>
      </c>
      <c r="O528" s="60" t="e">
        <f t="shared" si="75"/>
        <v>#DIV/0!</v>
      </c>
      <c r="P528" s="62" t="e">
        <f t="shared" si="76"/>
        <v>#DIV/0!</v>
      </c>
      <c r="Q528" s="60" t="e">
        <f t="shared" si="77"/>
        <v>#DIV/0!</v>
      </c>
      <c r="R528" s="63" t="e">
        <f t="shared" si="78"/>
        <v>#DIV/0!</v>
      </c>
    </row>
    <row r="529" spans="1:18" x14ac:dyDescent="0.2">
      <c r="A529" s="57" t="s">
        <v>687</v>
      </c>
      <c r="B529" s="58" t="s">
        <v>688</v>
      </c>
      <c r="C529" s="58" t="s">
        <v>336</v>
      </c>
      <c r="D529" s="58" t="s">
        <v>869</v>
      </c>
      <c r="E529" s="59" t="s">
        <v>703</v>
      </c>
      <c r="F529" s="58" t="s">
        <v>489</v>
      </c>
      <c r="G529" s="58" t="s">
        <v>167</v>
      </c>
      <c r="H529" s="58" t="s">
        <v>11</v>
      </c>
      <c r="I529" s="58" t="s">
        <v>133</v>
      </c>
      <c r="J529" s="60">
        <v>14</v>
      </c>
      <c r="K529" s="60">
        <f t="shared" si="74"/>
        <v>10.980392156862745</v>
      </c>
      <c r="L529" s="61">
        <f>prodnorm43</f>
        <v>0</v>
      </c>
      <c r="M529" s="58" t="s">
        <v>41</v>
      </c>
      <c r="N529" s="62">
        <f>uurtarief43</f>
        <v>0</v>
      </c>
      <c r="O529" s="60" t="e">
        <f t="shared" si="75"/>
        <v>#DIV/0!</v>
      </c>
      <c r="P529" s="62" t="e">
        <f t="shared" si="76"/>
        <v>#DIV/0!</v>
      </c>
      <c r="Q529" s="60" t="e">
        <f t="shared" si="77"/>
        <v>#DIV/0!</v>
      </c>
      <c r="R529" s="63" t="e">
        <f t="shared" si="78"/>
        <v>#DIV/0!</v>
      </c>
    </row>
    <row r="530" spans="1:18" x14ac:dyDescent="0.2">
      <c r="A530" s="57" t="s">
        <v>687</v>
      </c>
      <c r="B530" s="58" t="s">
        <v>688</v>
      </c>
      <c r="C530" s="58" t="s">
        <v>336</v>
      </c>
      <c r="D530" s="58" t="s">
        <v>870</v>
      </c>
      <c r="E530" s="59" t="s">
        <v>706</v>
      </c>
      <c r="F530" s="58" t="s">
        <v>489</v>
      </c>
      <c r="G530" s="58" t="s">
        <v>169</v>
      </c>
      <c r="H530" s="58" t="s">
        <v>11</v>
      </c>
      <c r="I530" s="58" t="s">
        <v>133</v>
      </c>
      <c r="J530" s="60">
        <v>25</v>
      </c>
      <c r="K530" s="60">
        <f t="shared" si="74"/>
        <v>19.607843137254903</v>
      </c>
      <c r="L530" s="61">
        <f>prodnorm44</f>
        <v>0</v>
      </c>
      <c r="M530" s="58" t="s">
        <v>41</v>
      </c>
      <c r="N530" s="62">
        <f>uurtarief44</f>
        <v>0</v>
      </c>
      <c r="O530" s="60" t="e">
        <f t="shared" si="75"/>
        <v>#DIV/0!</v>
      </c>
      <c r="P530" s="62" t="e">
        <f t="shared" si="76"/>
        <v>#DIV/0!</v>
      </c>
      <c r="Q530" s="60" t="e">
        <f t="shared" si="77"/>
        <v>#DIV/0!</v>
      </c>
      <c r="R530" s="63" t="e">
        <f t="shared" si="78"/>
        <v>#DIV/0!</v>
      </c>
    </row>
    <row r="531" spans="1:18" x14ac:dyDescent="0.2">
      <c r="A531" s="57" t="s">
        <v>687</v>
      </c>
      <c r="B531" s="58" t="s">
        <v>688</v>
      </c>
      <c r="C531" s="58" t="s">
        <v>336</v>
      </c>
      <c r="D531" s="58" t="s">
        <v>871</v>
      </c>
      <c r="E531" s="59" t="s">
        <v>703</v>
      </c>
      <c r="F531" s="58" t="s">
        <v>489</v>
      </c>
      <c r="G531" s="58" t="s">
        <v>167</v>
      </c>
      <c r="H531" s="58" t="s">
        <v>11</v>
      </c>
      <c r="I531" s="58" t="s">
        <v>133</v>
      </c>
      <c r="J531" s="60">
        <v>9</v>
      </c>
      <c r="K531" s="60">
        <f t="shared" si="74"/>
        <v>7.0588235294117645</v>
      </c>
      <c r="L531" s="61">
        <f>prodnorm43</f>
        <v>0</v>
      </c>
      <c r="M531" s="58" t="s">
        <v>41</v>
      </c>
      <c r="N531" s="62">
        <f>uurtarief43</f>
        <v>0</v>
      </c>
      <c r="O531" s="60" t="e">
        <f t="shared" si="75"/>
        <v>#DIV/0!</v>
      </c>
      <c r="P531" s="62" t="e">
        <f t="shared" si="76"/>
        <v>#DIV/0!</v>
      </c>
      <c r="Q531" s="60" t="e">
        <f t="shared" si="77"/>
        <v>#DIV/0!</v>
      </c>
      <c r="R531" s="63" t="e">
        <f t="shared" si="78"/>
        <v>#DIV/0!</v>
      </c>
    </row>
    <row r="532" spans="1:18" x14ac:dyDescent="0.2">
      <c r="A532" s="57" t="s">
        <v>687</v>
      </c>
      <c r="B532" s="58" t="s">
        <v>688</v>
      </c>
      <c r="C532" s="58" t="s">
        <v>336</v>
      </c>
      <c r="D532" s="58" t="s">
        <v>872</v>
      </c>
      <c r="E532" s="59" t="s">
        <v>703</v>
      </c>
      <c r="F532" s="58" t="s">
        <v>489</v>
      </c>
      <c r="G532" s="58" t="s">
        <v>167</v>
      </c>
      <c r="H532" s="58" t="s">
        <v>11</v>
      </c>
      <c r="I532" s="58" t="s">
        <v>133</v>
      </c>
      <c r="J532" s="60">
        <v>12</v>
      </c>
      <c r="K532" s="60">
        <f t="shared" ref="K532:K563" si="81">J532*VLOOKUP(H532,dagsoorttabel1,2,FALSE)</f>
        <v>9.4117647058823533</v>
      </c>
      <c r="L532" s="61">
        <f>prodnorm43</f>
        <v>0</v>
      </c>
      <c r="M532" s="58" t="s">
        <v>41</v>
      </c>
      <c r="N532" s="62">
        <f>uurtarief43</f>
        <v>0</v>
      </c>
      <c r="O532" s="60" t="e">
        <f t="shared" ref="O532:O563" si="82">IF(ISBLANK(L532),0,K532/ROUND(L532,4))</f>
        <v>#DIV/0!</v>
      </c>
      <c r="P532" s="62" t="e">
        <f t="shared" ref="P532:P563" si="83">ROUND(N532,2)*O532</f>
        <v>#DIV/0!</v>
      </c>
      <c r="Q532" s="60" t="e">
        <f t="shared" ref="Q532:Q563" si="84">O532*dagenperjaar1</f>
        <v>#DIV/0!</v>
      </c>
      <c r="R532" s="63" t="e">
        <f t="shared" ref="R532:R563" si="85">Q532*ROUND(N532,2)</f>
        <v>#DIV/0!</v>
      </c>
    </row>
    <row r="533" spans="1:18" x14ac:dyDescent="0.2">
      <c r="A533" s="57" t="s">
        <v>687</v>
      </c>
      <c r="B533" s="58" t="s">
        <v>688</v>
      </c>
      <c r="C533" s="58" t="s">
        <v>367</v>
      </c>
      <c r="D533" s="58" t="s">
        <v>873</v>
      </c>
      <c r="E533" s="59" t="s">
        <v>750</v>
      </c>
      <c r="F533" s="58" t="s">
        <v>489</v>
      </c>
      <c r="G533" s="58" t="s">
        <v>153</v>
      </c>
      <c r="H533" s="58" t="s">
        <v>11</v>
      </c>
      <c r="I533" s="58" t="s">
        <v>133</v>
      </c>
      <c r="J533" s="60">
        <v>63</v>
      </c>
      <c r="K533" s="60">
        <f t="shared" si="81"/>
        <v>49.411764705882355</v>
      </c>
      <c r="L533" s="61">
        <f>prodnorm36</f>
        <v>0</v>
      </c>
      <c r="M533" s="58" t="s">
        <v>41</v>
      </c>
      <c r="N533" s="62">
        <f>uurtarief36</f>
        <v>0</v>
      </c>
      <c r="O533" s="60" t="e">
        <f t="shared" si="82"/>
        <v>#DIV/0!</v>
      </c>
      <c r="P533" s="62" t="e">
        <f t="shared" si="83"/>
        <v>#DIV/0!</v>
      </c>
      <c r="Q533" s="60" t="e">
        <f t="shared" si="84"/>
        <v>#DIV/0!</v>
      </c>
      <c r="R533" s="63" t="e">
        <f t="shared" si="85"/>
        <v>#DIV/0!</v>
      </c>
    </row>
    <row r="534" spans="1:18" x14ac:dyDescent="0.2">
      <c r="A534" s="57" t="s">
        <v>687</v>
      </c>
      <c r="B534" s="58" t="s">
        <v>688</v>
      </c>
      <c r="C534" s="58" t="s">
        <v>367</v>
      </c>
      <c r="D534" s="58" t="s">
        <v>874</v>
      </c>
      <c r="E534" s="59" t="s">
        <v>750</v>
      </c>
      <c r="F534" s="58" t="s">
        <v>489</v>
      </c>
      <c r="G534" s="58" t="s">
        <v>153</v>
      </c>
      <c r="H534" s="58" t="s">
        <v>11</v>
      </c>
      <c r="I534" s="58" t="s">
        <v>133</v>
      </c>
      <c r="J534" s="60">
        <v>61</v>
      </c>
      <c r="K534" s="60">
        <f t="shared" si="81"/>
        <v>47.843137254901961</v>
      </c>
      <c r="L534" s="61">
        <f>prodnorm36</f>
        <v>0</v>
      </c>
      <c r="M534" s="58" t="s">
        <v>41</v>
      </c>
      <c r="N534" s="62">
        <f>uurtarief36</f>
        <v>0</v>
      </c>
      <c r="O534" s="60" t="e">
        <f t="shared" si="82"/>
        <v>#DIV/0!</v>
      </c>
      <c r="P534" s="62" t="e">
        <f t="shared" si="83"/>
        <v>#DIV/0!</v>
      </c>
      <c r="Q534" s="60" t="e">
        <f t="shared" si="84"/>
        <v>#DIV/0!</v>
      </c>
      <c r="R534" s="63" t="e">
        <f t="shared" si="85"/>
        <v>#DIV/0!</v>
      </c>
    </row>
    <row r="535" spans="1:18" x14ac:dyDescent="0.2">
      <c r="A535" s="57" t="s">
        <v>687</v>
      </c>
      <c r="B535" s="58" t="s">
        <v>688</v>
      </c>
      <c r="C535" s="58" t="s">
        <v>367</v>
      </c>
      <c r="D535" s="58" t="s">
        <v>875</v>
      </c>
      <c r="E535" s="59" t="s">
        <v>876</v>
      </c>
      <c r="F535" s="58" t="s">
        <v>489</v>
      </c>
      <c r="G535" s="58" t="s">
        <v>165</v>
      </c>
      <c r="H535" s="58" t="s">
        <v>11</v>
      </c>
      <c r="I535" s="58" t="s">
        <v>133</v>
      </c>
      <c r="J535" s="60">
        <v>76</v>
      </c>
      <c r="K535" s="60">
        <f t="shared" si="81"/>
        <v>59.607843137254903</v>
      </c>
      <c r="L535" s="61">
        <f>prodnorm42</f>
        <v>0</v>
      </c>
      <c r="M535" s="58" t="s">
        <v>41</v>
      </c>
      <c r="N535" s="62">
        <f>uurtarief42</f>
        <v>0</v>
      </c>
      <c r="O535" s="60" t="e">
        <f t="shared" si="82"/>
        <v>#DIV/0!</v>
      </c>
      <c r="P535" s="62" t="e">
        <f t="shared" si="83"/>
        <v>#DIV/0!</v>
      </c>
      <c r="Q535" s="60" t="e">
        <f t="shared" si="84"/>
        <v>#DIV/0!</v>
      </c>
      <c r="R535" s="63" t="e">
        <f t="shared" si="85"/>
        <v>#DIV/0!</v>
      </c>
    </row>
    <row r="536" spans="1:18" x14ac:dyDescent="0.2">
      <c r="A536" s="57" t="s">
        <v>687</v>
      </c>
      <c r="B536" s="58" t="s">
        <v>688</v>
      </c>
      <c r="C536" s="58" t="s">
        <v>367</v>
      </c>
      <c r="D536" s="58" t="s">
        <v>877</v>
      </c>
      <c r="E536" s="59" t="s">
        <v>415</v>
      </c>
      <c r="F536" s="58" t="s">
        <v>489</v>
      </c>
      <c r="G536" s="58" t="s">
        <v>165</v>
      </c>
      <c r="H536" s="58" t="s">
        <v>11</v>
      </c>
      <c r="I536" s="58" t="s">
        <v>133</v>
      </c>
      <c r="J536" s="60">
        <v>35</v>
      </c>
      <c r="K536" s="60">
        <f t="shared" si="81"/>
        <v>27.450980392156861</v>
      </c>
      <c r="L536" s="61">
        <f>prodnorm42</f>
        <v>0</v>
      </c>
      <c r="M536" s="58" t="s">
        <v>41</v>
      </c>
      <c r="N536" s="62">
        <f>uurtarief42</f>
        <v>0</v>
      </c>
      <c r="O536" s="60" t="e">
        <f t="shared" si="82"/>
        <v>#DIV/0!</v>
      </c>
      <c r="P536" s="62" t="e">
        <f t="shared" si="83"/>
        <v>#DIV/0!</v>
      </c>
      <c r="Q536" s="60" t="e">
        <f t="shared" si="84"/>
        <v>#DIV/0!</v>
      </c>
      <c r="R536" s="63" t="e">
        <f t="shared" si="85"/>
        <v>#DIV/0!</v>
      </c>
    </row>
    <row r="537" spans="1:18" x14ac:dyDescent="0.2">
      <c r="A537" s="57" t="s">
        <v>687</v>
      </c>
      <c r="B537" s="58" t="s">
        <v>688</v>
      </c>
      <c r="C537" s="58" t="s">
        <v>367</v>
      </c>
      <c r="D537" s="58" t="s">
        <v>878</v>
      </c>
      <c r="E537" s="59" t="s">
        <v>785</v>
      </c>
      <c r="F537" s="58" t="s">
        <v>489</v>
      </c>
      <c r="G537" s="58" t="s">
        <v>153</v>
      </c>
      <c r="H537" s="58" t="s">
        <v>11</v>
      </c>
      <c r="I537" s="58" t="s">
        <v>133</v>
      </c>
      <c r="J537" s="60">
        <v>71</v>
      </c>
      <c r="K537" s="60">
        <f t="shared" si="81"/>
        <v>55.686274509803923</v>
      </c>
      <c r="L537" s="61">
        <f t="shared" ref="L537:L543" si="86">prodnorm36</f>
        <v>0</v>
      </c>
      <c r="M537" s="58" t="s">
        <v>41</v>
      </c>
      <c r="N537" s="62">
        <f t="shared" ref="N537:N543" si="87">uurtarief36</f>
        <v>0</v>
      </c>
      <c r="O537" s="60" t="e">
        <f t="shared" si="82"/>
        <v>#DIV/0!</v>
      </c>
      <c r="P537" s="62" t="e">
        <f t="shared" si="83"/>
        <v>#DIV/0!</v>
      </c>
      <c r="Q537" s="60" t="e">
        <f t="shared" si="84"/>
        <v>#DIV/0!</v>
      </c>
      <c r="R537" s="63" t="e">
        <f t="shared" si="85"/>
        <v>#DIV/0!</v>
      </c>
    </row>
    <row r="538" spans="1:18" x14ac:dyDescent="0.2">
      <c r="A538" s="57" t="s">
        <v>687</v>
      </c>
      <c r="B538" s="58" t="s">
        <v>688</v>
      </c>
      <c r="C538" s="58" t="s">
        <v>367</v>
      </c>
      <c r="D538" s="58" t="s">
        <v>879</v>
      </c>
      <c r="E538" s="59" t="s">
        <v>750</v>
      </c>
      <c r="F538" s="58" t="s">
        <v>489</v>
      </c>
      <c r="G538" s="58" t="s">
        <v>153</v>
      </c>
      <c r="H538" s="58" t="s">
        <v>11</v>
      </c>
      <c r="I538" s="58" t="s">
        <v>133</v>
      </c>
      <c r="J538" s="60">
        <v>53</v>
      </c>
      <c r="K538" s="60">
        <f t="shared" si="81"/>
        <v>41.568627450980394</v>
      </c>
      <c r="L538" s="61">
        <f t="shared" si="86"/>
        <v>0</v>
      </c>
      <c r="M538" s="58" t="s">
        <v>41</v>
      </c>
      <c r="N538" s="62">
        <f t="shared" si="87"/>
        <v>0</v>
      </c>
      <c r="O538" s="60" t="e">
        <f t="shared" si="82"/>
        <v>#DIV/0!</v>
      </c>
      <c r="P538" s="62" t="e">
        <f t="shared" si="83"/>
        <v>#DIV/0!</v>
      </c>
      <c r="Q538" s="60" t="e">
        <f t="shared" si="84"/>
        <v>#DIV/0!</v>
      </c>
      <c r="R538" s="63" t="e">
        <f t="shared" si="85"/>
        <v>#DIV/0!</v>
      </c>
    </row>
    <row r="539" spans="1:18" x14ac:dyDescent="0.2">
      <c r="A539" s="57" t="s">
        <v>687</v>
      </c>
      <c r="B539" s="58" t="s">
        <v>688</v>
      </c>
      <c r="C539" s="58" t="s">
        <v>367</v>
      </c>
      <c r="D539" s="58" t="s">
        <v>880</v>
      </c>
      <c r="E539" s="59" t="s">
        <v>750</v>
      </c>
      <c r="F539" s="58" t="s">
        <v>489</v>
      </c>
      <c r="G539" s="58" t="s">
        <v>153</v>
      </c>
      <c r="H539" s="58" t="s">
        <v>11</v>
      </c>
      <c r="I539" s="58" t="s">
        <v>133</v>
      </c>
      <c r="J539" s="60">
        <v>53</v>
      </c>
      <c r="K539" s="60">
        <f t="shared" si="81"/>
        <v>41.568627450980394</v>
      </c>
      <c r="L539" s="61">
        <f t="shared" si="86"/>
        <v>0</v>
      </c>
      <c r="M539" s="58" t="s">
        <v>41</v>
      </c>
      <c r="N539" s="62">
        <f t="shared" si="87"/>
        <v>0</v>
      </c>
      <c r="O539" s="60" t="e">
        <f t="shared" si="82"/>
        <v>#DIV/0!</v>
      </c>
      <c r="P539" s="62" t="e">
        <f t="shared" si="83"/>
        <v>#DIV/0!</v>
      </c>
      <c r="Q539" s="60" t="e">
        <f t="shared" si="84"/>
        <v>#DIV/0!</v>
      </c>
      <c r="R539" s="63" t="e">
        <f t="shared" si="85"/>
        <v>#DIV/0!</v>
      </c>
    </row>
    <row r="540" spans="1:18" x14ac:dyDescent="0.2">
      <c r="A540" s="57" t="s">
        <v>687</v>
      </c>
      <c r="B540" s="58" t="s">
        <v>688</v>
      </c>
      <c r="C540" s="58" t="s">
        <v>367</v>
      </c>
      <c r="D540" s="58" t="s">
        <v>881</v>
      </c>
      <c r="E540" s="59" t="s">
        <v>750</v>
      </c>
      <c r="F540" s="58" t="s">
        <v>489</v>
      </c>
      <c r="G540" s="58" t="s">
        <v>153</v>
      </c>
      <c r="H540" s="58" t="s">
        <v>11</v>
      </c>
      <c r="I540" s="58" t="s">
        <v>133</v>
      </c>
      <c r="J540" s="60">
        <v>53</v>
      </c>
      <c r="K540" s="60">
        <f t="shared" si="81"/>
        <v>41.568627450980394</v>
      </c>
      <c r="L540" s="61">
        <f t="shared" si="86"/>
        <v>0</v>
      </c>
      <c r="M540" s="58" t="s">
        <v>41</v>
      </c>
      <c r="N540" s="62">
        <f t="shared" si="87"/>
        <v>0</v>
      </c>
      <c r="O540" s="60" t="e">
        <f t="shared" si="82"/>
        <v>#DIV/0!</v>
      </c>
      <c r="P540" s="62" t="e">
        <f t="shared" si="83"/>
        <v>#DIV/0!</v>
      </c>
      <c r="Q540" s="60" t="e">
        <f t="shared" si="84"/>
        <v>#DIV/0!</v>
      </c>
      <c r="R540" s="63" t="e">
        <f t="shared" si="85"/>
        <v>#DIV/0!</v>
      </c>
    </row>
    <row r="541" spans="1:18" x14ac:dyDescent="0.2">
      <c r="A541" s="57" t="s">
        <v>687</v>
      </c>
      <c r="B541" s="58" t="s">
        <v>688</v>
      </c>
      <c r="C541" s="58" t="s">
        <v>367</v>
      </c>
      <c r="D541" s="58" t="s">
        <v>882</v>
      </c>
      <c r="E541" s="59" t="s">
        <v>785</v>
      </c>
      <c r="F541" s="58" t="s">
        <v>489</v>
      </c>
      <c r="G541" s="58" t="s">
        <v>153</v>
      </c>
      <c r="H541" s="58" t="s">
        <v>11</v>
      </c>
      <c r="I541" s="58" t="s">
        <v>133</v>
      </c>
      <c r="J541" s="60">
        <v>80</v>
      </c>
      <c r="K541" s="60">
        <f t="shared" si="81"/>
        <v>62.745098039215684</v>
      </c>
      <c r="L541" s="61">
        <f t="shared" si="86"/>
        <v>0</v>
      </c>
      <c r="M541" s="58" t="s">
        <v>41</v>
      </c>
      <c r="N541" s="62">
        <f t="shared" si="87"/>
        <v>0</v>
      </c>
      <c r="O541" s="60" t="e">
        <f t="shared" si="82"/>
        <v>#DIV/0!</v>
      </c>
      <c r="P541" s="62" t="e">
        <f t="shared" si="83"/>
        <v>#DIV/0!</v>
      </c>
      <c r="Q541" s="60" t="e">
        <f t="shared" si="84"/>
        <v>#DIV/0!</v>
      </c>
      <c r="R541" s="63" t="e">
        <f t="shared" si="85"/>
        <v>#DIV/0!</v>
      </c>
    </row>
    <row r="542" spans="1:18" x14ac:dyDescent="0.2">
      <c r="A542" s="57" t="s">
        <v>687</v>
      </c>
      <c r="B542" s="58" t="s">
        <v>688</v>
      </c>
      <c r="C542" s="58" t="s">
        <v>367</v>
      </c>
      <c r="D542" s="58" t="s">
        <v>883</v>
      </c>
      <c r="E542" s="59" t="s">
        <v>750</v>
      </c>
      <c r="F542" s="58" t="s">
        <v>489</v>
      </c>
      <c r="G542" s="58" t="s">
        <v>153</v>
      </c>
      <c r="H542" s="58" t="s">
        <v>11</v>
      </c>
      <c r="I542" s="58" t="s">
        <v>133</v>
      </c>
      <c r="J542" s="60">
        <v>70</v>
      </c>
      <c r="K542" s="60">
        <f t="shared" si="81"/>
        <v>54.901960784313722</v>
      </c>
      <c r="L542" s="61">
        <f t="shared" si="86"/>
        <v>0</v>
      </c>
      <c r="M542" s="58" t="s">
        <v>41</v>
      </c>
      <c r="N542" s="62">
        <f t="shared" si="87"/>
        <v>0</v>
      </c>
      <c r="O542" s="60" t="e">
        <f t="shared" si="82"/>
        <v>#DIV/0!</v>
      </c>
      <c r="P542" s="62" t="e">
        <f t="shared" si="83"/>
        <v>#DIV/0!</v>
      </c>
      <c r="Q542" s="60" t="e">
        <f t="shared" si="84"/>
        <v>#DIV/0!</v>
      </c>
      <c r="R542" s="63" t="e">
        <f t="shared" si="85"/>
        <v>#DIV/0!</v>
      </c>
    </row>
    <row r="543" spans="1:18" x14ac:dyDescent="0.2">
      <c r="A543" s="57" t="s">
        <v>687</v>
      </c>
      <c r="B543" s="58" t="s">
        <v>688</v>
      </c>
      <c r="C543" s="58" t="s">
        <v>367</v>
      </c>
      <c r="D543" s="58" t="s">
        <v>884</v>
      </c>
      <c r="E543" s="59" t="s">
        <v>785</v>
      </c>
      <c r="F543" s="58" t="s">
        <v>489</v>
      </c>
      <c r="G543" s="58" t="s">
        <v>153</v>
      </c>
      <c r="H543" s="58" t="s">
        <v>11</v>
      </c>
      <c r="I543" s="58" t="s">
        <v>133</v>
      </c>
      <c r="J543" s="60">
        <v>67</v>
      </c>
      <c r="K543" s="60">
        <f t="shared" si="81"/>
        <v>52.549019607843135</v>
      </c>
      <c r="L543" s="61">
        <f t="shared" si="86"/>
        <v>0</v>
      </c>
      <c r="M543" s="58" t="s">
        <v>41</v>
      </c>
      <c r="N543" s="62">
        <f t="shared" si="87"/>
        <v>0</v>
      </c>
      <c r="O543" s="60" t="e">
        <f t="shared" si="82"/>
        <v>#DIV/0!</v>
      </c>
      <c r="P543" s="62" t="e">
        <f t="shared" si="83"/>
        <v>#DIV/0!</v>
      </c>
      <c r="Q543" s="60" t="e">
        <f t="shared" si="84"/>
        <v>#DIV/0!</v>
      </c>
      <c r="R543" s="63" t="e">
        <f t="shared" si="85"/>
        <v>#DIV/0!</v>
      </c>
    </row>
    <row r="544" spans="1:18" x14ac:dyDescent="0.2">
      <c r="A544" s="57" t="s">
        <v>687</v>
      </c>
      <c r="B544" s="58" t="s">
        <v>688</v>
      </c>
      <c r="C544" s="58" t="s">
        <v>367</v>
      </c>
      <c r="D544" s="58" t="s">
        <v>885</v>
      </c>
      <c r="E544" s="59" t="s">
        <v>413</v>
      </c>
      <c r="F544" s="58" t="s">
        <v>489</v>
      </c>
      <c r="G544" s="58" t="s">
        <v>165</v>
      </c>
      <c r="H544" s="58" t="s">
        <v>11</v>
      </c>
      <c r="I544" s="58" t="s">
        <v>133</v>
      </c>
      <c r="J544" s="60">
        <v>41</v>
      </c>
      <c r="K544" s="60">
        <f t="shared" si="81"/>
        <v>32.156862745098039</v>
      </c>
      <c r="L544" s="61">
        <f>prodnorm42</f>
        <v>0</v>
      </c>
      <c r="M544" s="58" t="s">
        <v>41</v>
      </c>
      <c r="N544" s="62">
        <f>uurtarief42</f>
        <v>0</v>
      </c>
      <c r="O544" s="60" t="e">
        <f t="shared" si="82"/>
        <v>#DIV/0!</v>
      </c>
      <c r="P544" s="62" t="e">
        <f t="shared" si="83"/>
        <v>#DIV/0!</v>
      </c>
      <c r="Q544" s="60" t="e">
        <f t="shared" si="84"/>
        <v>#DIV/0!</v>
      </c>
      <c r="R544" s="63" t="e">
        <f t="shared" si="85"/>
        <v>#DIV/0!</v>
      </c>
    </row>
    <row r="545" spans="1:18" x14ac:dyDescent="0.2">
      <c r="A545" s="57" t="s">
        <v>687</v>
      </c>
      <c r="B545" s="58" t="s">
        <v>688</v>
      </c>
      <c r="C545" s="58" t="s">
        <v>367</v>
      </c>
      <c r="D545" s="58" t="s">
        <v>886</v>
      </c>
      <c r="E545" s="59" t="s">
        <v>785</v>
      </c>
      <c r="F545" s="58" t="s">
        <v>489</v>
      </c>
      <c r="G545" s="58" t="s">
        <v>153</v>
      </c>
      <c r="H545" s="58" t="s">
        <v>11</v>
      </c>
      <c r="I545" s="58" t="s">
        <v>133</v>
      </c>
      <c r="J545" s="60">
        <v>69</v>
      </c>
      <c r="K545" s="60">
        <f t="shared" si="81"/>
        <v>54.117647058823529</v>
      </c>
      <c r="L545" s="61">
        <f>prodnorm36</f>
        <v>0</v>
      </c>
      <c r="M545" s="58" t="s">
        <v>41</v>
      </c>
      <c r="N545" s="62">
        <f>uurtarief36</f>
        <v>0</v>
      </c>
      <c r="O545" s="60" t="e">
        <f t="shared" si="82"/>
        <v>#DIV/0!</v>
      </c>
      <c r="P545" s="62" t="e">
        <f t="shared" si="83"/>
        <v>#DIV/0!</v>
      </c>
      <c r="Q545" s="60" t="e">
        <f t="shared" si="84"/>
        <v>#DIV/0!</v>
      </c>
      <c r="R545" s="63" t="e">
        <f t="shared" si="85"/>
        <v>#DIV/0!</v>
      </c>
    </row>
    <row r="546" spans="1:18" x14ac:dyDescent="0.2">
      <c r="A546" s="57" t="s">
        <v>687</v>
      </c>
      <c r="B546" s="58" t="s">
        <v>688</v>
      </c>
      <c r="C546" s="58" t="s">
        <v>367</v>
      </c>
      <c r="D546" s="58" t="s">
        <v>887</v>
      </c>
      <c r="E546" s="59" t="s">
        <v>488</v>
      </c>
      <c r="F546" s="58" t="s">
        <v>489</v>
      </c>
      <c r="G546" s="58" t="s">
        <v>173</v>
      </c>
      <c r="H546" s="58" t="s">
        <v>12</v>
      </c>
      <c r="I546" s="58" t="s">
        <v>174</v>
      </c>
      <c r="J546" s="60">
        <v>22</v>
      </c>
      <c r="K546" s="60">
        <f t="shared" si="81"/>
        <v>13.803921568627452</v>
      </c>
      <c r="L546" s="61">
        <f>prodnorm21</f>
        <v>0</v>
      </c>
      <c r="M546" s="58" t="s">
        <v>41</v>
      </c>
      <c r="N546" s="62">
        <f>uurtarief21</f>
        <v>0</v>
      </c>
      <c r="O546" s="60" t="e">
        <f t="shared" si="82"/>
        <v>#DIV/0!</v>
      </c>
      <c r="P546" s="62" t="e">
        <f t="shared" si="83"/>
        <v>#DIV/0!</v>
      </c>
      <c r="Q546" s="60" t="e">
        <f t="shared" si="84"/>
        <v>#DIV/0!</v>
      </c>
      <c r="R546" s="63" t="e">
        <f t="shared" si="85"/>
        <v>#DIV/0!</v>
      </c>
    </row>
    <row r="547" spans="1:18" x14ac:dyDescent="0.2">
      <c r="A547" s="57" t="s">
        <v>687</v>
      </c>
      <c r="B547" s="58" t="s">
        <v>688</v>
      </c>
      <c r="C547" s="58" t="s">
        <v>367</v>
      </c>
      <c r="D547" s="58" t="s">
        <v>887</v>
      </c>
      <c r="E547" s="59" t="s">
        <v>488</v>
      </c>
      <c r="F547" s="58" t="s">
        <v>489</v>
      </c>
      <c r="G547" s="58" t="s">
        <v>135</v>
      </c>
      <c r="H547" s="58" t="s">
        <v>18</v>
      </c>
      <c r="I547" s="58" t="s">
        <v>133</v>
      </c>
      <c r="J547" s="60">
        <v>22</v>
      </c>
      <c r="K547" s="60">
        <f t="shared" si="81"/>
        <v>3.4509803921568629</v>
      </c>
      <c r="L547" s="61">
        <f>prodnorm24</f>
        <v>0</v>
      </c>
      <c r="M547" s="58" t="s">
        <v>41</v>
      </c>
      <c r="N547" s="62">
        <f>uurtarief24</f>
        <v>0</v>
      </c>
      <c r="O547" s="60" t="e">
        <f t="shared" si="82"/>
        <v>#DIV/0!</v>
      </c>
      <c r="P547" s="62" t="e">
        <f t="shared" si="83"/>
        <v>#DIV/0!</v>
      </c>
      <c r="Q547" s="60" t="e">
        <f t="shared" si="84"/>
        <v>#DIV/0!</v>
      </c>
      <c r="R547" s="63" t="e">
        <f t="shared" si="85"/>
        <v>#DIV/0!</v>
      </c>
    </row>
    <row r="548" spans="1:18" x14ac:dyDescent="0.2">
      <c r="A548" s="57" t="s">
        <v>687</v>
      </c>
      <c r="B548" s="58" t="s">
        <v>688</v>
      </c>
      <c r="C548" s="58" t="s">
        <v>367</v>
      </c>
      <c r="D548" s="58" t="s">
        <v>888</v>
      </c>
      <c r="E548" s="59" t="s">
        <v>760</v>
      </c>
      <c r="F548" s="58" t="s">
        <v>489</v>
      </c>
      <c r="G548" s="58" t="s">
        <v>135</v>
      </c>
      <c r="H548" s="58" t="s">
        <v>11</v>
      </c>
      <c r="I548" s="58" t="s">
        <v>133</v>
      </c>
      <c r="J548" s="60">
        <v>16</v>
      </c>
      <c r="K548" s="60">
        <f t="shared" si="81"/>
        <v>12.549019607843137</v>
      </c>
      <c r="L548" s="61">
        <f>prodnorm23</f>
        <v>0</v>
      </c>
      <c r="M548" s="58" t="s">
        <v>41</v>
      </c>
      <c r="N548" s="62">
        <f>uurtarief23</f>
        <v>0</v>
      </c>
      <c r="O548" s="60" t="e">
        <f t="shared" si="82"/>
        <v>#DIV/0!</v>
      </c>
      <c r="P548" s="62" t="e">
        <f t="shared" si="83"/>
        <v>#DIV/0!</v>
      </c>
      <c r="Q548" s="60" t="e">
        <f t="shared" si="84"/>
        <v>#DIV/0!</v>
      </c>
      <c r="R548" s="63" t="e">
        <f t="shared" si="85"/>
        <v>#DIV/0!</v>
      </c>
    </row>
    <row r="549" spans="1:18" x14ac:dyDescent="0.2">
      <c r="A549" s="57" t="s">
        <v>687</v>
      </c>
      <c r="B549" s="58" t="s">
        <v>688</v>
      </c>
      <c r="C549" s="58" t="s">
        <v>367</v>
      </c>
      <c r="D549" s="58" t="s">
        <v>889</v>
      </c>
      <c r="E549" s="59" t="s">
        <v>727</v>
      </c>
      <c r="F549" s="58" t="s">
        <v>489</v>
      </c>
      <c r="G549" s="58" t="s">
        <v>173</v>
      </c>
      <c r="H549" s="58" t="s">
        <v>12</v>
      </c>
      <c r="I549" s="58" t="s">
        <v>174</v>
      </c>
      <c r="J549" s="60">
        <v>21</v>
      </c>
      <c r="K549" s="60">
        <f t="shared" si="81"/>
        <v>13.176470588235293</v>
      </c>
      <c r="L549" s="61">
        <f>prodnorm21</f>
        <v>0</v>
      </c>
      <c r="M549" s="58" t="s">
        <v>41</v>
      </c>
      <c r="N549" s="62">
        <f>uurtarief21</f>
        <v>0</v>
      </c>
      <c r="O549" s="60" t="e">
        <f t="shared" si="82"/>
        <v>#DIV/0!</v>
      </c>
      <c r="P549" s="62" t="e">
        <f t="shared" si="83"/>
        <v>#DIV/0!</v>
      </c>
      <c r="Q549" s="60" t="e">
        <f t="shared" si="84"/>
        <v>#DIV/0!</v>
      </c>
      <c r="R549" s="63" t="e">
        <f t="shared" si="85"/>
        <v>#DIV/0!</v>
      </c>
    </row>
    <row r="550" spans="1:18" x14ac:dyDescent="0.2">
      <c r="A550" s="57" t="s">
        <v>687</v>
      </c>
      <c r="B550" s="58" t="s">
        <v>688</v>
      </c>
      <c r="C550" s="58" t="s">
        <v>367</v>
      </c>
      <c r="D550" s="58" t="s">
        <v>889</v>
      </c>
      <c r="E550" s="59" t="s">
        <v>727</v>
      </c>
      <c r="F550" s="58" t="s">
        <v>489</v>
      </c>
      <c r="G550" s="58" t="s">
        <v>135</v>
      </c>
      <c r="H550" s="58" t="s">
        <v>18</v>
      </c>
      <c r="I550" s="58" t="s">
        <v>133</v>
      </c>
      <c r="J550" s="60">
        <v>21</v>
      </c>
      <c r="K550" s="60">
        <f t="shared" si="81"/>
        <v>3.2941176470588234</v>
      </c>
      <c r="L550" s="61">
        <f>prodnorm24</f>
        <v>0</v>
      </c>
      <c r="M550" s="58" t="s">
        <v>41</v>
      </c>
      <c r="N550" s="62">
        <f>uurtarief24</f>
        <v>0</v>
      </c>
      <c r="O550" s="60" t="e">
        <f t="shared" si="82"/>
        <v>#DIV/0!</v>
      </c>
      <c r="P550" s="62" t="e">
        <f t="shared" si="83"/>
        <v>#DIV/0!</v>
      </c>
      <c r="Q550" s="60" t="e">
        <f t="shared" si="84"/>
        <v>#DIV/0!</v>
      </c>
      <c r="R550" s="63" t="e">
        <f t="shared" si="85"/>
        <v>#DIV/0!</v>
      </c>
    </row>
    <row r="551" spans="1:18" x14ac:dyDescent="0.2">
      <c r="A551" s="57" t="s">
        <v>687</v>
      </c>
      <c r="B551" s="58" t="s">
        <v>688</v>
      </c>
      <c r="C551" s="58" t="s">
        <v>367</v>
      </c>
      <c r="D551" s="58" t="s">
        <v>890</v>
      </c>
      <c r="E551" s="59" t="s">
        <v>750</v>
      </c>
      <c r="F551" s="58" t="s">
        <v>489</v>
      </c>
      <c r="G551" s="58" t="s">
        <v>153</v>
      </c>
      <c r="H551" s="58" t="s">
        <v>11</v>
      </c>
      <c r="I551" s="58" t="s">
        <v>133</v>
      </c>
      <c r="J551" s="60">
        <v>53</v>
      </c>
      <c r="K551" s="60">
        <f t="shared" si="81"/>
        <v>41.568627450980394</v>
      </c>
      <c r="L551" s="61">
        <f>prodnorm36</f>
        <v>0</v>
      </c>
      <c r="M551" s="58" t="s">
        <v>41</v>
      </c>
      <c r="N551" s="62">
        <f>uurtarief36</f>
        <v>0</v>
      </c>
      <c r="O551" s="60" t="e">
        <f t="shared" si="82"/>
        <v>#DIV/0!</v>
      </c>
      <c r="P551" s="62" t="e">
        <f t="shared" si="83"/>
        <v>#DIV/0!</v>
      </c>
      <c r="Q551" s="60" t="e">
        <f t="shared" si="84"/>
        <v>#DIV/0!</v>
      </c>
      <c r="R551" s="63" t="e">
        <f t="shared" si="85"/>
        <v>#DIV/0!</v>
      </c>
    </row>
    <row r="552" spans="1:18" x14ac:dyDescent="0.2">
      <c r="A552" s="57" t="s">
        <v>687</v>
      </c>
      <c r="B552" s="58" t="s">
        <v>688</v>
      </c>
      <c r="C552" s="58" t="s">
        <v>367</v>
      </c>
      <c r="D552" s="58" t="s">
        <v>891</v>
      </c>
      <c r="E552" s="59" t="s">
        <v>808</v>
      </c>
      <c r="F552" s="58" t="s">
        <v>489</v>
      </c>
      <c r="G552" s="58" t="s">
        <v>157</v>
      </c>
      <c r="H552" s="58" t="s">
        <v>11</v>
      </c>
      <c r="I552" s="58" t="s">
        <v>133</v>
      </c>
      <c r="J552" s="60">
        <v>30</v>
      </c>
      <c r="K552" s="60">
        <f t="shared" si="81"/>
        <v>23.52941176470588</v>
      </c>
      <c r="L552" s="61">
        <f>prodnorm38</f>
        <v>0</v>
      </c>
      <c r="M552" s="58" t="s">
        <v>41</v>
      </c>
      <c r="N552" s="62">
        <f>uurtarief38</f>
        <v>0</v>
      </c>
      <c r="O552" s="60" t="e">
        <f t="shared" si="82"/>
        <v>#DIV/0!</v>
      </c>
      <c r="P552" s="62" t="e">
        <f t="shared" si="83"/>
        <v>#DIV/0!</v>
      </c>
      <c r="Q552" s="60" t="e">
        <f t="shared" si="84"/>
        <v>#DIV/0!</v>
      </c>
      <c r="R552" s="63" t="e">
        <f t="shared" si="85"/>
        <v>#DIV/0!</v>
      </c>
    </row>
    <row r="553" spans="1:18" x14ac:dyDescent="0.2">
      <c r="A553" s="57" t="s">
        <v>687</v>
      </c>
      <c r="B553" s="58" t="s">
        <v>688</v>
      </c>
      <c r="C553" s="58" t="s">
        <v>367</v>
      </c>
      <c r="D553" s="58" t="s">
        <v>892</v>
      </c>
      <c r="E553" s="59" t="s">
        <v>207</v>
      </c>
      <c r="F553" s="58" t="s">
        <v>489</v>
      </c>
      <c r="G553" s="58" t="s">
        <v>171</v>
      </c>
      <c r="H553" s="58" t="s">
        <v>11</v>
      </c>
      <c r="I553" s="58" t="s">
        <v>133</v>
      </c>
      <c r="J553" s="60">
        <v>34</v>
      </c>
      <c r="K553" s="60">
        <f t="shared" si="81"/>
        <v>26.666666666666668</v>
      </c>
      <c r="L553" s="61">
        <f>prodnorm45</f>
        <v>0</v>
      </c>
      <c r="M553" s="58" t="s">
        <v>41</v>
      </c>
      <c r="N553" s="62">
        <f>uurtarief45</f>
        <v>0</v>
      </c>
      <c r="O553" s="60" t="e">
        <f t="shared" si="82"/>
        <v>#DIV/0!</v>
      </c>
      <c r="P553" s="62" t="e">
        <f t="shared" si="83"/>
        <v>#DIV/0!</v>
      </c>
      <c r="Q553" s="60" t="e">
        <f t="shared" si="84"/>
        <v>#DIV/0!</v>
      </c>
      <c r="R553" s="63" t="e">
        <f t="shared" si="85"/>
        <v>#DIV/0!</v>
      </c>
    </row>
    <row r="554" spans="1:18" x14ac:dyDescent="0.2">
      <c r="A554" s="57" t="s">
        <v>687</v>
      </c>
      <c r="B554" s="58" t="s">
        <v>688</v>
      </c>
      <c r="C554" s="58" t="s">
        <v>367</v>
      </c>
      <c r="D554" s="58" t="s">
        <v>893</v>
      </c>
      <c r="E554" s="59" t="s">
        <v>808</v>
      </c>
      <c r="F554" s="58" t="s">
        <v>489</v>
      </c>
      <c r="G554" s="58" t="s">
        <v>157</v>
      </c>
      <c r="H554" s="58" t="s">
        <v>11</v>
      </c>
      <c r="I554" s="58" t="s">
        <v>133</v>
      </c>
      <c r="J554" s="60">
        <v>120</v>
      </c>
      <c r="K554" s="60">
        <f t="shared" si="81"/>
        <v>94.117647058823522</v>
      </c>
      <c r="L554" s="61">
        <f>prodnorm38</f>
        <v>0</v>
      </c>
      <c r="M554" s="58" t="s">
        <v>41</v>
      </c>
      <c r="N554" s="62">
        <f>uurtarief38</f>
        <v>0</v>
      </c>
      <c r="O554" s="60" t="e">
        <f t="shared" si="82"/>
        <v>#DIV/0!</v>
      </c>
      <c r="P554" s="62" t="e">
        <f t="shared" si="83"/>
        <v>#DIV/0!</v>
      </c>
      <c r="Q554" s="60" t="e">
        <f t="shared" si="84"/>
        <v>#DIV/0!</v>
      </c>
      <c r="R554" s="63" t="e">
        <f t="shared" si="85"/>
        <v>#DIV/0!</v>
      </c>
    </row>
    <row r="555" spans="1:18" x14ac:dyDescent="0.2">
      <c r="A555" s="57" t="s">
        <v>687</v>
      </c>
      <c r="B555" s="58" t="s">
        <v>688</v>
      </c>
      <c r="C555" s="58" t="s">
        <v>367</v>
      </c>
      <c r="D555" s="58" t="s">
        <v>894</v>
      </c>
      <c r="E555" s="59" t="s">
        <v>808</v>
      </c>
      <c r="F555" s="58" t="s">
        <v>489</v>
      </c>
      <c r="G555" s="58" t="s">
        <v>157</v>
      </c>
      <c r="H555" s="58" t="s">
        <v>11</v>
      </c>
      <c r="I555" s="58" t="s">
        <v>133</v>
      </c>
      <c r="J555" s="60">
        <v>160</v>
      </c>
      <c r="K555" s="60">
        <f t="shared" si="81"/>
        <v>125.49019607843137</v>
      </c>
      <c r="L555" s="61">
        <f>prodnorm38</f>
        <v>0</v>
      </c>
      <c r="M555" s="58" t="s">
        <v>41</v>
      </c>
      <c r="N555" s="62">
        <f>uurtarief38</f>
        <v>0</v>
      </c>
      <c r="O555" s="60" t="e">
        <f t="shared" si="82"/>
        <v>#DIV/0!</v>
      </c>
      <c r="P555" s="62" t="e">
        <f t="shared" si="83"/>
        <v>#DIV/0!</v>
      </c>
      <c r="Q555" s="60" t="e">
        <f t="shared" si="84"/>
        <v>#DIV/0!</v>
      </c>
      <c r="R555" s="63" t="e">
        <f t="shared" si="85"/>
        <v>#DIV/0!</v>
      </c>
    </row>
    <row r="556" spans="1:18" x14ac:dyDescent="0.2">
      <c r="A556" s="57" t="s">
        <v>687</v>
      </c>
      <c r="B556" s="58" t="s">
        <v>688</v>
      </c>
      <c r="C556" s="58" t="s">
        <v>367</v>
      </c>
      <c r="D556" s="58" t="s">
        <v>895</v>
      </c>
      <c r="E556" s="59" t="s">
        <v>701</v>
      </c>
      <c r="F556" s="58" t="s">
        <v>489</v>
      </c>
      <c r="G556" s="58" t="s">
        <v>169</v>
      </c>
      <c r="H556" s="58" t="s">
        <v>11</v>
      </c>
      <c r="I556" s="58" t="s">
        <v>133</v>
      </c>
      <c r="J556" s="60">
        <v>26</v>
      </c>
      <c r="K556" s="60">
        <f t="shared" si="81"/>
        <v>20.392156862745097</v>
      </c>
      <c r="L556" s="61">
        <f>prodnorm44</f>
        <v>0</v>
      </c>
      <c r="M556" s="58" t="s">
        <v>41</v>
      </c>
      <c r="N556" s="62">
        <f>uurtarief44</f>
        <v>0</v>
      </c>
      <c r="O556" s="60" t="e">
        <f t="shared" si="82"/>
        <v>#DIV/0!</v>
      </c>
      <c r="P556" s="62" t="e">
        <f t="shared" si="83"/>
        <v>#DIV/0!</v>
      </c>
      <c r="Q556" s="60" t="e">
        <f t="shared" si="84"/>
        <v>#DIV/0!</v>
      </c>
      <c r="R556" s="63" t="e">
        <f t="shared" si="85"/>
        <v>#DIV/0!</v>
      </c>
    </row>
    <row r="557" spans="1:18" x14ac:dyDescent="0.2">
      <c r="A557" s="57" t="s">
        <v>687</v>
      </c>
      <c r="B557" s="58" t="s">
        <v>688</v>
      </c>
      <c r="C557" s="58" t="s">
        <v>367</v>
      </c>
      <c r="D557" s="58" t="s">
        <v>896</v>
      </c>
      <c r="E557" s="59" t="s">
        <v>703</v>
      </c>
      <c r="F557" s="58" t="s">
        <v>489</v>
      </c>
      <c r="G557" s="58" t="s">
        <v>167</v>
      </c>
      <c r="H557" s="58" t="s">
        <v>11</v>
      </c>
      <c r="I557" s="58" t="s">
        <v>133</v>
      </c>
      <c r="J557" s="60">
        <v>13</v>
      </c>
      <c r="K557" s="60">
        <f t="shared" si="81"/>
        <v>10.196078431372548</v>
      </c>
      <c r="L557" s="61">
        <f>prodnorm43</f>
        <v>0</v>
      </c>
      <c r="M557" s="58" t="s">
        <v>41</v>
      </c>
      <c r="N557" s="62">
        <f>uurtarief43</f>
        <v>0</v>
      </c>
      <c r="O557" s="60" t="e">
        <f t="shared" si="82"/>
        <v>#DIV/0!</v>
      </c>
      <c r="P557" s="62" t="e">
        <f t="shared" si="83"/>
        <v>#DIV/0!</v>
      </c>
      <c r="Q557" s="60" t="e">
        <f t="shared" si="84"/>
        <v>#DIV/0!</v>
      </c>
      <c r="R557" s="63" t="e">
        <f t="shared" si="85"/>
        <v>#DIV/0!</v>
      </c>
    </row>
    <row r="558" spans="1:18" x14ac:dyDescent="0.2">
      <c r="A558" s="57" t="s">
        <v>687</v>
      </c>
      <c r="B558" s="58" t="s">
        <v>688</v>
      </c>
      <c r="C558" s="58" t="s">
        <v>367</v>
      </c>
      <c r="D558" s="58" t="s">
        <v>897</v>
      </c>
      <c r="E558" s="59" t="s">
        <v>703</v>
      </c>
      <c r="F558" s="58" t="s">
        <v>489</v>
      </c>
      <c r="G558" s="58" t="s">
        <v>167</v>
      </c>
      <c r="H558" s="58" t="s">
        <v>11</v>
      </c>
      <c r="I558" s="58" t="s">
        <v>133</v>
      </c>
      <c r="J558" s="60">
        <v>14</v>
      </c>
      <c r="K558" s="60">
        <f t="shared" si="81"/>
        <v>10.980392156862745</v>
      </c>
      <c r="L558" s="61">
        <f>prodnorm43</f>
        <v>0</v>
      </c>
      <c r="M558" s="58" t="s">
        <v>41</v>
      </c>
      <c r="N558" s="62">
        <f>uurtarief43</f>
        <v>0</v>
      </c>
      <c r="O558" s="60" t="e">
        <f t="shared" si="82"/>
        <v>#DIV/0!</v>
      </c>
      <c r="P558" s="62" t="e">
        <f t="shared" si="83"/>
        <v>#DIV/0!</v>
      </c>
      <c r="Q558" s="60" t="e">
        <f t="shared" si="84"/>
        <v>#DIV/0!</v>
      </c>
      <c r="R558" s="63" t="e">
        <f t="shared" si="85"/>
        <v>#DIV/0!</v>
      </c>
    </row>
    <row r="559" spans="1:18" x14ac:dyDescent="0.2">
      <c r="A559" s="57" t="s">
        <v>687</v>
      </c>
      <c r="B559" s="58" t="s">
        <v>688</v>
      </c>
      <c r="C559" s="58" t="s">
        <v>367</v>
      </c>
      <c r="D559" s="58" t="s">
        <v>898</v>
      </c>
      <c r="E559" s="59" t="s">
        <v>706</v>
      </c>
      <c r="F559" s="58" t="s">
        <v>489</v>
      </c>
      <c r="G559" s="58" t="s">
        <v>169</v>
      </c>
      <c r="H559" s="58" t="s">
        <v>11</v>
      </c>
      <c r="I559" s="58" t="s">
        <v>133</v>
      </c>
      <c r="J559" s="60">
        <v>25</v>
      </c>
      <c r="K559" s="60">
        <f t="shared" si="81"/>
        <v>19.607843137254903</v>
      </c>
      <c r="L559" s="61">
        <f>prodnorm44</f>
        <v>0</v>
      </c>
      <c r="M559" s="58" t="s">
        <v>41</v>
      </c>
      <c r="N559" s="62">
        <f>uurtarief44</f>
        <v>0</v>
      </c>
      <c r="O559" s="60" t="e">
        <f t="shared" si="82"/>
        <v>#DIV/0!</v>
      </c>
      <c r="P559" s="62" t="e">
        <f t="shared" si="83"/>
        <v>#DIV/0!</v>
      </c>
      <c r="Q559" s="60" t="e">
        <f t="shared" si="84"/>
        <v>#DIV/0!</v>
      </c>
      <c r="R559" s="63" t="e">
        <f t="shared" si="85"/>
        <v>#DIV/0!</v>
      </c>
    </row>
    <row r="560" spans="1:18" x14ac:dyDescent="0.2">
      <c r="A560" s="57" t="s">
        <v>687</v>
      </c>
      <c r="B560" s="58" t="s">
        <v>688</v>
      </c>
      <c r="C560" s="58" t="s">
        <v>367</v>
      </c>
      <c r="D560" s="58" t="s">
        <v>899</v>
      </c>
      <c r="E560" s="59" t="s">
        <v>703</v>
      </c>
      <c r="F560" s="58" t="s">
        <v>489</v>
      </c>
      <c r="G560" s="58" t="s">
        <v>167</v>
      </c>
      <c r="H560" s="58" t="s">
        <v>11</v>
      </c>
      <c r="I560" s="58" t="s">
        <v>133</v>
      </c>
      <c r="J560" s="60">
        <v>9</v>
      </c>
      <c r="K560" s="60">
        <f t="shared" si="81"/>
        <v>7.0588235294117645</v>
      </c>
      <c r="L560" s="61">
        <f>prodnorm43</f>
        <v>0</v>
      </c>
      <c r="M560" s="58" t="s">
        <v>41</v>
      </c>
      <c r="N560" s="62">
        <f>uurtarief43</f>
        <v>0</v>
      </c>
      <c r="O560" s="60" t="e">
        <f t="shared" si="82"/>
        <v>#DIV/0!</v>
      </c>
      <c r="P560" s="62" t="e">
        <f t="shared" si="83"/>
        <v>#DIV/0!</v>
      </c>
      <c r="Q560" s="60" t="e">
        <f t="shared" si="84"/>
        <v>#DIV/0!</v>
      </c>
      <c r="R560" s="63" t="e">
        <f t="shared" si="85"/>
        <v>#DIV/0!</v>
      </c>
    </row>
    <row r="561" spans="1:18" x14ac:dyDescent="0.2">
      <c r="A561" s="57" t="s">
        <v>687</v>
      </c>
      <c r="B561" s="58" t="s">
        <v>688</v>
      </c>
      <c r="C561" s="58" t="s">
        <v>367</v>
      </c>
      <c r="D561" s="58" t="s">
        <v>900</v>
      </c>
      <c r="E561" s="59" t="s">
        <v>703</v>
      </c>
      <c r="F561" s="58" t="s">
        <v>489</v>
      </c>
      <c r="G561" s="58" t="s">
        <v>167</v>
      </c>
      <c r="H561" s="58" t="s">
        <v>11</v>
      </c>
      <c r="I561" s="58" t="s">
        <v>133</v>
      </c>
      <c r="J561" s="60">
        <v>12</v>
      </c>
      <c r="K561" s="60">
        <f t="shared" si="81"/>
        <v>9.4117647058823533</v>
      </c>
      <c r="L561" s="61">
        <f>prodnorm43</f>
        <v>0</v>
      </c>
      <c r="M561" s="58" t="s">
        <v>41</v>
      </c>
      <c r="N561" s="62">
        <f>uurtarief43</f>
        <v>0</v>
      </c>
      <c r="O561" s="60" t="e">
        <f t="shared" si="82"/>
        <v>#DIV/0!</v>
      </c>
      <c r="P561" s="62" t="e">
        <f t="shared" si="83"/>
        <v>#DIV/0!</v>
      </c>
      <c r="Q561" s="60" t="e">
        <f t="shared" si="84"/>
        <v>#DIV/0!</v>
      </c>
      <c r="R561" s="63" t="e">
        <f t="shared" si="85"/>
        <v>#DIV/0!</v>
      </c>
    </row>
    <row r="562" spans="1:18" x14ac:dyDescent="0.2">
      <c r="A562" s="57" t="s">
        <v>687</v>
      </c>
      <c r="B562" s="58" t="s">
        <v>688</v>
      </c>
      <c r="C562" s="58" t="s">
        <v>901</v>
      </c>
      <c r="D562" s="58" t="s">
        <v>902</v>
      </c>
      <c r="E562" s="59" t="s">
        <v>785</v>
      </c>
      <c r="F562" s="58" t="s">
        <v>489</v>
      </c>
      <c r="G562" s="58" t="s">
        <v>153</v>
      </c>
      <c r="H562" s="58" t="s">
        <v>11</v>
      </c>
      <c r="I562" s="58" t="s">
        <v>133</v>
      </c>
      <c r="J562" s="60">
        <v>64</v>
      </c>
      <c r="K562" s="60">
        <f t="shared" si="81"/>
        <v>50.196078431372548</v>
      </c>
      <c r="L562" s="61">
        <f>prodnorm36</f>
        <v>0</v>
      </c>
      <c r="M562" s="58" t="s">
        <v>41</v>
      </c>
      <c r="N562" s="62">
        <f>uurtarief36</f>
        <v>0</v>
      </c>
      <c r="O562" s="60" t="e">
        <f t="shared" si="82"/>
        <v>#DIV/0!</v>
      </c>
      <c r="P562" s="62" t="e">
        <f t="shared" si="83"/>
        <v>#DIV/0!</v>
      </c>
      <c r="Q562" s="60" t="e">
        <f t="shared" si="84"/>
        <v>#DIV/0!</v>
      </c>
      <c r="R562" s="63" t="e">
        <f t="shared" si="85"/>
        <v>#DIV/0!</v>
      </c>
    </row>
    <row r="563" spans="1:18" x14ac:dyDescent="0.2">
      <c r="A563" s="57" t="s">
        <v>687</v>
      </c>
      <c r="B563" s="58" t="s">
        <v>688</v>
      </c>
      <c r="C563" s="58" t="s">
        <v>901</v>
      </c>
      <c r="D563" s="58" t="s">
        <v>903</v>
      </c>
      <c r="E563" s="59" t="s">
        <v>750</v>
      </c>
      <c r="F563" s="58" t="s">
        <v>489</v>
      </c>
      <c r="G563" s="58" t="s">
        <v>153</v>
      </c>
      <c r="H563" s="58" t="s">
        <v>11</v>
      </c>
      <c r="I563" s="58" t="s">
        <v>133</v>
      </c>
      <c r="J563" s="60">
        <v>52</v>
      </c>
      <c r="K563" s="60">
        <f t="shared" si="81"/>
        <v>40.784313725490193</v>
      </c>
      <c r="L563" s="61">
        <f>prodnorm36</f>
        <v>0</v>
      </c>
      <c r="M563" s="58" t="s">
        <v>41</v>
      </c>
      <c r="N563" s="62">
        <f>uurtarief36</f>
        <v>0</v>
      </c>
      <c r="O563" s="60" t="e">
        <f t="shared" si="82"/>
        <v>#DIV/0!</v>
      </c>
      <c r="P563" s="62" t="e">
        <f t="shared" si="83"/>
        <v>#DIV/0!</v>
      </c>
      <c r="Q563" s="60" t="e">
        <f t="shared" si="84"/>
        <v>#DIV/0!</v>
      </c>
      <c r="R563" s="63" t="e">
        <f t="shared" si="85"/>
        <v>#DIV/0!</v>
      </c>
    </row>
    <row r="564" spans="1:18" x14ac:dyDescent="0.2">
      <c r="A564" s="57" t="s">
        <v>687</v>
      </c>
      <c r="B564" s="58" t="s">
        <v>688</v>
      </c>
      <c r="C564" s="58" t="s">
        <v>901</v>
      </c>
      <c r="D564" s="58" t="s">
        <v>904</v>
      </c>
      <c r="E564" s="59" t="s">
        <v>750</v>
      </c>
      <c r="F564" s="58" t="s">
        <v>489</v>
      </c>
      <c r="G564" s="58" t="s">
        <v>153</v>
      </c>
      <c r="H564" s="58" t="s">
        <v>11</v>
      </c>
      <c r="I564" s="58" t="s">
        <v>133</v>
      </c>
      <c r="J564" s="60">
        <v>19</v>
      </c>
      <c r="K564" s="60">
        <f t="shared" ref="K564:K571" si="88">J564*VLOOKUP(H564,dagsoorttabel1,2,FALSE)</f>
        <v>14.901960784313726</v>
      </c>
      <c r="L564" s="61">
        <f>prodnorm36</f>
        <v>0</v>
      </c>
      <c r="M564" s="58" t="s">
        <v>41</v>
      </c>
      <c r="N564" s="62">
        <f>uurtarief36</f>
        <v>0</v>
      </c>
      <c r="O564" s="60" t="e">
        <f t="shared" ref="O564:O571" si="89">IF(ISBLANK(L564),0,K564/ROUND(L564,4))</f>
        <v>#DIV/0!</v>
      </c>
      <c r="P564" s="62" t="e">
        <f t="shared" ref="P564:P571" si="90">ROUND(N564,2)*O564</f>
        <v>#DIV/0!</v>
      </c>
      <c r="Q564" s="60" t="e">
        <f t="shared" ref="Q564:Q571" si="91">O564*dagenperjaar1</f>
        <v>#DIV/0!</v>
      </c>
      <c r="R564" s="63" t="e">
        <f t="shared" ref="R564:R571" si="92">Q564*ROUND(N564,2)</f>
        <v>#DIV/0!</v>
      </c>
    </row>
    <row r="565" spans="1:18" x14ac:dyDescent="0.2">
      <c r="A565" s="57" t="s">
        <v>687</v>
      </c>
      <c r="B565" s="58" t="s">
        <v>688</v>
      </c>
      <c r="C565" s="58" t="s">
        <v>901</v>
      </c>
      <c r="D565" s="58" t="s">
        <v>905</v>
      </c>
      <c r="E565" s="59" t="s">
        <v>906</v>
      </c>
      <c r="F565" s="58" t="s">
        <v>489</v>
      </c>
      <c r="G565" s="58" t="s">
        <v>159</v>
      </c>
      <c r="H565" s="58" t="s">
        <v>11</v>
      </c>
      <c r="I565" s="58" t="s">
        <v>133</v>
      </c>
      <c r="J565" s="60">
        <v>7</v>
      </c>
      <c r="K565" s="60">
        <f t="shared" si="88"/>
        <v>5.4901960784313726</v>
      </c>
      <c r="L565" s="61">
        <f>prodnorm39</f>
        <v>0</v>
      </c>
      <c r="M565" s="58" t="s">
        <v>41</v>
      </c>
      <c r="N565" s="62">
        <f>uurtarief39</f>
        <v>0</v>
      </c>
      <c r="O565" s="60" t="e">
        <f t="shared" si="89"/>
        <v>#DIV/0!</v>
      </c>
      <c r="P565" s="62" t="e">
        <f t="shared" si="90"/>
        <v>#DIV/0!</v>
      </c>
      <c r="Q565" s="60" t="e">
        <f t="shared" si="91"/>
        <v>#DIV/0!</v>
      </c>
      <c r="R565" s="63" t="e">
        <f t="shared" si="92"/>
        <v>#DIV/0!</v>
      </c>
    </row>
    <row r="566" spans="1:18" x14ac:dyDescent="0.2">
      <c r="A566" s="57" t="s">
        <v>687</v>
      </c>
      <c r="B566" s="58" t="s">
        <v>688</v>
      </c>
      <c r="C566" s="58" t="s">
        <v>901</v>
      </c>
      <c r="D566" s="58" t="s">
        <v>907</v>
      </c>
      <c r="E566" s="59" t="s">
        <v>395</v>
      </c>
      <c r="F566" s="58" t="s">
        <v>489</v>
      </c>
      <c r="G566" s="58" t="s">
        <v>165</v>
      </c>
      <c r="H566" s="58" t="s">
        <v>11</v>
      </c>
      <c r="I566" s="58" t="s">
        <v>133</v>
      </c>
      <c r="J566" s="60">
        <v>43</v>
      </c>
      <c r="K566" s="60">
        <f t="shared" si="88"/>
        <v>33.725490196078432</v>
      </c>
      <c r="L566" s="61">
        <f>prodnorm42</f>
        <v>0</v>
      </c>
      <c r="M566" s="58" t="s">
        <v>41</v>
      </c>
      <c r="N566" s="62">
        <f>uurtarief42</f>
        <v>0</v>
      </c>
      <c r="O566" s="60" t="e">
        <f t="shared" si="89"/>
        <v>#DIV/0!</v>
      </c>
      <c r="P566" s="62" t="e">
        <f t="shared" si="90"/>
        <v>#DIV/0!</v>
      </c>
      <c r="Q566" s="60" t="e">
        <f t="shared" si="91"/>
        <v>#DIV/0!</v>
      </c>
      <c r="R566" s="63" t="e">
        <f t="shared" si="92"/>
        <v>#DIV/0!</v>
      </c>
    </row>
    <row r="567" spans="1:18" x14ac:dyDescent="0.2">
      <c r="A567" s="57" t="s">
        <v>687</v>
      </c>
      <c r="B567" s="58" t="s">
        <v>688</v>
      </c>
      <c r="C567" s="58" t="s">
        <v>901</v>
      </c>
      <c r="D567" s="58" t="s">
        <v>908</v>
      </c>
      <c r="E567" s="59" t="s">
        <v>785</v>
      </c>
      <c r="F567" s="58" t="s">
        <v>489</v>
      </c>
      <c r="G567" s="58" t="s">
        <v>153</v>
      </c>
      <c r="H567" s="58" t="s">
        <v>11</v>
      </c>
      <c r="I567" s="58" t="s">
        <v>133</v>
      </c>
      <c r="J567" s="60">
        <v>76</v>
      </c>
      <c r="K567" s="60">
        <f t="shared" si="88"/>
        <v>59.607843137254903</v>
      </c>
      <c r="L567" s="61">
        <f>prodnorm36</f>
        <v>0</v>
      </c>
      <c r="M567" s="58" t="s">
        <v>41</v>
      </c>
      <c r="N567" s="62">
        <f>uurtarief36</f>
        <v>0</v>
      </c>
      <c r="O567" s="60" t="e">
        <f t="shared" si="89"/>
        <v>#DIV/0!</v>
      </c>
      <c r="P567" s="62" t="e">
        <f t="shared" si="90"/>
        <v>#DIV/0!</v>
      </c>
      <c r="Q567" s="60" t="e">
        <f t="shared" si="91"/>
        <v>#DIV/0!</v>
      </c>
      <c r="R567" s="63" t="e">
        <f t="shared" si="92"/>
        <v>#DIV/0!</v>
      </c>
    </row>
    <row r="568" spans="1:18" x14ac:dyDescent="0.2">
      <c r="A568" s="57" t="s">
        <v>687</v>
      </c>
      <c r="B568" s="58" t="s">
        <v>688</v>
      </c>
      <c r="C568" s="58" t="s">
        <v>901</v>
      </c>
      <c r="D568" s="58" t="s">
        <v>909</v>
      </c>
      <c r="E568" s="59" t="s">
        <v>207</v>
      </c>
      <c r="F568" s="58" t="s">
        <v>489</v>
      </c>
      <c r="G568" s="58" t="s">
        <v>171</v>
      </c>
      <c r="H568" s="58" t="s">
        <v>11</v>
      </c>
      <c r="I568" s="58" t="s">
        <v>133</v>
      </c>
      <c r="J568" s="60">
        <v>38</v>
      </c>
      <c r="K568" s="60">
        <f t="shared" si="88"/>
        <v>29.803921568627452</v>
      </c>
      <c r="L568" s="61">
        <f>prodnorm45</f>
        <v>0</v>
      </c>
      <c r="M568" s="58" t="s">
        <v>41</v>
      </c>
      <c r="N568" s="62">
        <f>uurtarief45</f>
        <v>0</v>
      </c>
      <c r="O568" s="60" t="e">
        <f t="shared" si="89"/>
        <v>#DIV/0!</v>
      </c>
      <c r="P568" s="62" t="e">
        <f t="shared" si="90"/>
        <v>#DIV/0!</v>
      </c>
      <c r="Q568" s="60" t="e">
        <f t="shared" si="91"/>
        <v>#DIV/0!</v>
      </c>
      <c r="R568" s="63" t="e">
        <f t="shared" si="92"/>
        <v>#DIV/0!</v>
      </c>
    </row>
    <row r="569" spans="1:18" x14ac:dyDescent="0.2">
      <c r="A569" s="57" t="s">
        <v>687</v>
      </c>
      <c r="B569" s="58" t="s">
        <v>688</v>
      </c>
      <c r="C569" s="58" t="s">
        <v>901</v>
      </c>
      <c r="D569" s="58" t="s">
        <v>910</v>
      </c>
      <c r="E569" s="59" t="s">
        <v>706</v>
      </c>
      <c r="F569" s="58" t="s">
        <v>489</v>
      </c>
      <c r="G569" s="58" t="s">
        <v>169</v>
      </c>
      <c r="H569" s="58" t="s">
        <v>11</v>
      </c>
      <c r="I569" s="58" t="s">
        <v>133</v>
      </c>
      <c r="J569" s="60">
        <v>25</v>
      </c>
      <c r="K569" s="60">
        <f t="shared" si="88"/>
        <v>19.607843137254903</v>
      </c>
      <c r="L569" s="61">
        <f>prodnorm44</f>
        <v>0</v>
      </c>
      <c r="M569" s="58" t="s">
        <v>41</v>
      </c>
      <c r="N569" s="62">
        <f>uurtarief44</f>
        <v>0</v>
      </c>
      <c r="O569" s="60" t="e">
        <f t="shared" si="89"/>
        <v>#DIV/0!</v>
      </c>
      <c r="P569" s="62" t="e">
        <f t="shared" si="90"/>
        <v>#DIV/0!</v>
      </c>
      <c r="Q569" s="60" t="e">
        <f t="shared" si="91"/>
        <v>#DIV/0!</v>
      </c>
      <c r="R569" s="63" t="e">
        <f t="shared" si="92"/>
        <v>#DIV/0!</v>
      </c>
    </row>
    <row r="570" spans="1:18" x14ac:dyDescent="0.2">
      <c r="A570" s="57" t="s">
        <v>687</v>
      </c>
      <c r="B570" s="58" t="s">
        <v>688</v>
      </c>
      <c r="C570" s="58" t="s">
        <v>901</v>
      </c>
      <c r="D570" s="58" t="s">
        <v>911</v>
      </c>
      <c r="E570" s="59" t="s">
        <v>703</v>
      </c>
      <c r="F570" s="58" t="s">
        <v>489</v>
      </c>
      <c r="G570" s="58" t="s">
        <v>167</v>
      </c>
      <c r="H570" s="58" t="s">
        <v>11</v>
      </c>
      <c r="I570" s="58" t="s">
        <v>133</v>
      </c>
      <c r="J570" s="60">
        <v>9</v>
      </c>
      <c r="K570" s="60">
        <f t="shared" si="88"/>
        <v>7.0588235294117645</v>
      </c>
      <c r="L570" s="61">
        <f>prodnorm43</f>
        <v>0</v>
      </c>
      <c r="M570" s="58" t="s">
        <v>41</v>
      </c>
      <c r="N570" s="62">
        <f>uurtarief43</f>
        <v>0</v>
      </c>
      <c r="O570" s="60" t="e">
        <f t="shared" si="89"/>
        <v>#DIV/0!</v>
      </c>
      <c r="P570" s="62" t="e">
        <f t="shared" si="90"/>
        <v>#DIV/0!</v>
      </c>
      <c r="Q570" s="60" t="e">
        <f t="shared" si="91"/>
        <v>#DIV/0!</v>
      </c>
      <c r="R570" s="63" t="e">
        <f t="shared" si="92"/>
        <v>#DIV/0!</v>
      </c>
    </row>
    <row r="571" spans="1:18" x14ac:dyDescent="0.2">
      <c r="A571" s="64" t="s">
        <v>687</v>
      </c>
      <c r="B571" s="65" t="s">
        <v>688</v>
      </c>
      <c r="C571" s="65" t="s">
        <v>901</v>
      </c>
      <c r="D571" s="65" t="s">
        <v>912</v>
      </c>
      <c r="E571" s="66" t="s">
        <v>703</v>
      </c>
      <c r="F571" s="65" t="s">
        <v>489</v>
      </c>
      <c r="G571" s="65" t="s">
        <v>167</v>
      </c>
      <c r="H571" s="65" t="s">
        <v>11</v>
      </c>
      <c r="I571" s="65" t="s">
        <v>133</v>
      </c>
      <c r="J571" s="67">
        <v>11</v>
      </c>
      <c r="K571" s="67">
        <f t="shared" si="88"/>
        <v>8.6274509803921564</v>
      </c>
      <c r="L571" s="68">
        <f>prodnorm43</f>
        <v>0</v>
      </c>
      <c r="M571" s="65" t="s">
        <v>41</v>
      </c>
      <c r="N571" s="69">
        <f>uurtarief43</f>
        <v>0</v>
      </c>
      <c r="O571" s="67" t="e">
        <f t="shared" si="89"/>
        <v>#DIV/0!</v>
      </c>
      <c r="P571" s="69" t="e">
        <f t="shared" si="90"/>
        <v>#DIV/0!</v>
      </c>
      <c r="Q571" s="67" t="e">
        <f t="shared" si="91"/>
        <v>#DIV/0!</v>
      </c>
      <c r="R571" s="70" t="e">
        <f t="shared" si="92"/>
        <v>#DIV/0!</v>
      </c>
    </row>
    <row r="572" spans="1:18" x14ac:dyDescent="0.2">
      <c r="A572" s="40" t="s">
        <v>484</v>
      </c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3">
        <f>IF(_xlfn.SINGLE(object3_urenjaar1)&gt;0,_xlfn.SINGLE(object3_prijsjaar1)/_xlfn.SINGLE(object3_urenjaar1),0)</f>
        <v>0</v>
      </c>
      <c r="O572" s="42" t="e">
        <f>SUM(O372:O571)</f>
        <v>#DIV/0!</v>
      </c>
      <c r="P572" s="43" t="e">
        <f>SUM(P372:P571)</f>
        <v>#DIV/0!</v>
      </c>
      <c r="Q572" s="42" t="e">
        <f>SUM(Q372:Q571)</f>
        <v>#DIV/0!</v>
      </c>
      <c r="R572" s="43" t="e">
        <f>SUM(R372:R571)</f>
        <v>#DIV/0!</v>
      </c>
    </row>
  </sheetData>
  <sheetProtection algorithmName="SHA-512" hashValue="o1d0dJjqwQIhasvEenLyiGyLXFfF6TMFe3QcyYFZdVxWqXLVgSoXxXnhYfKVsAc2BSc8hETKA5UXAVMcsIFJsA==" saltValue="Gl7kO35rJ6nSNK+PZYCcVQ==" spinCount="100000" sheet="1" objects="1" scenarios="1" autoFilter="0"/>
  <autoFilter ref="A3:R572" xr:uid="{091FFC5F-28E6-4D1B-A57F-B250DD38FD70}"/>
  <pageMargins left="0.7" right="0.7" top="0.75" bottom="0.75" header="0.3" footer="0.3"/>
  <pageSetup scale="61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D093-F586-474D-A246-AA65A47D0DC8}">
  <dimension ref="A1:K30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1" width="12.625" customWidth="1"/>
  </cols>
  <sheetData>
    <row r="1" spans="1:11" x14ac:dyDescent="0.2">
      <c r="A1" s="1" t="s">
        <v>913</v>
      </c>
    </row>
    <row r="3" spans="1:11" ht="25.5" x14ac:dyDescent="0.2">
      <c r="A3" s="72" t="s">
        <v>124</v>
      </c>
      <c r="B3" s="72" t="s">
        <v>7</v>
      </c>
      <c r="C3" s="73" t="s">
        <v>914</v>
      </c>
      <c r="D3" s="73" t="s">
        <v>915</v>
      </c>
      <c r="E3" s="73" t="s">
        <v>916</v>
      </c>
      <c r="F3" s="73" t="s">
        <v>917</v>
      </c>
      <c r="G3" s="73" t="s">
        <v>918</v>
      </c>
      <c r="H3" s="72" t="s">
        <v>919</v>
      </c>
      <c r="I3" s="72" t="s">
        <v>920</v>
      </c>
      <c r="J3" s="72" t="s">
        <v>921</v>
      </c>
      <c r="K3" s="72" t="s">
        <v>922</v>
      </c>
    </row>
    <row r="4" spans="1:11" x14ac:dyDescent="0.2">
      <c r="A4" s="74"/>
      <c r="B4" s="74"/>
      <c r="C4" s="74"/>
      <c r="D4" s="74"/>
      <c r="E4" s="74"/>
      <c r="F4" s="74"/>
      <c r="G4" s="74"/>
      <c r="H4" s="74"/>
      <c r="I4" s="75" t="s">
        <v>126</v>
      </c>
      <c r="J4" s="75" t="s">
        <v>126</v>
      </c>
      <c r="K4" s="75" t="s">
        <v>126</v>
      </c>
    </row>
    <row r="5" spans="1:11" x14ac:dyDescent="0.2">
      <c r="A5" s="15" t="s">
        <v>132</v>
      </c>
      <c r="B5" s="15" t="s">
        <v>11</v>
      </c>
      <c r="C5" s="15" t="s">
        <v>923</v>
      </c>
      <c r="D5" s="15" t="s">
        <v>133</v>
      </c>
      <c r="E5" s="30">
        <f t="shared" ref="E5:E29" si="0">IF(B5="","",VLOOKUP(B5,dagsoorttabel1,2,FALSE))</f>
        <v>0.78431372549019607</v>
      </c>
      <c r="F5" s="30">
        <v>1</v>
      </c>
      <c r="G5" s="30">
        <f>IF(prodnorm22&gt;0,1/ROUND(prodnorm22,4),0)</f>
        <v>0</v>
      </c>
      <c r="H5" s="32">
        <f>ROUND(uurtarief22,2)</f>
        <v>0</v>
      </c>
      <c r="I5" s="30">
        <v>378</v>
      </c>
      <c r="J5" s="30">
        <v>473</v>
      </c>
      <c r="K5" s="30">
        <v>536.6</v>
      </c>
    </row>
    <row r="6" spans="1:11" x14ac:dyDescent="0.2">
      <c r="A6" s="20" t="s">
        <v>135</v>
      </c>
      <c r="B6" s="20" t="s">
        <v>11</v>
      </c>
      <c r="C6" s="20" t="s">
        <v>923</v>
      </c>
      <c r="D6" s="20" t="s">
        <v>133</v>
      </c>
      <c r="E6" s="33">
        <f t="shared" si="0"/>
        <v>0.78431372549019607</v>
      </c>
      <c r="F6" s="33">
        <v>1</v>
      </c>
      <c r="G6" s="33">
        <f>IF(prodnorm23&gt;0,1/ROUND(prodnorm23,4),0)</f>
        <v>0</v>
      </c>
      <c r="H6" s="35">
        <f>ROUND(uurtarief23,2)</f>
        <v>0</v>
      </c>
      <c r="I6" s="33">
        <v>218</v>
      </c>
      <c r="J6" s="33">
        <v>12</v>
      </c>
      <c r="K6" s="33">
        <v>213</v>
      </c>
    </row>
    <row r="7" spans="1:11" x14ac:dyDescent="0.2">
      <c r="A7" s="20" t="s">
        <v>135</v>
      </c>
      <c r="B7" s="20" t="s">
        <v>18</v>
      </c>
      <c r="C7" s="20" t="s">
        <v>923</v>
      </c>
      <c r="D7" s="20" t="s">
        <v>133</v>
      </c>
      <c r="E7" s="33">
        <f t="shared" si="0"/>
        <v>0.15686274509803921</v>
      </c>
      <c r="F7" s="33">
        <v>1</v>
      </c>
      <c r="G7" s="33">
        <f>IF(prodnorm24&gt;0,1/ROUND(prodnorm24,4),0)</f>
        <v>0</v>
      </c>
      <c r="H7" s="35">
        <f>ROUND(uurtarief24,2)</f>
        <v>0</v>
      </c>
      <c r="I7" s="33">
        <v>581.82000000000005</v>
      </c>
      <c r="J7" s="33">
        <v>251</v>
      </c>
      <c r="K7" s="33">
        <v>269</v>
      </c>
    </row>
    <row r="8" spans="1:11" x14ac:dyDescent="0.2">
      <c r="A8" s="20" t="s">
        <v>137</v>
      </c>
      <c r="B8" s="20" t="s">
        <v>11</v>
      </c>
      <c r="C8" s="20" t="s">
        <v>923</v>
      </c>
      <c r="D8" s="20" t="s">
        <v>133</v>
      </c>
      <c r="E8" s="33">
        <f t="shared" si="0"/>
        <v>0.78431372549019607</v>
      </c>
      <c r="F8" s="33">
        <v>1</v>
      </c>
      <c r="G8" s="33">
        <f>IF(prodnorm25&gt;0,1/ROUND(prodnorm25,4),0)</f>
        <v>0</v>
      </c>
      <c r="H8" s="35">
        <f>ROUND(uurtarief25,2)</f>
        <v>0</v>
      </c>
      <c r="I8" s="33">
        <v>0</v>
      </c>
      <c r="J8" s="33">
        <v>108</v>
      </c>
      <c r="K8" s="33">
        <v>12</v>
      </c>
    </row>
    <row r="9" spans="1:11" x14ac:dyDescent="0.2">
      <c r="A9" s="20" t="s">
        <v>137</v>
      </c>
      <c r="B9" s="20" t="s">
        <v>18</v>
      </c>
      <c r="C9" s="20" t="s">
        <v>923</v>
      </c>
      <c r="D9" s="20" t="s">
        <v>133</v>
      </c>
      <c r="E9" s="33">
        <f t="shared" si="0"/>
        <v>0.15686274509803921</v>
      </c>
      <c r="F9" s="33">
        <v>1</v>
      </c>
      <c r="G9" s="33">
        <f>IF(prodnorm26&gt;0,1/ROUND(prodnorm26,4),0)</f>
        <v>0</v>
      </c>
      <c r="H9" s="35">
        <f>ROUND(uurtarief26,2)</f>
        <v>0</v>
      </c>
      <c r="I9" s="33">
        <v>0</v>
      </c>
      <c r="J9" s="33">
        <v>382.9</v>
      </c>
      <c r="K9" s="33">
        <v>191.5</v>
      </c>
    </row>
    <row r="10" spans="1:11" x14ac:dyDescent="0.2">
      <c r="A10" s="20" t="s">
        <v>139</v>
      </c>
      <c r="B10" s="20" t="s">
        <v>11</v>
      </c>
      <c r="C10" s="20" t="s">
        <v>923</v>
      </c>
      <c r="D10" s="20" t="s">
        <v>133</v>
      </c>
      <c r="E10" s="33">
        <f t="shared" si="0"/>
        <v>0.78431372549019607</v>
      </c>
      <c r="F10" s="33">
        <v>1</v>
      </c>
      <c r="G10" s="33">
        <f>IF(prodnorm27&gt;0,1/ROUND(prodnorm27,4),0)</f>
        <v>0</v>
      </c>
      <c r="H10" s="35">
        <f>ROUND(uurtarief27,2)</f>
        <v>0</v>
      </c>
      <c r="I10" s="33">
        <v>0</v>
      </c>
      <c r="J10" s="33">
        <v>110</v>
      </c>
      <c r="K10" s="33">
        <v>0</v>
      </c>
    </row>
    <row r="11" spans="1:11" x14ac:dyDescent="0.2">
      <c r="A11" s="20" t="s">
        <v>141</v>
      </c>
      <c r="B11" s="20" t="s">
        <v>11</v>
      </c>
      <c r="C11" s="20" t="s">
        <v>923</v>
      </c>
      <c r="D11" s="20" t="s">
        <v>133</v>
      </c>
      <c r="E11" s="33">
        <f t="shared" si="0"/>
        <v>0.78431372549019607</v>
      </c>
      <c r="F11" s="33">
        <v>1</v>
      </c>
      <c r="G11" s="33">
        <f>IF(prodnorm28&gt;0,1/ROUND(prodnorm28,4),0)</f>
        <v>0</v>
      </c>
      <c r="H11" s="35">
        <f>ROUND(uurtarief28,2)</f>
        <v>0</v>
      </c>
      <c r="I11" s="33">
        <v>80</v>
      </c>
      <c r="J11" s="33">
        <v>14</v>
      </c>
      <c r="K11" s="33">
        <v>0</v>
      </c>
    </row>
    <row r="12" spans="1:11" x14ac:dyDescent="0.2">
      <c r="A12" s="20" t="s">
        <v>143</v>
      </c>
      <c r="B12" s="20" t="s">
        <v>11</v>
      </c>
      <c r="C12" s="20" t="s">
        <v>923</v>
      </c>
      <c r="D12" s="20" t="s">
        <v>133</v>
      </c>
      <c r="E12" s="33">
        <f t="shared" si="0"/>
        <v>0.78431372549019607</v>
      </c>
      <c r="F12" s="33">
        <v>1</v>
      </c>
      <c r="G12" s="33">
        <f>IF(prodnorm29&gt;0,1/ROUND(prodnorm29,4),0)</f>
        <v>0</v>
      </c>
      <c r="H12" s="35">
        <f>ROUND(uurtarief29,2)</f>
        <v>0</v>
      </c>
      <c r="I12" s="33">
        <v>78</v>
      </c>
      <c r="J12" s="33">
        <v>129</v>
      </c>
      <c r="K12" s="33">
        <v>69</v>
      </c>
    </row>
    <row r="13" spans="1:11" x14ac:dyDescent="0.2">
      <c r="A13" s="20" t="s">
        <v>145</v>
      </c>
      <c r="B13" s="20" t="s">
        <v>11</v>
      </c>
      <c r="C13" s="20" t="s">
        <v>923</v>
      </c>
      <c r="D13" s="20" t="s">
        <v>133</v>
      </c>
      <c r="E13" s="33">
        <f t="shared" si="0"/>
        <v>0.78431372549019607</v>
      </c>
      <c r="F13" s="33">
        <v>1</v>
      </c>
      <c r="G13" s="33">
        <f>IF(prodnorm30&gt;0,1/ROUND(prodnorm30,4),0)</f>
        <v>0</v>
      </c>
      <c r="H13" s="35">
        <f>ROUND(uurtarief30,2)</f>
        <v>0</v>
      </c>
      <c r="I13" s="33">
        <v>0</v>
      </c>
      <c r="J13" s="33">
        <v>32</v>
      </c>
      <c r="K13" s="33">
        <v>27</v>
      </c>
    </row>
    <row r="14" spans="1:11" x14ac:dyDescent="0.2">
      <c r="A14" s="20" t="s">
        <v>147</v>
      </c>
      <c r="B14" s="20" t="s">
        <v>21</v>
      </c>
      <c r="C14" s="20" t="s">
        <v>923</v>
      </c>
      <c r="D14" s="20" t="s">
        <v>133</v>
      </c>
      <c r="E14" s="33">
        <f t="shared" si="0"/>
        <v>3.9215686274509803E-2</v>
      </c>
      <c r="F14" s="33">
        <v>1</v>
      </c>
      <c r="G14" s="33">
        <f>IF(prodnorm31&gt;0,1/ROUND(prodnorm31,4),0)</f>
        <v>0</v>
      </c>
      <c r="H14" s="35">
        <f>ROUND(uurtarief31,2)</f>
        <v>0</v>
      </c>
      <c r="I14" s="33">
        <v>0</v>
      </c>
      <c r="J14" s="33">
        <v>42</v>
      </c>
      <c r="K14" s="33">
        <v>115</v>
      </c>
    </row>
    <row r="15" spans="1:11" x14ac:dyDescent="0.2">
      <c r="A15" s="20" t="s">
        <v>147</v>
      </c>
      <c r="B15" s="20" t="s">
        <v>11</v>
      </c>
      <c r="C15" s="20" t="s">
        <v>923</v>
      </c>
      <c r="D15" s="20" t="s">
        <v>133</v>
      </c>
      <c r="E15" s="33">
        <f t="shared" si="0"/>
        <v>0.78431372549019607</v>
      </c>
      <c r="F15" s="33">
        <v>1</v>
      </c>
      <c r="G15" s="33">
        <f>IF(prodnorm32&gt;0,1/ROUND(prodnorm32,4),0)</f>
        <v>0</v>
      </c>
      <c r="H15" s="35">
        <f>ROUND(uurtarief32,2)</f>
        <v>0</v>
      </c>
      <c r="I15" s="33">
        <v>878.16000000000008</v>
      </c>
      <c r="J15" s="33">
        <v>318</v>
      </c>
      <c r="K15" s="33">
        <v>965</v>
      </c>
    </row>
    <row r="16" spans="1:11" x14ac:dyDescent="0.2">
      <c r="A16" s="20" t="s">
        <v>149</v>
      </c>
      <c r="B16" s="20" t="s">
        <v>11</v>
      </c>
      <c r="C16" s="20" t="s">
        <v>923</v>
      </c>
      <c r="D16" s="20" t="s">
        <v>133</v>
      </c>
      <c r="E16" s="33">
        <f t="shared" si="0"/>
        <v>0.78431372549019607</v>
      </c>
      <c r="F16" s="33">
        <v>1</v>
      </c>
      <c r="G16" s="33">
        <f>IF(prodnorm33&gt;0,1/ROUND(prodnorm33,4),0)</f>
        <v>0</v>
      </c>
      <c r="H16" s="35">
        <f>ROUND(uurtarief33,2)</f>
        <v>0</v>
      </c>
      <c r="I16" s="33">
        <v>2</v>
      </c>
      <c r="J16" s="33">
        <v>4</v>
      </c>
      <c r="K16" s="33">
        <v>8</v>
      </c>
    </row>
    <row r="17" spans="1:11" x14ac:dyDescent="0.2">
      <c r="A17" s="20" t="s">
        <v>151</v>
      </c>
      <c r="B17" s="20" t="s">
        <v>14</v>
      </c>
      <c r="C17" s="20" t="s">
        <v>923</v>
      </c>
      <c r="D17" s="20" t="s">
        <v>133</v>
      </c>
      <c r="E17" s="33">
        <f t="shared" si="0"/>
        <v>0.47058823529411764</v>
      </c>
      <c r="F17" s="33">
        <v>1</v>
      </c>
      <c r="G17" s="33">
        <f>IF(prodnorm34&gt;0,1/ROUND(prodnorm34,4),0)</f>
        <v>0</v>
      </c>
      <c r="H17" s="35">
        <f>ROUND(uurtarief34,2)</f>
        <v>0</v>
      </c>
      <c r="I17" s="33">
        <v>129.19999999999999</v>
      </c>
      <c r="J17" s="33">
        <v>0</v>
      </c>
      <c r="K17" s="33">
        <v>0</v>
      </c>
    </row>
    <row r="18" spans="1:11" x14ac:dyDescent="0.2">
      <c r="A18" s="20" t="s">
        <v>151</v>
      </c>
      <c r="B18" s="20" t="s">
        <v>11</v>
      </c>
      <c r="C18" s="20" t="s">
        <v>923</v>
      </c>
      <c r="D18" s="20" t="s">
        <v>133</v>
      </c>
      <c r="E18" s="33">
        <f t="shared" si="0"/>
        <v>0.78431372549019607</v>
      </c>
      <c r="F18" s="33">
        <v>1</v>
      </c>
      <c r="G18" s="33">
        <f>IF(prodnorm35&gt;0,1/ROUND(prodnorm35,4),0)</f>
        <v>0</v>
      </c>
      <c r="H18" s="35">
        <f>ROUND(uurtarief35,2)</f>
        <v>0</v>
      </c>
      <c r="I18" s="33">
        <v>0</v>
      </c>
      <c r="J18" s="33">
        <v>56</v>
      </c>
      <c r="K18" s="33">
        <v>198</v>
      </c>
    </row>
    <row r="19" spans="1:11" x14ac:dyDescent="0.2">
      <c r="A19" s="20" t="s">
        <v>153</v>
      </c>
      <c r="B19" s="20" t="s">
        <v>11</v>
      </c>
      <c r="C19" s="20" t="s">
        <v>923</v>
      </c>
      <c r="D19" s="20" t="s">
        <v>133</v>
      </c>
      <c r="E19" s="33">
        <f t="shared" si="0"/>
        <v>0.78431372549019607</v>
      </c>
      <c r="F19" s="33">
        <v>1</v>
      </c>
      <c r="G19" s="33">
        <f>IF(prodnorm36&gt;0,1/ROUND(prodnorm36,4),0)</f>
        <v>0</v>
      </c>
      <c r="H19" s="35">
        <f>ROUND(uurtarief36,2)</f>
        <v>0</v>
      </c>
      <c r="I19" s="33">
        <v>3194.6600000000003</v>
      </c>
      <c r="J19" s="33">
        <v>1248.7999999999997</v>
      </c>
      <c r="K19" s="33">
        <v>2763.4</v>
      </c>
    </row>
    <row r="20" spans="1:11" x14ac:dyDescent="0.2">
      <c r="A20" s="20" t="s">
        <v>155</v>
      </c>
      <c r="B20" s="20" t="s">
        <v>11</v>
      </c>
      <c r="C20" s="20" t="s">
        <v>923</v>
      </c>
      <c r="D20" s="20" t="s">
        <v>133</v>
      </c>
      <c r="E20" s="33">
        <f t="shared" si="0"/>
        <v>0.78431372549019607</v>
      </c>
      <c r="F20" s="33">
        <v>1</v>
      </c>
      <c r="G20" s="33">
        <f>IF(prodnorm37&gt;0,1/ROUND(prodnorm37,4),0)</f>
        <v>0</v>
      </c>
      <c r="H20" s="35">
        <f>ROUND(uurtarief37,2)</f>
        <v>0</v>
      </c>
      <c r="I20" s="33">
        <v>0</v>
      </c>
      <c r="J20" s="33">
        <v>105</v>
      </c>
      <c r="K20" s="33">
        <v>162</v>
      </c>
    </row>
    <row r="21" spans="1:11" x14ac:dyDescent="0.2">
      <c r="A21" s="20" t="s">
        <v>157</v>
      </c>
      <c r="B21" s="20" t="s">
        <v>11</v>
      </c>
      <c r="C21" s="20" t="s">
        <v>923</v>
      </c>
      <c r="D21" s="20" t="s">
        <v>133</v>
      </c>
      <c r="E21" s="33">
        <f t="shared" si="0"/>
        <v>0.78431372549019607</v>
      </c>
      <c r="F21" s="33">
        <v>1</v>
      </c>
      <c r="G21" s="33">
        <f>IF(prodnorm38&gt;0,1/ROUND(prodnorm38,4),0)</f>
        <v>0</v>
      </c>
      <c r="H21" s="35">
        <f>ROUND(uurtarief38,2)</f>
        <v>0</v>
      </c>
      <c r="I21" s="33">
        <v>0</v>
      </c>
      <c r="J21" s="33">
        <v>0</v>
      </c>
      <c r="K21" s="33">
        <v>974</v>
      </c>
    </row>
    <row r="22" spans="1:11" x14ac:dyDescent="0.2">
      <c r="A22" s="20" t="s">
        <v>159</v>
      </c>
      <c r="B22" s="20" t="s">
        <v>11</v>
      </c>
      <c r="C22" s="20" t="s">
        <v>923</v>
      </c>
      <c r="D22" s="20" t="s">
        <v>133</v>
      </c>
      <c r="E22" s="33">
        <f t="shared" si="0"/>
        <v>0.78431372549019607</v>
      </c>
      <c r="F22" s="33">
        <v>1</v>
      </c>
      <c r="G22" s="33">
        <f>IF(prodnorm39&gt;0,1/ROUND(prodnorm39,4),0)</f>
        <v>0</v>
      </c>
      <c r="H22" s="35">
        <f>ROUND(uurtarief39,2)</f>
        <v>0</v>
      </c>
      <c r="I22" s="33">
        <v>0</v>
      </c>
      <c r="J22" s="33">
        <v>65</v>
      </c>
      <c r="K22" s="33">
        <v>7</v>
      </c>
    </row>
    <row r="23" spans="1:11" x14ac:dyDescent="0.2">
      <c r="A23" s="20" t="s">
        <v>161</v>
      </c>
      <c r="B23" s="20" t="s">
        <v>11</v>
      </c>
      <c r="C23" s="20" t="s">
        <v>923</v>
      </c>
      <c r="D23" s="20" t="s">
        <v>133</v>
      </c>
      <c r="E23" s="33">
        <f t="shared" si="0"/>
        <v>0.78431372549019607</v>
      </c>
      <c r="F23" s="33">
        <v>1</v>
      </c>
      <c r="G23" s="33">
        <f>IF(prodnorm40&gt;0,1/ROUND(prodnorm40,4),0)</f>
        <v>0</v>
      </c>
      <c r="H23" s="35">
        <f>ROUND(uurtarief40,2)</f>
        <v>0</v>
      </c>
      <c r="I23" s="33">
        <v>0</v>
      </c>
      <c r="J23" s="33">
        <v>0</v>
      </c>
      <c r="K23" s="33">
        <v>217</v>
      </c>
    </row>
    <row r="24" spans="1:11" x14ac:dyDescent="0.2">
      <c r="A24" s="20" t="s">
        <v>163</v>
      </c>
      <c r="B24" s="20" t="s">
        <v>11</v>
      </c>
      <c r="C24" s="20" t="s">
        <v>923</v>
      </c>
      <c r="D24" s="20" t="s">
        <v>133</v>
      </c>
      <c r="E24" s="33">
        <f t="shared" si="0"/>
        <v>0.78431372549019607</v>
      </c>
      <c r="F24" s="33">
        <v>1</v>
      </c>
      <c r="G24" s="33">
        <f>IF(prodnorm41&gt;0,1/ROUND(prodnorm41,4),0)</f>
        <v>0</v>
      </c>
      <c r="H24" s="35">
        <f>ROUND(uurtarief41,2)</f>
        <v>0</v>
      </c>
      <c r="I24" s="33">
        <v>131</v>
      </c>
      <c r="J24" s="33">
        <v>0</v>
      </c>
      <c r="K24" s="33">
        <v>0</v>
      </c>
    </row>
    <row r="25" spans="1:11" x14ac:dyDescent="0.2">
      <c r="A25" s="20" t="s">
        <v>165</v>
      </c>
      <c r="B25" s="20" t="s">
        <v>11</v>
      </c>
      <c r="C25" s="20" t="s">
        <v>923</v>
      </c>
      <c r="D25" s="20" t="s">
        <v>133</v>
      </c>
      <c r="E25" s="33">
        <f t="shared" si="0"/>
        <v>0.78431372549019607</v>
      </c>
      <c r="F25" s="33">
        <v>1</v>
      </c>
      <c r="G25" s="33">
        <f>IF(prodnorm42&gt;0,1/ROUND(prodnorm42,4),0)</f>
        <v>0</v>
      </c>
      <c r="H25" s="35">
        <f>ROUND(uurtarief42,2)</f>
        <v>0</v>
      </c>
      <c r="I25" s="33">
        <v>0</v>
      </c>
      <c r="J25" s="33">
        <v>468</v>
      </c>
      <c r="K25" s="33">
        <v>195</v>
      </c>
    </row>
    <row r="26" spans="1:11" x14ac:dyDescent="0.2">
      <c r="A26" s="20" t="s">
        <v>167</v>
      </c>
      <c r="B26" s="20" t="s">
        <v>11</v>
      </c>
      <c r="C26" s="20" t="s">
        <v>923</v>
      </c>
      <c r="D26" s="20" t="s">
        <v>133</v>
      </c>
      <c r="E26" s="33">
        <f t="shared" si="0"/>
        <v>0.78431372549019607</v>
      </c>
      <c r="F26" s="33">
        <v>1</v>
      </c>
      <c r="G26" s="33">
        <f>IF(prodnorm43&gt;0,1/ROUND(prodnorm43,4),0)</f>
        <v>0</v>
      </c>
      <c r="H26" s="35">
        <f>ROUND(uurtarief43,2)</f>
        <v>0</v>
      </c>
      <c r="I26" s="33">
        <v>229.48000000000002</v>
      </c>
      <c r="J26" s="33">
        <v>128.5</v>
      </c>
      <c r="K26" s="33">
        <v>290</v>
      </c>
    </row>
    <row r="27" spans="1:11" x14ac:dyDescent="0.2">
      <c r="A27" s="20" t="s">
        <v>169</v>
      </c>
      <c r="B27" s="20" t="s">
        <v>11</v>
      </c>
      <c r="C27" s="20" t="s">
        <v>923</v>
      </c>
      <c r="D27" s="20" t="s">
        <v>133</v>
      </c>
      <c r="E27" s="33">
        <f t="shared" si="0"/>
        <v>0.78431372549019607</v>
      </c>
      <c r="F27" s="33">
        <v>1</v>
      </c>
      <c r="G27" s="33">
        <f>IF(prodnorm44&gt;0,1/ROUND(prodnorm44,4),0)</f>
        <v>0</v>
      </c>
      <c r="H27" s="35">
        <f>ROUND(uurtarief44,2)</f>
        <v>0</v>
      </c>
      <c r="I27" s="33">
        <v>185.44</v>
      </c>
      <c r="J27" s="33">
        <v>318.69999999999993</v>
      </c>
      <c r="K27" s="33">
        <v>514</v>
      </c>
    </row>
    <row r="28" spans="1:11" x14ac:dyDescent="0.2">
      <c r="A28" s="20" t="s">
        <v>171</v>
      </c>
      <c r="B28" s="20" t="s">
        <v>11</v>
      </c>
      <c r="C28" s="20" t="s">
        <v>923</v>
      </c>
      <c r="D28" s="20" t="s">
        <v>133</v>
      </c>
      <c r="E28" s="33">
        <f t="shared" si="0"/>
        <v>0.78431372549019607</v>
      </c>
      <c r="F28" s="33">
        <v>1</v>
      </c>
      <c r="G28" s="33">
        <f>IF(prodnorm45&gt;0,1/ROUND(prodnorm45,4),0)</f>
        <v>0</v>
      </c>
      <c r="H28" s="35">
        <f>ROUND(uurtarief45,2)</f>
        <v>0</v>
      </c>
      <c r="I28" s="33">
        <v>1183.3400000000001</v>
      </c>
      <c r="J28" s="33">
        <v>1528.8</v>
      </c>
      <c r="K28" s="33">
        <v>1219.5</v>
      </c>
    </row>
    <row r="29" spans="1:11" x14ac:dyDescent="0.2">
      <c r="A29" s="25" t="s">
        <v>173</v>
      </c>
      <c r="B29" s="25" t="s">
        <v>12</v>
      </c>
      <c r="C29" s="25" t="s">
        <v>923</v>
      </c>
      <c r="D29" s="25" t="s">
        <v>174</v>
      </c>
      <c r="E29" s="36">
        <f t="shared" si="0"/>
        <v>0.62745098039215685</v>
      </c>
      <c r="F29" s="36">
        <v>1</v>
      </c>
      <c r="G29" s="36">
        <f>IF(prodnorm21&gt;0,1/ROUND(prodnorm21,4),0)</f>
        <v>0</v>
      </c>
      <c r="H29" s="38">
        <f>ROUND(uurtarief21,2)</f>
        <v>0</v>
      </c>
      <c r="I29" s="36">
        <v>581.82000000000005</v>
      </c>
      <c r="J29" s="36">
        <v>565.5</v>
      </c>
      <c r="K29" s="36">
        <v>452.5</v>
      </c>
    </row>
    <row r="30" spans="1:11" x14ac:dyDescent="0.2">
      <c r="A30" s="40" t="s">
        <v>176</v>
      </c>
      <c r="B30" s="41"/>
      <c r="C30" s="41"/>
      <c r="D30" s="41"/>
      <c r="E30" s="41"/>
      <c r="F30" s="41"/>
      <c r="G30" s="41"/>
      <c r="H30" s="41"/>
      <c r="I30" s="76"/>
      <c r="J30" s="76"/>
      <c r="K30" s="76"/>
    </row>
  </sheetData>
  <sheetProtection algorithmName="SHA-512" hashValue="iW7ZYRx9tiTQIE1tTC2aKac0HyZIqbfMKkGsilIHvOf91HNg++p350aFnmjlBUvFwt6vdoDn4qeb1491g/fjsQ==" saltValue="pTu4nXDBPEKJOzQe/AarYw==" spinCount="100000" sheet="1" objects="1" scenarios="1" autoFilter="0"/>
  <pageMargins left="0.7" right="0.7" top="0.75" bottom="0.75" header="0.3" footer="0.3"/>
  <pageSetup scale="70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B1D6-3C47-45A9-A8CF-CFAFA76E96E4}">
  <dimension ref="A1:O14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12" width="12.125" customWidth="1"/>
    <col min="13" max="13" width="12.625" customWidth="1"/>
    <col min="14" max="14" width="14.625" customWidth="1"/>
    <col min="15" max="15" width="13.625" customWidth="1"/>
  </cols>
  <sheetData>
    <row r="1" spans="1:15" x14ac:dyDescent="0.2">
      <c r="A1" s="1" t="str">
        <f>CONCATENATE("Bijlage H.4: ",tabeltype," objecten")</f>
        <v>Bijlage H.4: Invultabel objecten</v>
      </c>
    </row>
    <row r="3" spans="1:15" ht="38.25" x14ac:dyDescent="0.2">
      <c r="A3" s="8" t="s">
        <v>179</v>
      </c>
      <c r="B3" s="8" t="s">
        <v>924</v>
      </c>
      <c r="C3" s="8" t="s">
        <v>925</v>
      </c>
      <c r="D3" s="8" t="s">
        <v>926</v>
      </c>
      <c r="E3" s="8" t="s">
        <v>7</v>
      </c>
      <c r="F3" s="8" t="s">
        <v>927</v>
      </c>
      <c r="G3" s="8" t="s">
        <v>928</v>
      </c>
      <c r="H3" s="8" t="s">
        <v>929</v>
      </c>
      <c r="I3" s="8" t="s">
        <v>930</v>
      </c>
      <c r="J3" s="8" t="s">
        <v>931</v>
      </c>
      <c r="K3" s="8" t="s">
        <v>932</v>
      </c>
      <c r="L3" s="8" t="s">
        <v>933</v>
      </c>
      <c r="M3" s="8" t="s">
        <v>130</v>
      </c>
      <c r="N3" s="8" t="s">
        <v>131</v>
      </c>
      <c r="O3" s="8" t="s">
        <v>934</v>
      </c>
    </row>
    <row r="4" spans="1:15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</row>
    <row r="5" spans="1:15" x14ac:dyDescent="0.2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</row>
    <row r="6" spans="1:15" x14ac:dyDescent="0.2">
      <c r="A6" s="15" t="s">
        <v>187</v>
      </c>
      <c r="B6" s="15" t="s">
        <v>935</v>
      </c>
      <c r="C6" s="15" t="s">
        <v>936</v>
      </c>
      <c r="D6" s="15" t="s">
        <v>937</v>
      </c>
      <c r="E6" s="77" t="s">
        <v>11</v>
      </c>
      <c r="F6" s="78">
        <f>gemuurtarief1</f>
        <v>0</v>
      </c>
      <c r="G6" s="30">
        <f>SUMPRODUCT(taakfreqtabel1,uurfactortabel1,kengetaltabel1,object1_opptabel1)*(1/VLOOKUP(E6,dagsoorttabel1,2,FALSE))</f>
        <v>0</v>
      </c>
      <c r="H6" s="17"/>
      <c r="I6" s="30">
        <f>G6+H6</f>
        <v>0</v>
      </c>
      <c r="J6" s="32">
        <f>SUMPRODUCT(taakfreqtabel1,kengetaltabel1,tarieftabel1,object1_opptabel1)*(1/VLOOKUP(E6,dagsoorttabel1,2,FALSE))</f>
        <v>0</v>
      </c>
      <c r="K6" s="32">
        <f>F6*H6</f>
        <v>0</v>
      </c>
      <c r="L6" s="32">
        <f>SUM(J6:K6)</f>
        <v>0</v>
      </c>
      <c r="M6" s="30">
        <f>I6*dagenperjaar1*VLOOKUP(E6,dagsoorttabel1,2,FALSE)</f>
        <v>0</v>
      </c>
      <c r="N6" s="32">
        <f>L6*dagenperjaar1*VLOOKUP(E6,dagsoorttabel1,2,FALSE)</f>
        <v>0</v>
      </c>
      <c r="O6" s="32">
        <f>N6/12</f>
        <v>0</v>
      </c>
    </row>
    <row r="7" spans="1:15" x14ac:dyDescent="0.2">
      <c r="A7" s="20" t="s">
        <v>486</v>
      </c>
      <c r="B7" s="20" t="s">
        <v>938</v>
      </c>
      <c r="C7" s="20" t="s">
        <v>939</v>
      </c>
      <c r="D7" s="20" t="s">
        <v>937</v>
      </c>
      <c r="E7" s="79" t="s">
        <v>11</v>
      </c>
      <c r="F7" s="80">
        <f>gemuurtarief1</f>
        <v>0</v>
      </c>
      <c r="G7" s="33">
        <f>SUMPRODUCT(taakfreqtabel1,uurfactortabel1,kengetaltabel1,object2_opptabel1)*(1/VLOOKUP(E7,dagsoorttabel1,2,FALSE))</f>
        <v>0</v>
      </c>
      <c r="H7" s="22"/>
      <c r="I7" s="33">
        <f>G7+H7</f>
        <v>0</v>
      </c>
      <c r="J7" s="35">
        <f>SUMPRODUCT(taakfreqtabel1,kengetaltabel1,tarieftabel1,object2_opptabel1)*(1/VLOOKUP(E7,dagsoorttabel1,2,FALSE))</f>
        <v>0</v>
      </c>
      <c r="K7" s="35">
        <f>F7*H7</f>
        <v>0</v>
      </c>
      <c r="L7" s="35">
        <f>SUM(J7:K7)</f>
        <v>0</v>
      </c>
      <c r="M7" s="33">
        <f>I7*dagenperjaar1*VLOOKUP(E7,dagsoorttabel1,2,FALSE)</f>
        <v>0</v>
      </c>
      <c r="N7" s="35">
        <f>L7*dagenperjaar1*VLOOKUP(E7,dagsoorttabel1,2,FALSE)</f>
        <v>0</v>
      </c>
      <c r="O7" s="35">
        <f>N7/12</f>
        <v>0</v>
      </c>
    </row>
    <row r="8" spans="1:15" x14ac:dyDescent="0.2">
      <c r="A8" s="25" t="s">
        <v>687</v>
      </c>
      <c r="B8" s="25" t="s">
        <v>940</v>
      </c>
      <c r="C8" s="25" t="s">
        <v>941</v>
      </c>
      <c r="D8" s="25" t="s">
        <v>937</v>
      </c>
      <c r="E8" s="81" t="s">
        <v>11</v>
      </c>
      <c r="F8" s="82">
        <f>gemuurtarief1</f>
        <v>0</v>
      </c>
      <c r="G8" s="36">
        <f>SUMPRODUCT(taakfreqtabel1,uurfactortabel1,kengetaltabel1,object3_opptabel1)*(1/VLOOKUP(E8,dagsoorttabel1,2,FALSE))</f>
        <v>0</v>
      </c>
      <c r="H8" s="27"/>
      <c r="I8" s="36">
        <f>G8+H8</f>
        <v>0</v>
      </c>
      <c r="J8" s="38">
        <f>SUMPRODUCT(taakfreqtabel1,kengetaltabel1,tarieftabel1,object3_opptabel1)*(1/VLOOKUP(E8,dagsoorttabel1,2,FALSE))</f>
        <v>0</v>
      </c>
      <c r="K8" s="38">
        <f>F8*H8</f>
        <v>0</v>
      </c>
      <c r="L8" s="38">
        <f>SUM(J8:K8)</f>
        <v>0</v>
      </c>
      <c r="M8" s="36">
        <f>I8*dagenperjaar1*VLOOKUP(E8,dagsoorttabel1,2,FALSE)</f>
        <v>0</v>
      </c>
      <c r="N8" s="38">
        <f>L8*dagenperjaar1*VLOOKUP(E8,dagsoorttabel1,2,FALSE)</f>
        <v>0</v>
      </c>
      <c r="O8" s="38">
        <f>N8/12</f>
        <v>0</v>
      </c>
    </row>
    <row r="9" spans="1:15" x14ac:dyDescent="0.2">
      <c r="A9" s="40" t="s">
        <v>176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2">
        <f>SUM(M6:M8)</f>
        <v>0</v>
      </c>
      <c r="N9" s="43">
        <f>SUM(N6:N8)</f>
        <v>0</v>
      </c>
      <c r="O9" s="44">
        <f>SUM(O6:O8)</f>
        <v>0</v>
      </c>
    </row>
    <row r="10" spans="1:15" x14ac:dyDescent="0.2">
      <c r="A10" s="45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6"/>
    </row>
    <row r="12" spans="1:15" x14ac:dyDescent="0.2">
      <c r="A12" s="40" t="s">
        <v>942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2">
        <f>urenjaartotaal1</f>
        <v>0</v>
      </c>
      <c r="N12" s="43">
        <f>prijsjaartotaal1</f>
        <v>0</v>
      </c>
      <c r="O12" s="43">
        <f>prijsmaandtotaal1</f>
        <v>0</v>
      </c>
    </row>
    <row r="14" spans="1:15" x14ac:dyDescent="0.2">
      <c r="A14" s="40" t="s">
        <v>943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3">
        <f>N12*1.21</f>
        <v>0</v>
      </c>
      <c r="O14" s="43">
        <f>O12*1.21</f>
        <v>0</v>
      </c>
    </row>
  </sheetData>
  <sheetProtection algorithmName="SHA-512" hashValue="VgER1Tt3dMdB4OVwQYMwgR+2Qb9DQ05YnYL+yh8EojqDziIhowMvEtkycR71W7Mdz6OEgwzcW6ecCo5RaDEeIg==" saltValue="fUyPrdpn267tTM1vseBVYA==" spinCount="100000" sheet="1" objects="1" scenarios="1" autoFilter="0"/>
  <pageMargins left="0.7" right="0.7" top="0.75" bottom="0.75" header="0.3" footer="0.3"/>
  <pageSetup scale="65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53A01-EB08-4F70-8CAB-278A7BEDFF3E}">
  <dimension ref="A1:K35"/>
  <sheetViews>
    <sheetView tabSelected="1" workbookViewId="0">
      <selection activeCell="F27" sqref="F27"/>
    </sheetView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H.5: ",tabeltype," niet-meewerkende objectleiding")</f>
        <v>Bijlage H.5: Invultabel niet-meewerkende objectleiding</v>
      </c>
    </row>
    <row r="3" spans="1:11" ht="38.25" x14ac:dyDescent="0.2">
      <c r="A3" s="8" t="s">
        <v>944</v>
      </c>
      <c r="B3" s="8" t="s">
        <v>7</v>
      </c>
      <c r="C3" s="8" t="s">
        <v>945</v>
      </c>
      <c r="D3" s="8" t="s">
        <v>946</v>
      </c>
      <c r="E3" s="8" t="s">
        <v>947</v>
      </c>
      <c r="F3" s="8" t="s">
        <v>948</v>
      </c>
      <c r="G3" s="8" t="s">
        <v>949</v>
      </c>
      <c r="H3" s="8" t="s">
        <v>130</v>
      </c>
      <c r="I3" s="8" t="s">
        <v>950</v>
      </c>
      <c r="J3" s="8" t="s">
        <v>951</v>
      </c>
      <c r="K3" s="8" t="s">
        <v>952</v>
      </c>
    </row>
    <row r="4" spans="1:11" x14ac:dyDescent="0.2">
      <c r="A4" s="83"/>
      <c r="B4" s="84"/>
      <c r="C4" s="84"/>
      <c r="D4" s="84"/>
      <c r="E4" s="84"/>
      <c r="F4" s="84"/>
      <c r="G4" s="84"/>
      <c r="H4" s="84"/>
      <c r="I4" s="84"/>
      <c r="J4" s="84"/>
      <c r="K4" s="85"/>
    </row>
    <row r="5" spans="1:11" x14ac:dyDescent="0.2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86" t="s">
        <v>186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/>
      <c r="B8" s="15"/>
      <c r="C8" s="118">
        <f>dagenperjaar1</f>
        <v>255</v>
      </c>
      <c r="D8" s="119" t="s">
        <v>953</v>
      </c>
      <c r="E8" s="19"/>
      <c r="F8" s="18"/>
      <c r="G8" s="105"/>
      <c r="H8" s="30">
        <f>IF(ISBLANK(G8),0,G8*C8)+IF(ISBLANK(F8),0,F8*objecturen1_1)</f>
        <v>0</v>
      </c>
      <c r="I8" s="30">
        <f>IF(C8=0,0,H8/C8)</f>
        <v>0</v>
      </c>
      <c r="J8" s="32">
        <f>IF(ISBLANK(E8),0,ROUND(E8,2)*H8)</f>
        <v>0</v>
      </c>
      <c r="K8" s="32">
        <f>J8/12</f>
        <v>0</v>
      </c>
    </row>
    <row r="9" spans="1:11" x14ac:dyDescent="0.2">
      <c r="A9" s="20"/>
      <c r="B9" s="20"/>
      <c r="C9" s="120">
        <f>dagenperjaar1</f>
        <v>255</v>
      </c>
      <c r="D9" s="121" t="s">
        <v>953</v>
      </c>
      <c r="E9" s="24"/>
      <c r="F9" s="23"/>
      <c r="G9" s="107"/>
      <c r="H9" s="33">
        <f>IF(ISBLANK(G9),0,G9*C9)+IF(ISBLANK(F9),0,F9*objecturen1_1)</f>
        <v>0</v>
      </c>
      <c r="I9" s="33">
        <f>IF(C9=0,0,H9/C9)</f>
        <v>0</v>
      </c>
      <c r="J9" s="35">
        <f>IF(ISBLANK(E9),0,ROUND(E9,2)*H9)</f>
        <v>0</v>
      </c>
      <c r="K9" s="35">
        <f>J9/12</f>
        <v>0</v>
      </c>
    </row>
    <row r="10" spans="1:11" x14ac:dyDescent="0.2">
      <c r="A10" s="20"/>
      <c r="B10" s="20"/>
      <c r="C10" s="120">
        <f>dagenperjaar1</f>
        <v>255</v>
      </c>
      <c r="D10" s="121" t="s">
        <v>954</v>
      </c>
      <c r="E10" s="24"/>
      <c r="F10" s="124"/>
      <c r="G10" s="22"/>
      <c r="H10" s="33">
        <f>IF(ISBLANK(G10),0,G10*C10)+IF(ISBLANK(F10),0,F10*objecturen1_1)</f>
        <v>0</v>
      </c>
      <c r="I10" s="33">
        <f>IF(C10=0,0,H10/C10)</f>
        <v>0</v>
      </c>
      <c r="J10" s="35">
        <f>IF(ISBLANK(E10),0,ROUND(E10,2)*H10)</f>
        <v>0</v>
      </c>
      <c r="K10" s="35">
        <f>J10/12</f>
        <v>0</v>
      </c>
    </row>
    <row r="11" spans="1:11" x14ac:dyDescent="0.2">
      <c r="A11" s="25"/>
      <c r="B11" s="25"/>
      <c r="C11" s="122">
        <f>dagenperjaar1</f>
        <v>255</v>
      </c>
      <c r="D11" s="123" t="s">
        <v>954</v>
      </c>
      <c r="E11" s="29"/>
      <c r="F11" s="125"/>
      <c r="G11" s="27"/>
      <c r="H11" s="36">
        <f>IF(ISBLANK(G11),0,G11*C11)+IF(ISBLANK(F11),0,F11*objecturen1_1)</f>
        <v>0</v>
      </c>
      <c r="I11" s="36">
        <f>IF(C11=0,0,H11/C11)</f>
        <v>0</v>
      </c>
      <c r="J11" s="38">
        <f>IF(ISBLANK(E11),0,ROUND(E11,2)*H11)</f>
        <v>0</v>
      </c>
      <c r="K11" s="38">
        <f>J11/12</f>
        <v>0</v>
      </c>
    </row>
    <row r="12" spans="1:11" x14ac:dyDescent="0.2">
      <c r="A12" s="89" t="s">
        <v>955</v>
      </c>
      <c r="B12" s="41"/>
      <c r="C12" s="41"/>
      <c r="D12" s="41"/>
      <c r="E12" s="41"/>
      <c r="F12" s="41"/>
      <c r="G12" s="41"/>
      <c r="H12" s="42">
        <f>SUM(H8:H11)</f>
        <v>0</v>
      </c>
      <c r="I12" s="41"/>
      <c r="J12" s="43">
        <f>SUM(J8:J11)</f>
        <v>0</v>
      </c>
      <c r="K12" s="44">
        <f>SUM(K8:K11)</f>
        <v>0</v>
      </c>
    </row>
    <row r="13" spans="1:11" x14ac:dyDescent="0.2">
      <c r="A13" s="45"/>
      <c r="B13" s="41"/>
      <c r="C13" s="41"/>
      <c r="D13" s="41"/>
      <c r="E13" s="41"/>
      <c r="F13" s="41"/>
      <c r="G13" s="41"/>
      <c r="H13" s="41"/>
      <c r="I13" s="41"/>
      <c r="J13" s="41"/>
      <c r="K13" s="46"/>
    </row>
    <row r="14" spans="1:11" x14ac:dyDescent="0.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1"/>
    </row>
    <row r="15" spans="1:11" x14ac:dyDescent="0.2">
      <c r="A15" s="86" t="s">
        <v>485</v>
      </c>
      <c r="B15" s="13"/>
      <c r="C15" s="13"/>
      <c r="D15" s="13"/>
      <c r="E15" s="13"/>
      <c r="F15" s="13"/>
      <c r="G15" s="13"/>
      <c r="H15" s="13"/>
      <c r="I15" s="13"/>
      <c r="J15" s="13"/>
      <c r="K15" s="14"/>
    </row>
    <row r="16" spans="1:11" x14ac:dyDescent="0.2">
      <c r="A16" s="15"/>
      <c r="B16" s="15"/>
      <c r="C16" s="118">
        <f>dagenperjaar1</f>
        <v>255</v>
      </c>
      <c r="D16" s="119" t="s">
        <v>953</v>
      </c>
      <c r="E16" s="19"/>
      <c r="F16" s="18"/>
      <c r="G16" s="105"/>
      <c r="H16" s="30">
        <f>IF(ISBLANK(G16),0,G16*C16)+IF(ISBLANK(F16),0,F16*objecturen2_1)</f>
        <v>0</v>
      </c>
      <c r="I16" s="30">
        <f>IF(C16=0,0,H16/C16)</f>
        <v>0</v>
      </c>
      <c r="J16" s="32">
        <f>IF(ISBLANK(E16),0,ROUND(E16,2)*H16)</f>
        <v>0</v>
      </c>
      <c r="K16" s="32">
        <f>J16/12</f>
        <v>0</v>
      </c>
    </row>
    <row r="17" spans="1:11" x14ac:dyDescent="0.2">
      <c r="A17" s="20"/>
      <c r="B17" s="20"/>
      <c r="C17" s="120">
        <f>dagenperjaar1</f>
        <v>255</v>
      </c>
      <c r="D17" s="121" t="s">
        <v>953</v>
      </c>
      <c r="E17" s="24"/>
      <c r="F17" s="23"/>
      <c r="G17" s="107"/>
      <c r="H17" s="33">
        <f>IF(ISBLANK(G17),0,G17*C17)+IF(ISBLANK(F17),0,F17*objecturen2_1)</f>
        <v>0</v>
      </c>
      <c r="I17" s="33">
        <f>IF(C17=0,0,H17/C17)</f>
        <v>0</v>
      </c>
      <c r="J17" s="35">
        <f>IF(ISBLANK(E17),0,ROUND(E17,2)*H17)</f>
        <v>0</v>
      </c>
      <c r="K17" s="35">
        <f>J17/12</f>
        <v>0</v>
      </c>
    </row>
    <row r="18" spans="1:11" x14ac:dyDescent="0.2">
      <c r="A18" s="20"/>
      <c r="B18" s="20"/>
      <c r="C18" s="120">
        <f>dagenperjaar1</f>
        <v>255</v>
      </c>
      <c r="D18" s="121" t="s">
        <v>954</v>
      </c>
      <c r="E18" s="24"/>
      <c r="F18" s="124"/>
      <c r="G18" s="22"/>
      <c r="H18" s="33">
        <f>IF(ISBLANK(G18),0,G18*C18)+IF(ISBLANK(F18),0,F18*objecturen2_1)</f>
        <v>0</v>
      </c>
      <c r="I18" s="33">
        <f>IF(C18=0,0,H18/C18)</f>
        <v>0</v>
      </c>
      <c r="J18" s="35">
        <f>IF(ISBLANK(E18),0,ROUND(E18,2)*H18)</f>
        <v>0</v>
      </c>
      <c r="K18" s="35">
        <f>J18/12</f>
        <v>0</v>
      </c>
    </row>
    <row r="19" spans="1:11" x14ac:dyDescent="0.2">
      <c r="A19" s="25"/>
      <c r="B19" s="25"/>
      <c r="C19" s="122">
        <f>dagenperjaar1</f>
        <v>255</v>
      </c>
      <c r="D19" s="123" t="s">
        <v>954</v>
      </c>
      <c r="E19" s="29"/>
      <c r="F19" s="125"/>
      <c r="G19" s="27"/>
      <c r="H19" s="36">
        <f>IF(ISBLANK(G19),0,G19*C19)+IF(ISBLANK(F19),0,F19*objecturen2_1)</f>
        <v>0</v>
      </c>
      <c r="I19" s="36">
        <f>IF(C19=0,0,H19/C19)</f>
        <v>0</v>
      </c>
      <c r="J19" s="38">
        <f>IF(ISBLANK(E19),0,ROUND(E19,2)*H19)</f>
        <v>0</v>
      </c>
      <c r="K19" s="38">
        <f>J19/12</f>
        <v>0</v>
      </c>
    </row>
    <row r="20" spans="1:11" x14ac:dyDescent="0.2">
      <c r="A20" s="89" t="s">
        <v>956</v>
      </c>
      <c r="B20" s="41"/>
      <c r="C20" s="41"/>
      <c r="D20" s="41"/>
      <c r="E20" s="41"/>
      <c r="F20" s="41"/>
      <c r="G20" s="41"/>
      <c r="H20" s="42">
        <f>SUM(H16:H19)</f>
        <v>0</v>
      </c>
      <c r="I20" s="41"/>
      <c r="J20" s="43">
        <f>SUM(J16:J19)</f>
        <v>0</v>
      </c>
      <c r="K20" s="44">
        <f>SUM(K16:K19)</f>
        <v>0</v>
      </c>
    </row>
    <row r="21" spans="1:11" x14ac:dyDescent="0.2">
      <c r="A21" s="45"/>
      <c r="B21" s="41"/>
      <c r="C21" s="41"/>
      <c r="D21" s="41"/>
      <c r="E21" s="41"/>
      <c r="F21" s="41"/>
      <c r="G21" s="41"/>
      <c r="H21" s="41"/>
      <c r="I21" s="41"/>
      <c r="J21" s="41"/>
      <c r="K21" s="46"/>
    </row>
    <row r="22" spans="1:11" x14ac:dyDescent="0.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1"/>
    </row>
    <row r="23" spans="1:11" x14ac:dyDescent="0.2">
      <c r="A23" s="86" t="s">
        <v>686</v>
      </c>
      <c r="B23" s="13"/>
      <c r="C23" s="13"/>
      <c r="D23" s="13"/>
      <c r="E23" s="13"/>
      <c r="F23" s="13"/>
      <c r="G23" s="13"/>
      <c r="H23" s="13"/>
      <c r="I23" s="13"/>
      <c r="J23" s="13"/>
      <c r="K23" s="14"/>
    </row>
    <row r="24" spans="1:11" x14ac:dyDescent="0.2">
      <c r="A24" s="15"/>
      <c r="B24" s="15"/>
      <c r="C24" s="118">
        <f>dagenperjaar1</f>
        <v>255</v>
      </c>
      <c r="D24" s="119" t="s">
        <v>953</v>
      </c>
      <c r="E24" s="19"/>
      <c r="F24" s="18"/>
      <c r="G24" s="105"/>
      <c r="H24" s="30">
        <f>IF(ISBLANK(G24),0,G24*C24)+IF(ISBLANK(F24),0,F24*objecturen3_1)</f>
        <v>0</v>
      </c>
      <c r="I24" s="30">
        <f>IF(C24=0,0,H24/C24)</f>
        <v>0</v>
      </c>
      <c r="J24" s="32">
        <f>IF(ISBLANK(E24),0,ROUND(E24,2)*H24)</f>
        <v>0</v>
      </c>
      <c r="K24" s="32">
        <f>J24/12</f>
        <v>0</v>
      </c>
    </row>
    <row r="25" spans="1:11" x14ac:dyDescent="0.2">
      <c r="A25" s="20"/>
      <c r="B25" s="20"/>
      <c r="C25" s="120">
        <f>dagenperjaar1</f>
        <v>255</v>
      </c>
      <c r="D25" s="121" t="s">
        <v>953</v>
      </c>
      <c r="E25" s="24"/>
      <c r="F25" s="23"/>
      <c r="G25" s="107"/>
      <c r="H25" s="33">
        <f>IF(ISBLANK(G25),0,G25*C25)+IF(ISBLANK(F25),0,F25*objecturen3_1)</f>
        <v>0</v>
      </c>
      <c r="I25" s="33">
        <f>IF(C25=0,0,H25/C25)</f>
        <v>0</v>
      </c>
      <c r="J25" s="35">
        <f>IF(ISBLANK(E25),0,ROUND(E25,2)*H25)</f>
        <v>0</v>
      </c>
      <c r="K25" s="35">
        <f>J25/12</f>
        <v>0</v>
      </c>
    </row>
    <row r="26" spans="1:11" x14ac:dyDescent="0.2">
      <c r="A26" s="20"/>
      <c r="B26" s="20"/>
      <c r="C26" s="120">
        <f>dagenperjaar1</f>
        <v>255</v>
      </c>
      <c r="D26" s="121" t="s">
        <v>954</v>
      </c>
      <c r="E26" s="24"/>
      <c r="F26" s="124"/>
      <c r="G26" s="22"/>
      <c r="H26" s="33">
        <f>IF(ISBLANK(G26),0,G26*C26)+IF(ISBLANK(F26),0,F26*objecturen3_1)</f>
        <v>0</v>
      </c>
      <c r="I26" s="33">
        <f>IF(C26=0,0,H26/C26)</f>
        <v>0</v>
      </c>
      <c r="J26" s="35">
        <f>IF(ISBLANK(E26),0,ROUND(E26,2)*H26)</f>
        <v>0</v>
      </c>
      <c r="K26" s="35">
        <f>J26/12</f>
        <v>0</v>
      </c>
    </row>
    <row r="27" spans="1:11" x14ac:dyDescent="0.2">
      <c r="A27" s="25"/>
      <c r="B27" s="25"/>
      <c r="C27" s="122">
        <f>dagenperjaar1</f>
        <v>255</v>
      </c>
      <c r="D27" s="123" t="s">
        <v>954</v>
      </c>
      <c r="E27" s="29"/>
      <c r="F27" s="125"/>
      <c r="G27" s="27"/>
      <c r="H27" s="36">
        <f>IF(ISBLANK(G27),0,G27*C27)+IF(ISBLANK(F27),0,F27*objecturen3_1)</f>
        <v>0</v>
      </c>
      <c r="I27" s="36">
        <f>IF(C27=0,0,H27/C27)</f>
        <v>0</v>
      </c>
      <c r="J27" s="38">
        <f>IF(ISBLANK(E27),0,ROUND(E27,2)*H27)</f>
        <v>0</v>
      </c>
      <c r="K27" s="38">
        <f>J27/12</f>
        <v>0</v>
      </c>
    </row>
    <row r="28" spans="1:11" x14ac:dyDescent="0.2">
      <c r="A28" s="89" t="s">
        <v>957</v>
      </c>
      <c r="B28" s="41"/>
      <c r="C28" s="41"/>
      <c r="D28" s="41"/>
      <c r="E28" s="41"/>
      <c r="F28" s="41"/>
      <c r="G28" s="41"/>
      <c r="H28" s="42">
        <f>SUM(H24:H27)</f>
        <v>0</v>
      </c>
      <c r="I28" s="41"/>
      <c r="J28" s="43">
        <f>SUM(J24:J27)</f>
        <v>0</v>
      </c>
      <c r="K28" s="44">
        <f>SUM(K24:K27)</f>
        <v>0</v>
      </c>
    </row>
    <row r="29" spans="1:11" x14ac:dyDescent="0.2">
      <c r="A29" s="45"/>
      <c r="B29" s="41"/>
      <c r="C29" s="41"/>
      <c r="D29" s="41"/>
      <c r="E29" s="41"/>
      <c r="F29" s="41"/>
      <c r="G29" s="41"/>
      <c r="H29" s="41"/>
      <c r="I29" s="41"/>
      <c r="J29" s="41"/>
      <c r="K29" s="46"/>
    </row>
    <row r="30" spans="1:11" x14ac:dyDescent="0.2">
      <c r="A30" s="40" t="s">
        <v>176</v>
      </c>
      <c r="B30" s="41"/>
      <c r="C30" s="41"/>
      <c r="D30" s="41"/>
      <c r="E30" s="41"/>
      <c r="F30" s="41"/>
      <c r="G30" s="41"/>
      <c r="H30" s="42">
        <f>tzujt1_1+tzujt2_1+tzujt3_1</f>
        <v>0</v>
      </c>
      <c r="I30" s="41"/>
      <c r="J30" s="43">
        <f>tzpjt1_1+tzpjt2_1+tzpjt3_1</f>
        <v>0</v>
      </c>
      <c r="K30" s="44">
        <f>tzpmt1_1+tzpmt2_1+tzpmt3_1</f>
        <v>0</v>
      </c>
    </row>
    <row r="31" spans="1:11" x14ac:dyDescent="0.2">
      <c r="A31" s="45"/>
      <c r="B31" s="41"/>
      <c r="C31" s="41"/>
      <c r="D31" s="41"/>
      <c r="E31" s="41"/>
      <c r="F31" s="41"/>
      <c r="G31" s="41"/>
      <c r="H31" s="41"/>
      <c r="I31" s="41"/>
      <c r="J31" s="41"/>
      <c r="K31" s="46"/>
    </row>
    <row r="33" spans="1:11" x14ac:dyDescent="0.2">
      <c r="A33" s="40" t="s">
        <v>958</v>
      </c>
      <c r="B33" s="41"/>
      <c r="C33" s="41"/>
      <c r="D33" s="41"/>
      <c r="E33" s="41"/>
      <c r="F33" s="41"/>
      <c r="G33" s="41"/>
      <c r="H33" s="42">
        <f>tzujt1</f>
        <v>0</v>
      </c>
      <c r="I33" s="41"/>
      <c r="J33" s="43">
        <f>tzpjt1</f>
        <v>0</v>
      </c>
      <c r="K33" s="43">
        <f>tzpmt1</f>
        <v>0</v>
      </c>
    </row>
    <row r="35" spans="1:11" x14ac:dyDescent="0.2">
      <c r="A35" s="40" t="s">
        <v>959</v>
      </c>
      <c r="B35" s="41"/>
      <c r="C35" s="41"/>
      <c r="D35" s="41"/>
      <c r="E35" s="41"/>
      <c r="F35" s="41"/>
      <c r="G35" s="41"/>
      <c r="H35" s="41"/>
      <c r="I35" s="41"/>
      <c r="J35" s="43">
        <f>J33*1.21</f>
        <v>0</v>
      </c>
      <c r="K35" s="43">
        <f>K33*1.21</f>
        <v>0</v>
      </c>
    </row>
  </sheetData>
  <sheetProtection algorithmName="SHA-512" hashValue="l1LDHZyHY2N+VRLve2/H96cqzU8hrkD6ucuhI3FgbBP7bGvsxur3f8RCa9/7t/gl8pr7bR7/eeFpWSlOePB+Uw==" saltValue="5qOMhIjNzotXacX1sZBgrQ==" spinCount="100000" sheet="1" objects="1" scenarios="1" autoFilter="0"/>
  <pageMargins left="0.7" right="0.7" top="0.75" bottom="0.75" header="0.3" footer="0.3"/>
  <pageSetup scale="65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841C0-8321-454D-A9A8-52BCBC8AA051}">
  <dimension ref="A1:K8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5" width="12.625" customWidth="1"/>
    <col min="6" max="6" width="14.625" customWidth="1"/>
    <col min="7" max="8" width="13.625" customWidth="1"/>
    <col min="9" max="9" width="14.625" customWidth="1"/>
    <col min="10" max="11" width="13.625" customWidth="1"/>
  </cols>
  <sheetData>
    <row r="1" spans="1:11" x14ac:dyDescent="0.2">
      <c r="A1" s="1" t="str">
        <f>CONCATENATE("Bijlage H.6: ",tabeltype," totaalblad objecten")</f>
        <v>Bijlage H.6: Invultabel totaalblad objecten</v>
      </c>
    </row>
    <row r="3" spans="1:11" ht="38.25" x14ac:dyDescent="0.2">
      <c r="A3" s="8" t="s">
        <v>179</v>
      </c>
      <c r="B3" s="8" t="s">
        <v>924</v>
      </c>
      <c r="C3" s="8" t="s">
        <v>925</v>
      </c>
      <c r="D3" s="8" t="s">
        <v>926</v>
      </c>
      <c r="E3" s="8" t="s">
        <v>130</v>
      </c>
      <c r="F3" s="8" t="s">
        <v>960</v>
      </c>
      <c r="G3" s="8" t="s">
        <v>961</v>
      </c>
      <c r="H3" s="8" t="s">
        <v>962</v>
      </c>
      <c r="I3" s="8" t="s">
        <v>963</v>
      </c>
      <c r="J3" s="8" t="s">
        <v>964</v>
      </c>
      <c r="K3" s="8" t="s">
        <v>965</v>
      </c>
    </row>
    <row r="4" spans="1:11" x14ac:dyDescent="0.2">
      <c r="A4" s="15" t="s">
        <v>187</v>
      </c>
      <c r="B4" s="15" t="s">
        <v>935</v>
      </c>
      <c r="C4" s="15" t="s">
        <v>936</v>
      </c>
      <c r="D4" s="15" t="s">
        <v>937</v>
      </c>
      <c r="E4" s="30">
        <f>objecturen1_1</f>
        <v>0</v>
      </c>
      <c r="F4" s="32">
        <f>objectprijs1_1</f>
        <v>0</v>
      </c>
      <c r="G4" s="30">
        <f>tzujt1_1</f>
        <v>0</v>
      </c>
      <c r="H4" s="32">
        <f>tzpjt1_1</f>
        <v>0</v>
      </c>
      <c r="I4" s="32">
        <f>F4+H4</f>
        <v>0</v>
      </c>
      <c r="J4" s="32">
        <f>I4/12</f>
        <v>0</v>
      </c>
      <c r="K4" s="32">
        <f>J4*1.21</f>
        <v>0</v>
      </c>
    </row>
    <row r="5" spans="1:11" x14ac:dyDescent="0.2">
      <c r="A5" s="20" t="s">
        <v>486</v>
      </c>
      <c r="B5" s="20" t="s">
        <v>938</v>
      </c>
      <c r="C5" s="20" t="s">
        <v>939</v>
      </c>
      <c r="D5" s="20" t="s">
        <v>937</v>
      </c>
      <c r="E5" s="33">
        <f>objecturen2_1</f>
        <v>0</v>
      </c>
      <c r="F5" s="35">
        <f>objectprijs2_1</f>
        <v>0</v>
      </c>
      <c r="G5" s="33">
        <f>tzujt2_1</f>
        <v>0</v>
      </c>
      <c r="H5" s="35">
        <f>tzpjt2_1</f>
        <v>0</v>
      </c>
      <c r="I5" s="35">
        <f>F5+H5</f>
        <v>0</v>
      </c>
      <c r="J5" s="35">
        <f>I5/12</f>
        <v>0</v>
      </c>
      <c r="K5" s="35">
        <f>J5*1.21</f>
        <v>0</v>
      </c>
    </row>
    <row r="6" spans="1:11" x14ac:dyDescent="0.2">
      <c r="A6" s="25" t="s">
        <v>687</v>
      </c>
      <c r="B6" s="25" t="s">
        <v>940</v>
      </c>
      <c r="C6" s="25" t="s">
        <v>941</v>
      </c>
      <c r="D6" s="25" t="s">
        <v>937</v>
      </c>
      <c r="E6" s="36">
        <f>objecturen3_1</f>
        <v>0</v>
      </c>
      <c r="F6" s="38">
        <f>objectprijs3_1</f>
        <v>0</v>
      </c>
      <c r="G6" s="36">
        <f>tzujt3_1</f>
        <v>0</v>
      </c>
      <c r="H6" s="38">
        <f>tzpjt3_1</f>
        <v>0</v>
      </c>
      <c r="I6" s="38">
        <f>F6+H6</f>
        <v>0</v>
      </c>
      <c r="J6" s="38">
        <f>I6/12</f>
        <v>0</v>
      </c>
      <c r="K6" s="38">
        <f>J6*1.21</f>
        <v>0</v>
      </c>
    </row>
    <row r="8" spans="1:11" x14ac:dyDescent="0.2">
      <c r="A8" s="40" t="s">
        <v>966</v>
      </c>
      <c r="B8" s="41"/>
      <c r="C8" s="41"/>
      <c r="D8" s="41"/>
      <c r="E8" s="42">
        <f t="shared" ref="E8:K8" si="0">SUM(E4:E6)</f>
        <v>0</v>
      </c>
      <c r="F8" s="43">
        <f t="shared" si="0"/>
        <v>0</v>
      </c>
      <c r="G8" s="42">
        <f t="shared" si="0"/>
        <v>0</v>
      </c>
      <c r="H8" s="43">
        <f t="shared" si="0"/>
        <v>0</v>
      </c>
      <c r="I8" s="43">
        <f t="shared" si="0"/>
        <v>0</v>
      </c>
      <c r="J8" s="43">
        <f t="shared" si="0"/>
        <v>0</v>
      </c>
      <c r="K8" s="43">
        <f t="shared" si="0"/>
        <v>0</v>
      </c>
    </row>
  </sheetData>
  <sheetProtection algorithmName="SHA-512" hashValue="lmDTquZA6AStjgFi9DzCy0jksqneuWC/DeabyZsqj4FassJSlNQa4Q6TTUPtH2GdZSDq1YMLeaivLTfV8IXj2g==" saltValue="d5oGaS9gx4fQU/N2VBhoFw==" spinCount="100000" sheet="1" objects="1" scenarios="1" autoFilter="0"/>
  <pageMargins left="0.7" right="0.7" top="0.75" bottom="0.75" header="0.3" footer="0.3"/>
  <pageSetup scale="65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D13C-1E06-48A5-97FD-4EB9F3F399F5}">
  <dimension ref="A1:M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3" width="13.625" customWidth="1"/>
  </cols>
  <sheetData>
    <row r="1" spans="1:13" x14ac:dyDescent="0.2">
      <c r="A1" s="1" t="str">
        <f>CONCATENATE("Bijlage H.7: ",tabeltype," additioneel werk")</f>
        <v>Bijlage H.7: Invultabel additioneel werk</v>
      </c>
    </row>
    <row r="3" spans="1:13" ht="38.25" x14ac:dyDescent="0.2">
      <c r="A3" s="8" t="s">
        <v>967</v>
      </c>
      <c r="B3" s="8" t="s">
        <v>7</v>
      </c>
      <c r="C3" s="8" t="s">
        <v>968</v>
      </c>
      <c r="D3" s="8" t="s">
        <v>32</v>
      </c>
      <c r="E3" s="8" t="s">
        <v>35</v>
      </c>
      <c r="F3" s="8" t="s">
        <v>969</v>
      </c>
      <c r="G3" s="8" t="s">
        <v>970</v>
      </c>
      <c r="H3" s="8" t="s">
        <v>971</v>
      </c>
      <c r="I3" s="8" t="s">
        <v>972</v>
      </c>
      <c r="J3" s="8" t="s">
        <v>973</v>
      </c>
      <c r="K3" s="8" t="s">
        <v>131</v>
      </c>
      <c r="L3" s="8" t="s">
        <v>934</v>
      </c>
      <c r="M3" s="8" t="s">
        <v>130</v>
      </c>
    </row>
    <row r="4" spans="1:13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2">
      <c r="A6" s="90" t="s">
        <v>974</v>
      </c>
      <c r="B6" s="90" t="s">
        <v>26</v>
      </c>
      <c r="C6" s="91">
        <f>IF(ISBLANK(B6),0,IF(ISERROR(VALUE(B6)),VLOOKUP(B6,dagsoorttabel1,2,FALSE)*dagenperjaar1,VALUE(B6)))</f>
        <v>1</v>
      </c>
      <c r="D6" s="90" t="s">
        <v>975</v>
      </c>
      <c r="E6" s="90" t="s">
        <v>976</v>
      </c>
      <c r="F6" s="92">
        <v>4654.7300000000005</v>
      </c>
      <c r="G6" s="93"/>
      <c r="H6" s="94"/>
      <c r="I6" s="95"/>
      <c r="J6" s="96">
        <f>IF(ISBLANK(H6),0,F6 / ROUND(H6,4) * ROUND(G6,2))</f>
        <v>0</v>
      </c>
      <c r="K6" s="96">
        <f>C6*J6</f>
        <v>0</v>
      </c>
      <c r="L6" s="96">
        <f>K6/12</f>
        <v>0</v>
      </c>
      <c r="M6" s="97" t="str">
        <f>IF(AND(SUM(K6)&gt;0,SUM(G6)&lt;=0),"INCOMPLEET",IF(SUM(G6)&gt;0,K6/G6,""))</f>
        <v/>
      </c>
    </row>
    <row r="7" spans="1:13" x14ac:dyDescent="0.2">
      <c r="A7" s="40" t="s">
        <v>176</v>
      </c>
      <c r="B7" s="41"/>
      <c r="C7" s="41"/>
      <c r="D7" s="41"/>
      <c r="E7" s="41"/>
      <c r="F7" s="41"/>
      <c r="G7" s="41"/>
      <c r="H7" s="41"/>
      <c r="I7" s="41"/>
      <c r="J7" s="41"/>
      <c r="K7" s="43">
        <f>SUM(K6:K6)</f>
        <v>0</v>
      </c>
      <c r="L7" s="98">
        <f>K7/12</f>
        <v>0</v>
      </c>
      <c r="M7" s="42">
        <f>SUM(M6:M6)</f>
        <v>0</v>
      </c>
    </row>
    <row r="9" spans="1:13" x14ac:dyDescent="0.2">
      <c r="A9" s="40" t="s">
        <v>977</v>
      </c>
      <c r="B9" s="41"/>
      <c r="C9" s="41"/>
      <c r="D9" s="41"/>
      <c r="E9" s="41"/>
      <c r="F9" s="41"/>
      <c r="G9" s="41"/>
      <c r="H9" s="41"/>
      <c r="I9" s="41"/>
      <c r="J9" s="41"/>
      <c r="K9" s="43">
        <f>prijsjaaradditioneel1</f>
        <v>0</v>
      </c>
      <c r="L9" s="98">
        <f>K9/12</f>
        <v>0</v>
      </c>
      <c r="M9" s="42">
        <f>urenjaaradditioneel1</f>
        <v>0</v>
      </c>
    </row>
  </sheetData>
  <sheetProtection algorithmName="SHA-512" hashValue="FfxipqbGDDKm2N1qGFS1gSzVto3Gu6Z8ZtJ/CC741GCHpb4eiVOceQFJPg4Cze/gd0+Cvme8aU0eIkhSN6Kc/g==" saltValue="4Ri3104LGWy9jTS8cDv9Ug==" spinCount="100000" sheet="1" objects="1" scenarios="1" autoFilter="0"/>
  <pageMargins left="0.7" right="0.7" top="0.75" bottom="0.75" header="0.3" footer="0.3"/>
  <pageSetup scale="65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8AA78-3AF0-4587-B4CC-138C3C0BA878}">
  <dimension ref="A1:E96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H.10: ",tabeltype," afroep incidenteel")</f>
        <v>Bijlage H.10: Invultabel afroep incidenteel</v>
      </c>
    </row>
    <row r="3" spans="1:5" ht="38.25" x14ac:dyDescent="0.2">
      <c r="A3" s="8" t="s">
        <v>967</v>
      </c>
      <c r="B3" s="8" t="s">
        <v>32</v>
      </c>
      <c r="C3" s="8" t="s">
        <v>35</v>
      </c>
      <c r="D3" s="8" t="s">
        <v>994</v>
      </c>
      <c r="E3" s="8" t="s">
        <v>972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37</v>
      </c>
      <c r="B5" s="13"/>
      <c r="C5" s="13"/>
      <c r="D5" s="13"/>
      <c r="E5" s="14"/>
    </row>
    <row r="6" spans="1:5" x14ac:dyDescent="0.2">
      <c r="A6" s="15" t="s">
        <v>995</v>
      </c>
      <c r="B6" s="15" t="s">
        <v>996</v>
      </c>
      <c r="C6" s="15" t="s">
        <v>997</v>
      </c>
      <c r="D6" s="15" t="s">
        <v>998</v>
      </c>
      <c r="E6" s="19"/>
    </row>
    <row r="7" spans="1:5" x14ac:dyDescent="0.2">
      <c r="A7" s="20" t="s">
        <v>999</v>
      </c>
      <c r="B7" s="20" t="s">
        <v>996</v>
      </c>
      <c r="C7" s="20" t="s">
        <v>997</v>
      </c>
      <c r="D7" s="20" t="s">
        <v>1000</v>
      </c>
      <c r="E7" s="24"/>
    </row>
    <row r="8" spans="1:5" x14ac:dyDescent="0.2">
      <c r="A8" s="20" t="s">
        <v>1001</v>
      </c>
      <c r="B8" s="20" t="s">
        <v>996</v>
      </c>
      <c r="C8" s="20" t="s">
        <v>997</v>
      </c>
      <c r="D8" s="20" t="s">
        <v>1002</v>
      </c>
      <c r="E8" s="24"/>
    </row>
    <row r="9" spans="1:5" x14ac:dyDescent="0.2">
      <c r="A9" s="20" t="s">
        <v>1003</v>
      </c>
      <c r="B9" s="20" t="s">
        <v>996</v>
      </c>
      <c r="C9" s="20" t="s">
        <v>997</v>
      </c>
      <c r="D9" s="20" t="s">
        <v>1004</v>
      </c>
      <c r="E9" s="24"/>
    </row>
    <row r="10" spans="1:5" x14ac:dyDescent="0.2">
      <c r="A10" s="20" t="s">
        <v>1005</v>
      </c>
      <c r="B10" s="20" t="s">
        <v>1006</v>
      </c>
      <c r="C10" s="20" t="s">
        <v>997</v>
      </c>
      <c r="D10" s="20" t="s">
        <v>998</v>
      </c>
      <c r="E10" s="24"/>
    </row>
    <row r="11" spans="1:5" x14ac:dyDescent="0.2">
      <c r="A11" s="20" t="s">
        <v>1007</v>
      </c>
      <c r="B11" s="20" t="s">
        <v>1006</v>
      </c>
      <c r="C11" s="20" t="s">
        <v>997</v>
      </c>
      <c r="D11" s="20" t="s">
        <v>1000</v>
      </c>
      <c r="E11" s="24"/>
    </row>
    <row r="12" spans="1:5" x14ac:dyDescent="0.2">
      <c r="A12" s="20" t="s">
        <v>1008</v>
      </c>
      <c r="B12" s="20" t="s">
        <v>1006</v>
      </c>
      <c r="C12" s="20" t="s">
        <v>997</v>
      </c>
      <c r="D12" s="20" t="s">
        <v>1002</v>
      </c>
      <c r="E12" s="24"/>
    </row>
    <row r="13" spans="1:5" x14ac:dyDescent="0.2">
      <c r="A13" s="20" t="s">
        <v>1009</v>
      </c>
      <c r="B13" s="20" t="s">
        <v>1006</v>
      </c>
      <c r="C13" s="20" t="s">
        <v>997</v>
      </c>
      <c r="D13" s="20" t="s">
        <v>1004</v>
      </c>
      <c r="E13" s="24"/>
    </row>
    <row r="14" spans="1:5" x14ac:dyDescent="0.2">
      <c r="A14" s="20" t="s">
        <v>1010</v>
      </c>
      <c r="B14" s="20" t="s">
        <v>1011</v>
      </c>
      <c r="C14" s="20" t="s">
        <v>997</v>
      </c>
      <c r="D14" s="20" t="s">
        <v>998</v>
      </c>
      <c r="E14" s="24"/>
    </row>
    <row r="15" spans="1:5" x14ac:dyDescent="0.2">
      <c r="A15" s="20" t="s">
        <v>1012</v>
      </c>
      <c r="B15" s="20" t="s">
        <v>1011</v>
      </c>
      <c r="C15" s="20" t="s">
        <v>997</v>
      </c>
      <c r="D15" s="20" t="s">
        <v>1000</v>
      </c>
      <c r="E15" s="24"/>
    </row>
    <row r="16" spans="1:5" x14ac:dyDescent="0.2">
      <c r="A16" s="20" t="s">
        <v>1013</v>
      </c>
      <c r="B16" s="20" t="s">
        <v>1011</v>
      </c>
      <c r="C16" s="20" t="s">
        <v>997</v>
      </c>
      <c r="D16" s="20" t="s">
        <v>1002</v>
      </c>
      <c r="E16" s="24"/>
    </row>
    <row r="17" spans="1:5" x14ac:dyDescent="0.2">
      <c r="A17" s="20" t="s">
        <v>1014</v>
      </c>
      <c r="B17" s="20" t="s">
        <v>1011</v>
      </c>
      <c r="C17" s="20" t="s">
        <v>997</v>
      </c>
      <c r="D17" s="20" t="s">
        <v>1004</v>
      </c>
      <c r="E17" s="24"/>
    </row>
    <row r="18" spans="1:5" x14ac:dyDescent="0.2">
      <c r="A18" s="20" t="s">
        <v>1015</v>
      </c>
      <c r="B18" s="20" t="s">
        <v>1016</v>
      </c>
      <c r="C18" s="20" t="s">
        <v>1017</v>
      </c>
      <c r="D18" s="20" t="s">
        <v>1018</v>
      </c>
      <c r="E18" s="24"/>
    </row>
    <row r="19" spans="1:5" x14ac:dyDescent="0.2">
      <c r="A19" s="20" t="s">
        <v>1019</v>
      </c>
      <c r="B19" s="20" t="s">
        <v>1016</v>
      </c>
      <c r="C19" s="20" t="s">
        <v>1017</v>
      </c>
      <c r="D19" s="20" t="s">
        <v>1020</v>
      </c>
      <c r="E19" s="24"/>
    </row>
    <row r="20" spans="1:5" x14ac:dyDescent="0.2">
      <c r="A20" s="20" t="s">
        <v>1021</v>
      </c>
      <c r="B20" s="20" t="s">
        <v>1016</v>
      </c>
      <c r="C20" s="20" t="s">
        <v>1017</v>
      </c>
      <c r="D20" s="20" t="s">
        <v>1022</v>
      </c>
      <c r="E20" s="24"/>
    </row>
    <row r="21" spans="1:5" x14ac:dyDescent="0.2">
      <c r="A21" s="20" t="s">
        <v>1023</v>
      </c>
      <c r="B21" s="20" t="s">
        <v>1016</v>
      </c>
      <c r="C21" s="20" t="s">
        <v>1017</v>
      </c>
      <c r="D21" s="20" t="s">
        <v>1024</v>
      </c>
      <c r="E21" s="24"/>
    </row>
    <row r="22" spans="1:5" x14ac:dyDescent="0.2">
      <c r="A22" s="20" t="s">
        <v>1025</v>
      </c>
      <c r="B22" s="20" t="s">
        <v>1026</v>
      </c>
      <c r="C22" s="20" t="s">
        <v>1017</v>
      </c>
      <c r="D22" s="20" t="s">
        <v>1018</v>
      </c>
      <c r="E22" s="24"/>
    </row>
    <row r="23" spans="1:5" x14ac:dyDescent="0.2">
      <c r="A23" s="20" t="s">
        <v>1027</v>
      </c>
      <c r="B23" s="20" t="s">
        <v>1026</v>
      </c>
      <c r="C23" s="20" t="s">
        <v>1017</v>
      </c>
      <c r="D23" s="20" t="s">
        <v>1020</v>
      </c>
      <c r="E23" s="24"/>
    </row>
    <row r="24" spans="1:5" x14ac:dyDescent="0.2">
      <c r="A24" s="20" t="s">
        <v>1028</v>
      </c>
      <c r="B24" s="20" t="s">
        <v>1026</v>
      </c>
      <c r="C24" s="20" t="s">
        <v>1017</v>
      </c>
      <c r="D24" s="20" t="s">
        <v>1022</v>
      </c>
      <c r="E24" s="24"/>
    </row>
    <row r="25" spans="1:5" x14ac:dyDescent="0.2">
      <c r="A25" s="20" t="s">
        <v>1029</v>
      </c>
      <c r="B25" s="20" t="s">
        <v>1026</v>
      </c>
      <c r="C25" s="20" t="s">
        <v>1017</v>
      </c>
      <c r="D25" s="20" t="s">
        <v>1024</v>
      </c>
      <c r="E25" s="24"/>
    </row>
    <row r="26" spans="1:5" x14ac:dyDescent="0.2">
      <c r="A26" s="20" t="s">
        <v>1030</v>
      </c>
      <c r="B26" s="20" t="s">
        <v>1031</v>
      </c>
      <c r="C26" s="20" t="s">
        <v>1017</v>
      </c>
      <c r="D26" s="20" t="s">
        <v>1018</v>
      </c>
      <c r="E26" s="24"/>
    </row>
    <row r="27" spans="1:5" x14ac:dyDescent="0.2">
      <c r="A27" s="20" t="s">
        <v>1032</v>
      </c>
      <c r="B27" s="20" t="s">
        <v>1031</v>
      </c>
      <c r="C27" s="20" t="s">
        <v>1017</v>
      </c>
      <c r="D27" s="20" t="s">
        <v>1020</v>
      </c>
      <c r="E27" s="24"/>
    </row>
    <row r="28" spans="1:5" x14ac:dyDescent="0.2">
      <c r="A28" s="20" t="s">
        <v>1033</v>
      </c>
      <c r="B28" s="20" t="s">
        <v>1031</v>
      </c>
      <c r="C28" s="20" t="s">
        <v>1017</v>
      </c>
      <c r="D28" s="20" t="s">
        <v>1022</v>
      </c>
      <c r="E28" s="24"/>
    </row>
    <row r="29" spans="1:5" x14ac:dyDescent="0.2">
      <c r="A29" s="20" t="s">
        <v>1034</v>
      </c>
      <c r="B29" s="20" t="s">
        <v>1031</v>
      </c>
      <c r="C29" s="20" t="s">
        <v>1017</v>
      </c>
      <c r="D29" s="20" t="s">
        <v>1024</v>
      </c>
      <c r="E29" s="24"/>
    </row>
    <row r="30" spans="1:5" x14ac:dyDescent="0.2">
      <c r="A30" s="20" t="s">
        <v>1035</v>
      </c>
      <c r="B30" s="20" t="s">
        <v>1036</v>
      </c>
      <c r="C30" s="20" t="s">
        <v>1017</v>
      </c>
      <c r="D30" s="20" t="s">
        <v>1018</v>
      </c>
      <c r="E30" s="24"/>
    </row>
    <row r="31" spans="1:5" x14ac:dyDescent="0.2">
      <c r="A31" s="20" t="s">
        <v>1037</v>
      </c>
      <c r="B31" s="20" t="s">
        <v>1036</v>
      </c>
      <c r="C31" s="20" t="s">
        <v>1017</v>
      </c>
      <c r="D31" s="20" t="s">
        <v>1020</v>
      </c>
      <c r="E31" s="24"/>
    </row>
    <row r="32" spans="1:5" x14ac:dyDescent="0.2">
      <c r="A32" s="20" t="s">
        <v>1038</v>
      </c>
      <c r="B32" s="20" t="s">
        <v>1036</v>
      </c>
      <c r="C32" s="20" t="s">
        <v>1017</v>
      </c>
      <c r="D32" s="20" t="s">
        <v>1022</v>
      </c>
      <c r="E32" s="24"/>
    </row>
    <row r="33" spans="1:5" x14ac:dyDescent="0.2">
      <c r="A33" s="20" t="s">
        <v>1039</v>
      </c>
      <c r="B33" s="20" t="s">
        <v>1036</v>
      </c>
      <c r="C33" s="20" t="s">
        <v>1017</v>
      </c>
      <c r="D33" s="20" t="s">
        <v>1024</v>
      </c>
      <c r="E33" s="24"/>
    </row>
    <row r="34" spans="1:5" x14ac:dyDescent="0.2">
      <c r="A34" s="20" t="s">
        <v>1040</v>
      </c>
      <c r="B34" s="20" t="s">
        <v>1041</v>
      </c>
      <c r="C34" s="20" t="s">
        <v>1017</v>
      </c>
      <c r="D34" s="20" t="s">
        <v>1018</v>
      </c>
      <c r="E34" s="24"/>
    </row>
    <row r="35" spans="1:5" x14ac:dyDescent="0.2">
      <c r="A35" s="20" t="s">
        <v>1042</v>
      </c>
      <c r="B35" s="20" t="s">
        <v>1041</v>
      </c>
      <c r="C35" s="20" t="s">
        <v>1017</v>
      </c>
      <c r="D35" s="20" t="s">
        <v>1020</v>
      </c>
      <c r="E35" s="24"/>
    </row>
    <row r="36" spans="1:5" x14ac:dyDescent="0.2">
      <c r="A36" s="20" t="s">
        <v>1043</v>
      </c>
      <c r="B36" s="20" t="s">
        <v>1041</v>
      </c>
      <c r="C36" s="20" t="s">
        <v>1017</v>
      </c>
      <c r="D36" s="20" t="s">
        <v>1022</v>
      </c>
      <c r="E36" s="24"/>
    </row>
    <row r="37" spans="1:5" x14ac:dyDescent="0.2">
      <c r="A37" s="20" t="s">
        <v>1044</v>
      </c>
      <c r="B37" s="20" t="s">
        <v>1041</v>
      </c>
      <c r="C37" s="20" t="s">
        <v>1017</v>
      </c>
      <c r="D37" s="20" t="s">
        <v>1024</v>
      </c>
      <c r="E37" s="24"/>
    </row>
    <row r="38" spans="1:5" x14ac:dyDescent="0.2">
      <c r="A38" s="20" t="s">
        <v>1045</v>
      </c>
      <c r="B38" s="20" t="s">
        <v>1046</v>
      </c>
      <c r="C38" s="20" t="s">
        <v>1017</v>
      </c>
      <c r="D38" s="20" t="s">
        <v>1018</v>
      </c>
      <c r="E38" s="24"/>
    </row>
    <row r="39" spans="1:5" x14ac:dyDescent="0.2">
      <c r="A39" s="20" t="s">
        <v>1047</v>
      </c>
      <c r="B39" s="20" t="s">
        <v>1046</v>
      </c>
      <c r="C39" s="20" t="s">
        <v>1017</v>
      </c>
      <c r="D39" s="20" t="s">
        <v>1020</v>
      </c>
      <c r="E39" s="24"/>
    </row>
    <row r="40" spans="1:5" x14ac:dyDescent="0.2">
      <c r="A40" s="20" t="s">
        <v>1048</v>
      </c>
      <c r="B40" s="20" t="s">
        <v>1046</v>
      </c>
      <c r="C40" s="20" t="s">
        <v>1017</v>
      </c>
      <c r="D40" s="20" t="s">
        <v>1022</v>
      </c>
      <c r="E40" s="24"/>
    </row>
    <row r="41" spans="1:5" x14ac:dyDescent="0.2">
      <c r="A41" s="20" t="s">
        <v>1049</v>
      </c>
      <c r="B41" s="20" t="s">
        <v>1046</v>
      </c>
      <c r="C41" s="20" t="s">
        <v>1017</v>
      </c>
      <c r="D41" s="20" t="s">
        <v>1024</v>
      </c>
      <c r="E41" s="24"/>
    </row>
    <row r="42" spans="1:5" x14ac:dyDescent="0.2">
      <c r="A42" s="20" t="s">
        <v>1050</v>
      </c>
      <c r="B42" s="20" t="s">
        <v>1051</v>
      </c>
      <c r="C42" s="20" t="s">
        <v>1017</v>
      </c>
      <c r="D42" s="20" t="s">
        <v>1018</v>
      </c>
      <c r="E42" s="24"/>
    </row>
    <row r="43" spans="1:5" x14ac:dyDescent="0.2">
      <c r="A43" s="20" t="s">
        <v>1052</v>
      </c>
      <c r="B43" s="20" t="s">
        <v>1051</v>
      </c>
      <c r="C43" s="20" t="s">
        <v>1017</v>
      </c>
      <c r="D43" s="20" t="s">
        <v>1020</v>
      </c>
      <c r="E43" s="24"/>
    </row>
    <row r="44" spans="1:5" x14ac:dyDescent="0.2">
      <c r="A44" s="20" t="s">
        <v>1053</v>
      </c>
      <c r="B44" s="20" t="s">
        <v>1051</v>
      </c>
      <c r="C44" s="20" t="s">
        <v>1017</v>
      </c>
      <c r="D44" s="20" t="s">
        <v>1022</v>
      </c>
      <c r="E44" s="24"/>
    </row>
    <row r="45" spans="1:5" x14ac:dyDescent="0.2">
      <c r="A45" s="20" t="s">
        <v>1054</v>
      </c>
      <c r="B45" s="20" t="s">
        <v>1051</v>
      </c>
      <c r="C45" s="20" t="s">
        <v>1017</v>
      </c>
      <c r="D45" s="20" t="s">
        <v>1024</v>
      </c>
      <c r="E45" s="24"/>
    </row>
    <row r="46" spans="1:5" x14ac:dyDescent="0.2">
      <c r="A46" s="20" t="s">
        <v>1055</v>
      </c>
      <c r="B46" s="20" t="s">
        <v>1056</v>
      </c>
      <c r="C46" s="20" t="s">
        <v>997</v>
      </c>
      <c r="D46" s="20" t="s">
        <v>998</v>
      </c>
      <c r="E46" s="24"/>
    </row>
    <row r="47" spans="1:5" x14ac:dyDescent="0.2">
      <c r="A47" s="20" t="s">
        <v>1057</v>
      </c>
      <c r="B47" s="20" t="s">
        <v>1056</v>
      </c>
      <c r="C47" s="20" t="s">
        <v>997</v>
      </c>
      <c r="D47" s="20" t="s">
        <v>1000</v>
      </c>
      <c r="E47" s="24"/>
    </row>
    <row r="48" spans="1:5" x14ac:dyDescent="0.2">
      <c r="A48" s="20" t="s">
        <v>1058</v>
      </c>
      <c r="B48" s="20" t="s">
        <v>1056</v>
      </c>
      <c r="C48" s="20" t="s">
        <v>997</v>
      </c>
      <c r="D48" s="20" t="s">
        <v>1002</v>
      </c>
      <c r="E48" s="24"/>
    </row>
    <row r="49" spans="1:5" x14ac:dyDescent="0.2">
      <c r="A49" s="20" t="s">
        <v>1059</v>
      </c>
      <c r="B49" s="20" t="s">
        <v>1056</v>
      </c>
      <c r="C49" s="20" t="s">
        <v>997</v>
      </c>
      <c r="D49" s="20" t="s">
        <v>1004</v>
      </c>
      <c r="E49" s="24"/>
    </row>
    <row r="50" spans="1:5" x14ac:dyDescent="0.2">
      <c r="A50" s="20" t="s">
        <v>1060</v>
      </c>
      <c r="B50" s="20" t="s">
        <v>1061</v>
      </c>
      <c r="C50" s="20" t="s">
        <v>997</v>
      </c>
      <c r="D50" s="20" t="s">
        <v>998</v>
      </c>
      <c r="E50" s="24"/>
    </row>
    <row r="51" spans="1:5" x14ac:dyDescent="0.2">
      <c r="A51" s="20" t="s">
        <v>1062</v>
      </c>
      <c r="B51" s="20" t="s">
        <v>1061</v>
      </c>
      <c r="C51" s="20" t="s">
        <v>997</v>
      </c>
      <c r="D51" s="20" t="s">
        <v>1000</v>
      </c>
      <c r="E51" s="24"/>
    </row>
    <row r="52" spans="1:5" x14ac:dyDescent="0.2">
      <c r="A52" s="20" t="s">
        <v>1063</v>
      </c>
      <c r="B52" s="20" t="s">
        <v>1061</v>
      </c>
      <c r="C52" s="20" t="s">
        <v>997</v>
      </c>
      <c r="D52" s="20" t="s">
        <v>1002</v>
      </c>
      <c r="E52" s="24"/>
    </row>
    <row r="53" spans="1:5" x14ac:dyDescent="0.2">
      <c r="A53" s="20" t="s">
        <v>1064</v>
      </c>
      <c r="B53" s="20" t="s">
        <v>1061</v>
      </c>
      <c r="C53" s="20" t="s">
        <v>997</v>
      </c>
      <c r="D53" s="20" t="s">
        <v>1004</v>
      </c>
      <c r="E53" s="24"/>
    </row>
    <row r="54" spans="1:5" x14ac:dyDescent="0.2">
      <c r="A54" s="20" t="s">
        <v>1065</v>
      </c>
      <c r="B54" s="20" t="s">
        <v>1066</v>
      </c>
      <c r="C54" s="20" t="s">
        <v>1017</v>
      </c>
      <c r="D54" s="20" t="s">
        <v>1067</v>
      </c>
      <c r="E54" s="24"/>
    </row>
    <row r="55" spans="1:5" x14ac:dyDescent="0.2">
      <c r="A55" s="20" t="s">
        <v>1068</v>
      </c>
      <c r="B55" s="20" t="s">
        <v>1066</v>
      </c>
      <c r="C55" s="20" t="s">
        <v>1017</v>
      </c>
      <c r="D55" s="20" t="s">
        <v>1069</v>
      </c>
      <c r="E55" s="24"/>
    </row>
    <row r="56" spans="1:5" x14ac:dyDescent="0.2">
      <c r="A56" s="20" t="s">
        <v>1070</v>
      </c>
      <c r="B56" s="20" t="s">
        <v>1066</v>
      </c>
      <c r="C56" s="20" t="s">
        <v>1017</v>
      </c>
      <c r="D56" s="20" t="s">
        <v>1071</v>
      </c>
      <c r="E56" s="24"/>
    </row>
    <row r="57" spans="1:5" x14ac:dyDescent="0.2">
      <c r="A57" s="20" t="s">
        <v>1072</v>
      </c>
      <c r="B57" s="20" t="s">
        <v>1066</v>
      </c>
      <c r="C57" s="20" t="s">
        <v>1017</v>
      </c>
      <c r="D57" s="20" t="s">
        <v>1073</v>
      </c>
      <c r="E57" s="24"/>
    </row>
    <row r="58" spans="1:5" x14ac:dyDescent="0.2">
      <c r="A58" s="20" t="s">
        <v>1074</v>
      </c>
      <c r="B58" s="20" t="s">
        <v>1075</v>
      </c>
      <c r="C58" s="20" t="s">
        <v>1017</v>
      </c>
      <c r="D58" s="20" t="s">
        <v>1067</v>
      </c>
      <c r="E58" s="24"/>
    </row>
    <row r="59" spans="1:5" x14ac:dyDescent="0.2">
      <c r="A59" s="20" t="s">
        <v>1076</v>
      </c>
      <c r="B59" s="20" t="s">
        <v>1075</v>
      </c>
      <c r="C59" s="20" t="s">
        <v>1017</v>
      </c>
      <c r="D59" s="20" t="s">
        <v>1069</v>
      </c>
      <c r="E59" s="24"/>
    </row>
    <row r="60" spans="1:5" x14ac:dyDescent="0.2">
      <c r="A60" s="20" t="s">
        <v>1077</v>
      </c>
      <c r="B60" s="20" t="s">
        <v>1075</v>
      </c>
      <c r="C60" s="20" t="s">
        <v>1017</v>
      </c>
      <c r="D60" s="20" t="s">
        <v>1071</v>
      </c>
      <c r="E60" s="24"/>
    </row>
    <row r="61" spans="1:5" x14ac:dyDescent="0.2">
      <c r="A61" s="20" t="s">
        <v>1078</v>
      </c>
      <c r="B61" s="20" t="s">
        <v>1075</v>
      </c>
      <c r="C61" s="20" t="s">
        <v>1017</v>
      </c>
      <c r="D61" s="20" t="s">
        <v>1073</v>
      </c>
      <c r="E61" s="24"/>
    </row>
    <row r="62" spans="1:5" x14ac:dyDescent="0.2">
      <c r="A62" s="20" t="s">
        <v>1079</v>
      </c>
      <c r="B62" s="20" t="s">
        <v>1080</v>
      </c>
      <c r="C62" s="20" t="s">
        <v>1017</v>
      </c>
      <c r="D62" s="20" t="s">
        <v>1067</v>
      </c>
      <c r="E62" s="24"/>
    </row>
    <row r="63" spans="1:5" x14ac:dyDescent="0.2">
      <c r="A63" s="20" t="s">
        <v>1081</v>
      </c>
      <c r="B63" s="20" t="s">
        <v>1080</v>
      </c>
      <c r="C63" s="20" t="s">
        <v>1017</v>
      </c>
      <c r="D63" s="20" t="s">
        <v>1069</v>
      </c>
      <c r="E63" s="24"/>
    </row>
    <row r="64" spans="1:5" x14ac:dyDescent="0.2">
      <c r="A64" s="20" t="s">
        <v>1082</v>
      </c>
      <c r="B64" s="20" t="s">
        <v>1080</v>
      </c>
      <c r="C64" s="20" t="s">
        <v>1017</v>
      </c>
      <c r="D64" s="20" t="s">
        <v>1071</v>
      </c>
      <c r="E64" s="24"/>
    </row>
    <row r="65" spans="1:5" x14ac:dyDescent="0.2">
      <c r="A65" s="20" t="s">
        <v>1083</v>
      </c>
      <c r="B65" s="20" t="s">
        <v>1080</v>
      </c>
      <c r="C65" s="20" t="s">
        <v>1017</v>
      </c>
      <c r="D65" s="20" t="s">
        <v>1073</v>
      </c>
      <c r="E65" s="24"/>
    </row>
    <row r="66" spans="1:5" x14ac:dyDescent="0.2">
      <c r="A66" s="20" t="s">
        <v>1084</v>
      </c>
      <c r="B66" s="20" t="s">
        <v>1085</v>
      </c>
      <c r="C66" s="20" t="s">
        <v>1017</v>
      </c>
      <c r="D66" s="20" t="s">
        <v>1067</v>
      </c>
      <c r="E66" s="24"/>
    </row>
    <row r="67" spans="1:5" x14ac:dyDescent="0.2">
      <c r="A67" s="20" t="s">
        <v>1086</v>
      </c>
      <c r="B67" s="20" t="s">
        <v>1085</v>
      </c>
      <c r="C67" s="20" t="s">
        <v>1017</v>
      </c>
      <c r="D67" s="20" t="s">
        <v>1069</v>
      </c>
      <c r="E67" s="24"/>
    </row>
    <row r="68" spans="1:5" x14ac:dyDescent="0.2">
      <c r="A68" s="20" t="s">
        <v>1087</v>
      </c>
      <c r="B68" s="20" t="s">
        <v>1085</v>
      </c>
      <c r="C68" s="20" t="s">
        <v>1017</v>
      </c>
      <c r="D68" s="20" t="s">
        <v>1071</v>
      </c>
      <c r="E68" s="24"/>
    </row>
    <row r="69" spans="1:5" x14ac:dyDescent="0.2">
      <c r="A69" s="20" t="s">
        <v>1088</v>
      </c>
      <c r="B69" s="20" t="s">
        <v>1085</v>
      </c>
      <c r="C69" s="20" t="s">
        <v>1017</v>
      </c>
      <c r="D69" s="20" t="s">
        <v>1073</v>
      </c>
      <c r="E69" s="24"/>
    </row>
    <row r="70" spans="1:5" x14ac:dyDescent="0.2">
      <c r="A70" s="20" t="s">
        <v>1089</v>
      </c>
      <c r="B70" s="20" t="s">
        <v>1090</v>
      </c>
      <c r="C70" s="20" t="s">
        <v>1017</v>
      </c>
      <c r="D70" s="20" t="s">
        <v>1067</v>
      </c>
      <c r="E70" s="24"/>
    </row>
    <row r="71" spans="1:5" x14ac:dyDescent="0.2">
      <c r="A71" s="20" t="s">
        <v>1091</v>
      </c>
      <c r="B71" s="20" t="s">
        <v>1090</v>
      </c>
      <c r="C71" s="20" t="s">
        <v>1017</v>
      </c>
      <c r="D71" s="20" t="s">
        <v>1069</v>
      </c>
      <c r="E71" s="24"/>
    </row>
    <row r="72" spans="1:5" x14ac:dyDescent="0.2">
      <c r="A72" s="20" t="s">
        <v>1092</v>
      </c>
      <c r="B72" s="20" t="s">
        <v>1090</v>
      </c>
      <c r="C72" s="20" t="s">
        <v>1017</v>
      </c>
      <c r="D72" s="20" t="s">
        <v>1071</v>
      </c>
      <c r="E72" s="24"/>
    </row>
    <row r="73" spans="1:5" x14ac:dyDescent="0.2">
      <c r="A73" s="20" t="s">
        <v>1093</v>
      </c>
      <c r="B73" s="20" t="s">
        <v>1090</v>
      </c>
      <c r="C73" s="20" t="s">
        <v>1017</v>
      </c>
      <c r="D73" s="20" t="s">
        <v>1073</v>
      </c>
      <c r="E73" s="24"/>
    </row>
    <row r="74" spans="1:5" x14ac:dyDescent="0.2">
      <c r="A74" s="20" t="s">
        <v>1094</v>
      </c>
      <c r="B74" s="20" t="s">
        <v>1095</v>
      </c>
      <c r="C74" s="20" t="s">
        <v>1017</v>
      </c>
      <c r="D74" s="20" t="s">
        <v>1067</v>
      </c>
      <c r="E74" s="24"/>
    </row>
    <row r="75" spans="1:5" x14ac:dyDescent="0.2">
      <c r="A75" s="20" t="s">
        <v>1096</v>
      </c>
      <c r="B75" s="20" t="s">
        <v>1095</v>
      </c>
      <c r="C75" s="20" t="s">
        <v>1017</v>
      </c>
      <c r="D75" s="20" t="s">
        <v>1069</v>
      </c>
      <c r="E75" s="24"/>
    </row>
    <row r="76" spans="1:5" x14ac:dyDescent="0.2">
      <c r="A76" s="20" t="s">
        <v>1097</v>
      </c>
      <c r="B76" s="20" t="s">
        <v>1095</v>
      </c>
      <c r="C76" s="20" t="s">
        <v>1017</v>
      </c>
      <c r="D76" s="20" t="s">
        <v>1071</v>
      </c>
      <c r="E76" s="24"/>
    </row>
    <row r="77" spans="1:5" x14ac:dyDescent="0.2">
      <c r="A77" s="20" t="s">
        <v>1098</v>
      </c>
      <c r="B77" s="20" t="s">
        <v>1095</v>
      </c>
      <c r="C77" s="20" t="s">
        <v>1017</v>
      </c>
      <c r="D77" s="20" t="s">
        <v>1073</v>
      </c>
      <c r="E77" s="24"/>
    </row>
    <row r="78" spans="1:5" x14ac:dyDescent="0.2">
      <c r="A78" s="20" t="s">
        <v>1099</v>
      </c>
      <c r="B78" s="20" t="s">
        <v>1100</v>
      </c>
      <c r="C78" s="20" t="s">
        <v>1017</v>
      </c>
      <c r="D78" s="20" t="s">
        <v>1067</v>
      </c>
      <c r="E78" s="24"/>
    </row>
    <row r="79" spans="1:5" x14ac:dyDescent="0.2">
      <c r="A79" s="20" t="s">
        <v>1101</v>
      </c>
      <c r="B79" s="20" t="s">
        <v>1100</v>
      </c>
      <c r="C79" s="20" t="s">
        <v>1017</v>
      </c>
      <c r="D79" s="20" t="s">
        <v>1069</v>
      </c>
      <c r="E79" s="24"/>
    </row>
    <row r="80" spans="1:5" x14ac:dyDescent="0.2">
      <c r="A80" s="20" t="s">
        <v>1102</v>
      </c>
      <c r="B80" s="20" t="s">
        <v>1100</v>
      </c>
      <c r="C80" s="20" t="s">
        <v>1017</v>
      </c>
      <c r="D80" s="20" t="s">
        <v>1071</v>
      </c>
      <c r="E80" s="24"/>
    </row>
    <row r="81" spans="1:5" x14ac:dyDescent="0.2">
      <c r="A81" s="20" t="s">
        <v>1103</v>
      </c>
      <c r="B81" s="20" t="s">
        <v>1100</v>
      </c>
      <c r="C81" s="20" t="s">
        <v>1017</v>
      </c>
      <c r="D81" s="20" t="s">
        <v>1073</v>
      </c>
      <c r="E81" s="24"/>
    </row>
    <row r="82" spans="1:5" x14ac:dyDescent="0.2">
      <c r="A82" s="20" t="s">
        <v>1104</v>
      </c>
      <c r="B82" s="20" t="s">
        <v>1105</v>
      </c>
      <c r="C82" s="20" t="s">
        <v>1017</v>
      </c>
      <c r="D82" s="20" t="s">
        <v>1067</v>
      </c>
      <c r="E82" s="24"/>
    </row>
    <row r="83" spans="1:5" x14ac:dyDescent="0.2">
      <c r="A83" s="20" t="s">
        <v>1106</v>
      </c>
      <c r="B83" s="20" t="s">
        <v>1105</v>
      </c>
      <c r="C83" s="20" t="s">
        <v>1017</v>
      </c>
      <c r="D83" s="20" t="s">
        <v>1069</v>
      </c>
      <c r="E83" s="24"/>
    </row>
    <row r="84" spans="1:5" x14ac:dyDescent="0.2">
      <c r="A84" s="20" t="s">
        <v>1107</v>
      </c>
      <c r="B84" s="20" t="s">
        <v>1105</v>
      </c>
      <c r="C84" s="20" t="s">
        <v>1017</v>
      </c>
      <c r="D84" s="20" t="s">
        <v>1071</v>
      </c>
      <c r="E84" s="24"/>
    </row>
    <row r="85" spans="1:5" x14ac:dyDescent="0.2">
      <c r="A85" s="20" t="s">
        <v>1108</v>
      </c>
      <c r="B85" s="20" t="s">
        <v>1105</v>
      </c>
      <c r="C85" s="20" t="s">
        <v>1017</v>
      </c>
      <c r="D85" s="20" t="s">
        <v>1073</v>
      </c>
      <c r="E85" s="24"/>
    </row>
    <row r="86" spans="1:5" x14ac:dyDescent="0.2">
      <c r="A86" s="20" t="s">
        <v>1109</v>
      </c>
      <c r="B86" s="20" t="s">
        <v>1110</v>
      </c>
      <c r="C86" s="20" t="s">
        <v>1017</v>
      </c>
      <c r="D86" s="20" t="s">
        <v>1067</v>
      </c>
      <c r="E86" s="24"/>
    </row>
    <row r="87" spans="1:5" x14ac:dyDescent="0.2">
      <c r="A87" s="20" t="s">
        <v>1111</v>
      </c>
      <c r="B87" s="20" t="s">
        <v>1110</v>
      </c>
      <c r="C87" s="20" t="s">
        <v>1017</v>
      </c>
      <c r="D87" s="20" t="s">
        <v>1069</v>
      </c>
      <c r="E87" s="24"/>
    </row>
    <row r="88" spans="1:5" x14ac:dyDescent="0.2">
      <c r="A88" s="20" t="s">
        <v>1112</v>
      </c>
      <c r="B88" s="20" t="s">
        <v>1110</v>
      </c>
      <c r="C88" s="20" t="s">
        <v>1017</v>
      </c>
      <c r="D88" s="20" t="s">
        <v>1071</v>
      </c>
      <c r="E88" s="24"/>
    </row>
    <row r="89" spans="1:5" x14ac:dyDescent="0.2">
      <c r="A89" s="20" t="s">
        <v>1113</v>
      </c>
      <c r="B89" s="20" t="s">
        <v>1110</v>
      </c>
      <c r="C89" s="20" t="s">
        <v>1017</v>
      </c>
      <c r="D89" s="20" t="s">
        <v>1073</v>
      </c>
      <c r="E89" s="24"/>
    </row>
    <row r="90" spans="1:5" x14ac:dyDescent="0.2">
      <c r="A90" s="20" t="s">
        <v>1114</v>
      </c>
      <c r="B90" s="20" t="s">
        <v>1115</v>
      </c>
      <c r="C90" s="20" t="s">
        <v>1017</v>
      </c>
      <c r="D90" s="20" t="s">
        <v>1067</v>
      </c>
      <c r="E90" s="24"/>
    </row>
    <row r="91" spans="1:5" x14ac:dyDescent="0.2">
      <c r="A91" s="20" t="s">
        <v>1116</v>
      </c>
      <c r="B91" s="20" t="s">
        <v>1115</v>
      </c>
      <c r="C91" s="20" t="s">
        <v>1017</v>
      </c>
      <c r="D91" s="20" t="s">
        <v>1069</v>
      </c>
      <c r="E91" s="24"/>
    </row>
    <row r="92" spans="1:5" x14ac:dyDescent="0.2">
      <c r="A92" s="20" t="s">
        <v>1117</v>
      </c>
      <c r="B92" s="20" t="s">
        <v>1115</v>
      </c>
      <c r="C92" s="20" t="s">
        <v>1017</v>
      </c>
      <c r="D92" s="20" t="s">
        <v>1071</v>
      </c>
      <c r="E92" s="24"/>
    </row>
    <row r="93" spans="1:5" x14ac:dyDescent="0.2">
      <c r="A93" s="25" t="s">
        <v>1118</v>
      </c>
      <c r="B93" s="25" t="s">
        <v>1115</v>
      </c>
      <c r="C93" s="25" t="s">
        <v>1017</v>
      </c>
      <c r="D93" s="25" t="s">
        <v>1073</v>
      </c>
      <c r="E93" s="29"/>
    </row>
    <row r="94" spans="1:5" x14ac:dyDescent="0.2">
      <c r="A94" s="40" t="s">
        <v>176</v>
      </c>
      <c r="B94" s="41"/>
      <c r="C94" s="41"/>
      <c r="D94" s="41"/>
      <c r="E94" s="100"/>
    </row>
    <row r="96" spans="1:5" x14ac:dyDescent="0.2">
      <c r="A96" s="40" t="s">
        <v>1119</v>
      </c>
      <c r="B96" s="41"/>
      <c r="C96" s="41"/>
      <c r="D96" s="41"/>
      <c r="E96" s="100"/>
    </row>
  </sheetData>
  <sheetProtection algorithmName="SHA-512" hashValue="SCUat1c3yG329x6KWfAdiXvnNHtYn1cZDCe7dV7xHHuu6PuNKweYj/vVhPMQM3iau3j5WxXW1NeVRncR/Lq46Q==" saltValue="QybCupoqYZUZWg/9U3gwLw==" spinCount="100000" sheet="1" objects="1" scenarios="1" autoFilter="0"/>
  <pageMargins left="0.7" right="0.7" top="0.75" bottom="0.75" header="0.3" footer="0.3"/>
  <pageSetup scale="65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7CD61-78E4-4C7E-B210-A9A0E1BA88D7}">
  <dimension ref="A1:M1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H.8: ",tabeltype," additioneel werk per locatie")</f>
        <v>Bijlage H.8: Invultabel additioneel werk per locatie</v>
      </c>
    </row>
    <row r="3" spans="1:13" ht="38.25" x14ac:dyDescent="0.2">
      <c r="A3" s="8" t="s">
        <v>967</v>
      </c>
      <c r="B3" s="8" t="s">
        <v>7</v>
      </c>
      <c r="C3" s="8" t="s">
        <v>968</v>
      </c>
      <c r="D3" s="8" t="s">
        <v>914</v>
      </c>
      <c r="E3" s="8" t="s">
        <v>32</v>
      </c>
      <c r="F3" s="8" t="s">
        <v>35</v>
      </c>
      <c r="G3" s="8" t="s">
        <v>969</v>
      </c>
      <c r="H3" s="8" t="s">
        <v>970</v>
      </c>
      <c r="I3" s="8" t="s">
        <v>971</v>
      </c>
      <c r="J3" s="8" t="s">
        <v>972</v>
      </c>
      <c r="K3" s="8" t="s">
        <v>973</v>
      </c>
      <c r="L3" s="8" t="s">
        <v>131</v>
      </c>
      <c r="M3" s="8" t="s">
        <v>934</v>
      </c>
    </row>
    <row r="5" spans="1:13" x14ac:dyDescent="0.2">
      <c r="A5" s="99" t="s">
        <v>186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100"/>
    </row>
    <row r="6" spans="1:13" x14ac:dyDescent="0.2">
      <c r="A6" s="90" t="s">
        <v>974</v>
      </c>
      <c r="B6" s="90" t="s">
        <v>26</v>
      </c>
      <c r="C6" s="91">
        <f>IF(ISBLANK(B6),0,IF(ISERROR(VALUE(B6)),VLOOKUP(B6,dagsoorttabel1,2,FALSE)*dagenperjaar1,VALUE(B6)))</f>
        <v>1</v>
      </c>
      <c r="D6" s="90" t="s">
        <v>923</v>
      </c>
      <c r="E6" s="90" t="s">
        <v>975</v>
      </c>
      <c r="F6" s="90" t="s">
        <v>976</v>
      </c>
      <c r="G6" s="92">
        <v>4532.5300000000007</v>
      </c>
      <c r="H6" s="101">
        <f>'Additioneel werk'!G6</f>
        <v>0</v>
      </c>
      <c r="I6" s="102">
        <f>'Additioneel werk'!H6</f>
        <v>0</v>
      </c>
      <c r="J6" s="95"/>
      <c r="K6" s="96" t="e">
        <f>IF(ISBLANK(I6),0,G6 / ROUND(I6,4) * ROUND(H6,2))</f>
        <v>#DIV/0!</v>
      </c>
      <c r="L6" s="96" t="e">
        <f>C6*K6</f>
        <v>#DIV/0!</v>
      </c>
      <c r="M6" s="96" t="e">
        <f>L6/12</f>
        <v>#DIV/0!</v>
      </c>
    </row>
    <row r="7" spans="1:13" x14ac:dyDescent="0.2">
      <c r="A7" s="89" t="s">
        <v>955</v>
      </c>
      <c r="B7" s="41"/>
      <c r="C7" s="41"/>
      <c r="D7" s="41"/>
      <c r="E7" s="41"/>
      <c r="F7" s="41"/>
      <c r="G7" s="41"/>
      <c r="H7" s="41"/>
      <c r="I7" s="41"/>
      <c r="J7" s="41"/>
      <c r="K7" s="43" t="e">
        <f>SUM(K6:K6)</f>
        <v>#DIV/0!</v>
      </c>
      <c r="L7" s="43" t="e">
        <f>SUM(L6:L6)</f>
        <v>#DIV/0!</v>
      </c>
      <c r="M7" s="103" t="e">
        <f>L7/12</f>
        <v>#DIV/0!</v>
      </c>
    </row>
    <row r="9" spans="1:13" x14ac:dyDescent="0.2">
      <c r="A9" s="99" t="s">
        <v>485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100"/>
    </row>
    <row r="10" spans="1:13" x14ac:dyDescent="0.2">
      <c r="A10" s="90" t="s">
        <v>974</v>
      </c>
      <c r="B10" s="90" t="s">
        <v>26</v>
      </c>
      <c r="C10" s="91">
        <f>IF(ISBLANK(B10),0,IF(ISERROR(VALUE(B10)),VLOOKUP(B10,dagsoorttabel1,2,FALSE)*dagenperjaar1,VALUE(B10)))</f>
        <v>1</v>
      </c>
      <c r="D10" s="90" t="s">
        <v>923</v>
      </c>
      <c r="E10" s="90" t="s">
        <v>975</v>
      </c>
      <c r="F10" s="90" t="s">
        <v>976</v>
      </c>
      <c r="G10" s="92">
        <v>122.2</v>
      </c>
      <c r="H10" s="101">
        <f>'Additioneel werk'!G6</f>
        <v>0</v>
      </c>
      <c r="I10" s="102">
        <f>'Additioneel werk'!H6</f>
        <v>0</v>
      </c>
      <c r="J10" s="95"/>
      <c r="K10" s="96" t="e">
        <f>IF(ISBLANK(I10),0,G10 / ROUND(I10,4) * ROUND(H10,2))</f>
        <v>#DIV/0!</v>
      </c>
      <c r="L10" s="96" t="e">
        <f>C10*K10</f>
        <v>#DIV/0!</v>
      </c>
      <c r="M10" s="96" t="e">
        <f>L10/12</f>
        <v>#DIV/0!</v>
      </c>
    </row>
    <row r="11" spans="1:13" x14ac:dyDescent="0.2">
      <c r="A11" s="89" t="s">
        <v>956</v>
      </c>
      <c r="B11" s="41"/>
      <c r="C11" s="41"/>
      <c r="D11" s="41"/>
      <c r="E11" s="41"/>
      <c r="F11" s="41"/>
      <c r="G11" s="41"/>
      <c r="H11" s="41"/>
      <c r="I11" s="41"/>
      <c r="J11" s="41"/>
      <c r="K11" s="43" t="e">
        <f>SUM(K10:K10)</f>
        <v>#DIV/0!</v>
      </c>
      <c r="L11" s="43" t="e">
        <f>SUM(L10:L10)</f>
        <v>#DIV/0!</v>
      </c>
      <c r="M11" s="103" t="e">
        <f>L11/12</f>
        <v>#DIV/0!</v>
      </c>
    </row>
  </sheetData>
  <sheetProtection algorithmName="SHA-512" hashValue="nw1VoFTOg/VNM126IyQJjVDqJcXSYtsuy2bf97m7oKLN/jRWxrRnwaSVhXUuQgrlkhvPrfGSj+aldK46fMi8dQ==" saltValue="p0EulKg7VwYb8KdFN+N80w==" spinCount="100000" sheet="1" objects="1" scenarios="1" autoFilter="0"/>
  <pageMargins left="0.7" right="0.7" top="0.75" bottom="0.75" header="0.3" footer="0.3"/>
  <pageSetup scale="65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357EE-BDE8-4718-8EE7-966308A8FE64}">
  <dimension ref="A1:M1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3" width="13.625" customWidth="1"/>
  </cols>
  <sheetData>
    <row r="1" spans="1:13" x14ac:dyDescent="0.2">
      <c r="A1" s="1" t="str">
        <f>CONCATENATE("Bijlage H.9: ",tabeltype," afroep")</f>
        <v>Bijlage H.9: Invultabel afroep</v>
      </c>
    </row>
    <row r="3" spans="1:13" ht="38.25" x14ac:dyDescent="0.2">
      <c r="A3" s="8" t="s">
        <v>967</v>
      </c>
      <c r="B3" s="8" t="s">
        <v>7</v>
      </c>
      <c r="C3" s="8" t="s">
        <v>968</v>
      </c>
      <c r="D3" s="8" t="s">
        <v>32</v>
      </c>
      <c r="E3" s="8" t="s">
        <v>35</v>
      </c>
      <c r="F3" s="8" t="s">
        <v>969</v>
      </c>
      <c r="G3" s="8" t="s">
        <v>970</v>
      </c>
      <c r="H3" s="8" t="s">
        <v>971</v>
      </c>
      <c r="I3" s="8" t="s">
        <v>972</v>
      </c>
      <c r="J3" s="8" t="s">
        <v>973</v>
      </c>
      <c r="K3" s="8" t="s">
        <v>131</v>
      </c>
      <c r="L3" s="8" t="s">
        <v>934</v>
      </c>
      <c r="M3" s="8" t="s">
        <v>130</v>
      </c>
    </row>
    <row r="4" spans="1:13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2">
      <c r="A6" s="15" t="s">
        <v>978</v>
      </c>
      <c r="B6" s="15" t="s">
        <v>21</v>
      </c>
      <c r="C6" s="16">
        <f t="shared" ref="C6:C12" si="0">IF(ISBLANK(B6),0,IF(ISERROR(VALUE(B6)),VLOOKUP(B6,dagsoorttabel1,2,FALSE)*dagenperjaar1,VALUE(B6)))</f>
        <v>10</v>
      </c>
      <c r="D6" s="15" t="s">
        <v>979</v>
      </c>
      <c r="E6" s="15" t="s">
        <v>980</v>
      </c>
      <c r="F6" s="104">
        <v>20</v>
      </c>
      <c r="G6" s="19"/>
      <c r="H6" s="105"/>
      <c r="I6" s="19"/>
      <c r="J6" s="32">
        <f t="shared" ref="J6:J12" si="1">IF(ISBLANK(F6),0,F6)*ROUND(I6,2)</f>
        <v>0</v>
      </c>
      <c r="K6" s="32">
        <f t="shared" ref="K6:K12" si="2">C6*J6</f>
        <v>0</v>
      </c>
      <c r="L6" s="32">
        <f t="shared" ref="L6:L13" si="3">K6/12</f>
        <v>0</v>
      </c>
      <c r="M6" s="30" t="str">
        <f t="shared" ref="M6:M12" si="4">IF(AND(SUM(K6)&gt;0,SUM(G6)&lt;=0),"INCOMPLEET",IF(SUM(G6)&gt;0,K6/G6,""))</f>
        <v/>
      </c>
    </row>
    <row r="7" spans="1:13" x14ac:dyDescent="0.2">
      <c r="A7" s="20" t="s">
        <v>981</v>
      </c>
      <c r="B7" s="20" t="s">
        <v>21</v>
      </c>
      <c r="C7" s="21">
        <f t="shared" si="0"/>
        <v>10</v>
      </c>
      <c r="D7" s="20" t="s">
        <v>982</v>
      </c>
      <c r="E7" s="20" t="s">
        <v>980</v>
      </c>
      <c r="F7" s="106">
        <v>10</v>
      </c>
      <c r="G7" s="24"/>
      <c r="H7" s="107"/>
      <c r="I7" s="24"/>
      <c r="J7" s="35">
        <f t="shared" si="1"/>
        <v>0</v>
      </c>
      <c r="K7" s="35">
        <f t="shared" si="2"/>
        <v>0</v>
      </c>
      <c r="L7" s="35">
        <f t="shared" si="3"/>
        <v>0</v>
      </c>
      <c r="M7" s="33" t="str">
        <f t="shared" si="4"/>
        <v/>
      </c>
    </row>
    <row r="8" spans="1:13" x14ac:dyDescent="0.2">
      <c r="A8" s="20" t="s">
        <v>983</v>
      </c>
      <c r="B8" s="20" t="s">
        <v>21</v>
      </c>
      <c r="C8" s="21">
        <f t="shared" si="0"/>
        <v>10</v>
      </c>
      <c r="D8" s="20" t="s">
        <v>984</v>
      </c>
      <c r="E8" s="20" t="s">
        <v>980</v>
      </c>
      <c r="F8" s="106">
        <v>4</v>
      </c>
      <c r="G8" s="24"/>
      <c r="H8" s="107"/>
      <c r="I8" s="24"/>
      <c r="J8" s="35">
        <f t="shared" si="1"/>
        <v>0</v>
      </c>
      <c r="K8" s="35">
        <f t="shared" si="2"/>
        <v>0</v>
      </c>
      <c r="L8" s="35">
        <f t="shared" si="3"/>
        <v>0</v>
      </c>
      <c r="M8" s="33" t="str">
        <f t="shared" si="4"/>
        <v/>
      </c>
    </row>
    <row r="9" spans="1:13" x14ac:dyDescent="0.2">
      <c r="A9" s="20" t="s">
        <v>985</v>
      </c>
      <c r="B9" s="20" t="s">
        <v>21</v>
      </c>
      <c r="C9" s="21">
        <f t="shared" si="0"/>
        <v>10</v>
      </c>
      <c r="D9" s="20" t="s">
        <v>986</v>
      </c>
      <c r="E9" s="20" t="s">
        <v>980</v>
      </c>
      <c r="F9" s="106">
        <v>40</v>
      </c>
      <c r="G9" s="24"/>
      <c r="H9" s="107"/>
      <c r="I9" s="24"/>
      <c r="J9" s="35">
        <f t="shared" si="1"/>
        <v>0</v>
      </c>
      <c r="K9" s="35">
        <f t="shared" si="2"/>
        <v>0</v>
      </c>
      <c r="L9" s="35">
        <f t="shared" si="3"/>
        <v>0</v>
      </c>
      <c r="M9" s="33" t="str">
        <f t="shared" si="4"/>
        <v/>
      </c>
    </row>
    <row r="10" spans="1:13" x14ac:dyDescent="0.2">
      <c r="A10" s="20" t="s">
        <v>987</v>
      </c>
      <c r="B10" s="20" t="s">
        <v>21</v>
      </c>
      <c r="C10" s="21">
        <f t="shared" si="0"/>
        <v>10</v>
      </c>
      <c r="D10" s="20" t="s">
        <v>988</v>
      </c>
      <c r="E10" s="20" t="s">
        <v>980</v>
      </c>
      <c r="F10" s="106">
        <v>20</v>
      </c>
      <c r="G10" s="24"/>
      <c r="H10" s="107"/>
      <c r="I10" s="24"/>
      <c r="J10" s="35">
        <f t="shared" si="1"/>
        <v>0</v>
      </c>
      <c r="K10" s="35">
        <f t="shared" si="2"/>
        <v>0</v>
      </c>
      <c r="L10" s="35">
        <f t="shared" si="3"/>
        <v>0</v>
      </c>
      <c r="M10" s="33" t="str">
        <f t="shared" si="4"/>
        <v/>
      </c>
    </row>
    <row r="11" spans="1:13" x14ac:dyDescent="0.2">
      <c r="A11" s="20" t="s">
        <v>989</v>
      </c>
      <c r="B11" s="20" t="s">
        <v>21</v>
      </c>
      <c r="C11" s="21">
        <f t="shared" si="0"/>
        <v>10</v>
      </c>
      <c r="D11" s="20" t="s">
        <v>990</v>
      </c>
      <c r="E11" s="20" t="s">
        <v>980</v>
      </c>
      <c r="F11" s="106">
        <v>10</v>
      </c>
      <c r="G11" s="24"/>
      <c r="H11" s="107"/>
      <c r="I11" s="24"/>
      <c r="J11" s="35">
        <f t="shared" si="1"/>
        <v>0</v>
      </c>
      <c r="K11" s="35">
        <f t="shared" si="2"/>
        <v>0</v>
      </c>
      <c r="L11" s="35">
        <f t="shared" si="3"/>
        <v>0</v>
      </c>
      <c r="M11" s="33" t="str">
        <f t="shared" si="4"/>
        <v/>
      </c>
    </row>
    <row r="12" spans="1:13" x14ac:dyDescent="0.2">
      <c r="A12" s="25" t="s">
        <v>991</v>
      </c>
      <c r="B12" s="25" t="s">
        <v>21</v>
      </c>
      <c r="C12" s="26">
        <f t="shared" si="0"/>
        <v>10</v>
      </c>
      <c r="D12" s="25" t="s">
        <v>992</v>
      </c>
      <c r="E12" s="25" t="s">
        <v>980</v>
      </c>
      <c r="F12" s="108">
        <v>2</v>
      </c>
      <c r="G12" s="29"/>
      <c r="H12" s="109"/>
      <c r="I12" s="29"/>
      <c r="J12" s="38">
        <f t="shared" si="1"/>
        <v>0</v>
      </c>
      <c r="K12" s="38">
        <f t="shared" si="2"/>
        <v>0</v>
      </c>
      <c r="L12" s="38">
        <f t="shared" si="3"/>
        <v>0</v>
      </c>
      <c r="M12" s="36" t="str">
        <f t="shared" si="4"/>
        <v/>
      </c>
    </row>
    <row r="13" spans="1:13" x14ac:dyDescent="0.2">
      <c r="A13" s="40" t="s">
        <v>176</v>
      </c>
      <c r="B13" s="41"/>
      <c r="C13" s="41"/>
      <c r="D13" s="41"/>
      <c r="E13" s="41"/>
      <c r="F13" s="41"/>
      <c r="G13" s="41"/>
      <c r="H13" s="41"/>
      <c r="I13" s="41"/>
      <c r="J13" s="41"/>
      <c r="K13" s="43">
        <f>SUM(K6:K12)</f>
        <v>0</v>
      </c>
      <c r="L13" s="98">
        <f t="shared" si="3"/>
        <v>0</v>
      </c>
      <c r="M13" s="42">
        <f>SUM(M6:M12)</f>
        <v>0</v>
      </c>
    </row>
    <row r="15" spans="1:13" x14ac:dyDescent="0.2">
      <c r="A15" s="40" t="s">
        <v>993</v>
      </c>
      <c r="B15" s="41"/>
      <c r="C15" s="41"/>
      <c r="D15" s="41"/>
      <c r="E15" s="41"/>
      <c r="F15" s="41"/>
      <c r="G15" s="41"/>
      <c r="H15" s="41"/>
      <c r="I15" s="41"/>
      <c r="J15" s="41"/>
      <c r="K15" s="43">
        <f>prijsjaarafroep1</f>
        <v>0</v>
      </c>
      <c r="L15" s="98">
        <f>K15/12</f>
        <v>0</v>
      </c>
      <c r="M15" s="42">
        <f>urenjaarafroep1</f>
        <v>0</v>
      </c>
    </row>
  </sheetData>
  <sheetProtection algorithmName="SHA-512" hashValue="IE/7K/3zhHtZSAKqTzIw+hmAg6YfHsINUqnKKmK+dE2DlGWNafJZaiEqNilc61PvmgSYXW0GyoYZsW/GstWs1A==" saltValue="YXW9MHr25BfPil2pMAUAhA==" spinCount="100000" sheet="1" objects="1" scenarios="1" autoFilter="0"/>
  <pageMargins left="0.7" right="0.7" top="0.75" bottom="0.75" header="0.3" footer="0.3"/>
  <pageSetup scale="65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8651-DE9F-4086-A80E-467ED0923F47}">
  <dimension ref="A1:M2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3" width="13.625" customWidth="1"/>
  </cols>
  <sheetData>
    <row r="1" spans="1:13" x14ac:dyDescent="0.2">
      <c r="A1" s="1" t="str">
        <f>CONCATENATE("Bijlage H.11: ",tabeltype," glas")</f>
        <v>Bijlage H.11: Invultabel glas</v>
      </c>
    </row>
    <row r="3" spans="1:13" ht="38.25" x14ac:dyDescent="0.2">
      <c r="A3" s="8" t="s">
        <v>967</v>
      </c>
      <c r="B3" s="8" t="s">
        <v>7</v>
      </c>
      <c r="C3" s="8" t="s">
        <v>968</v>
      </c>
      <c r="D3" s="8" t="s">
        <v>32</v>
      </c>
      <c r="E3" s="8" t="s">
        <v>35</v>
      </c>
      <c r="F3" s="8" t="s">
        <v>969</v>
      </c>
      <c r="G3" s="8" t="s">
        <v>970</v>
      </c>
      <c r="H3" s="8" t="s">
        <v>971</v>
      </c>
      <c r="I3" s="8" t="s">
        <v>972</v>
      </c>
      <c r="J3" s="8" t="s">
        <v>973</v>
      </c>
      <c r="K3" s="8" t="s">
        <v>131</v>
      </c>
      <c r="L3" s="8" t="s">
        <v>934</v>
      </c>
      <c r="M3" s="8" t="s">
        <v>130</v>
      </c>
    </row>
    <row r="4" spans="1:13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2">
      <c r="A6" s="15" t="s">
        <v>1120</v>
      </c>
      <c r="B6" s="15" t="s">
        <v>25</v>
      </c>
      <c r="C6" s="16">
        <f t="shared" ref="C6:C26" si="0">IF(ISBLANK(B6),0,IF(ISERROR(VALUE(B6)),VLOOKUP(B6,dagsoorttabel1,2,FALSE)*dagenperjaar1,VALUE(B6)))</f>
        <v>2</v>
      </c>
      <c r="D6" s="15" t="s">
        <v>1121</v>
      </c>
      <c r="E6" s="15" t="s">
        <v>1017</v>
      </c>
      <c r="F6" s="104">
        <v>5856</v>
      </c>
      <c r="G6" s="19"/>
      <c r="H6" s="105"/>
      <c r="I6" s="19"/>
      <c r="J6" s="32">
        <f t="shared" ref="J6:J26" si="1">IF(ISBLANK(F6),0,F6)*ROUND(I6,2)</f>
        <v>0</v>
      </c>
      <c r="K6" s="32">
        <f t="shared" ref="K6:K26" si="2">C6*J6</f>
        <v>0</v>
      </c>
      <c r="L6" s="32">
        <f t="shared" ref="L6:L27" si="3">K6/12</f>
        <v>0</v>
      </c>
      <c r="M6" s="30" t="str">
        <f t="shared" ref="M6:M26" si="4">IF(AND(SUM(K6)&gt;0,SUM(G6)&lt;=0),"INCOMPLEET",IF(SUM(G6)&gt;0,K6/G6,""))</f>
        <v/>
      </c>
    </row>
    <row r="7" spans="1:13" x14ac:dyDescent="0.2">
      <c r="A7" s="20" t="s">
        <v>1122</v>
      </c>
      <c r="B7" s="20" t="s">
        <v>25</v>
      </c>
      <c r="C7" s="21">
        <f t="shared" si="0"/>
        <v>2</v>
      </c>
      <c r="D7" s="20" t="s">
        <v>1123</v>
      </c>
      <c r="E7" s="20" t="s">
        <v>1017</v>
      </c>
      <c r="F7" s="106">
        <v>5809</v>
      </c>
      <c r="G7" s="24"/>
      <c r="H7" s="107"/>
      <c r="I7" s="24"/>
      <c r="J7" s="35">
        <f t="shared" si="1"/>
        <v>0</v>
      </c>
      <c r="K7" s="35">
        <f t="shared" si="2"/>
        <v>0</v>
      </c>
      <c r="L7" s="35">
        <f t="shared" si="3"/>
        <v>0</v>
      </c>
      <c r="M7" s="33" t="str">
        <f t="shared" si="4"/>
        <v/>
      </c>
    </row>
    <row r="8" spans="1:13" x14ac:dyDescent="0.2">
      <c r="A8" s="20" t="s">
        <v>1124</v>
      </c>
      <c r="B8" s="20" t="s">
        <v>25</v>
      </c>
      <c r="C8" s="21">
        <f t="shared" si="0"/>
        <v>2</v>
      </c>
      <c r="D8" s="20" t="s">
        <v>1125</v>
      </c>
      <c r="E8" s="20" t="s">
        <v>1017</v>
      </c>
      <c r="F8" s="106">
        <v>2947</v>
      </c>
      <c r="G8" s="24"/>
      <c r="H8" s="107"/>
      <c r="I8" s="24"/>
      <c r="J8" s="35">
        <f t="shared" si="1"/>
        <v>0</v>
      </c>
      <c r="K8" s="35">
        <f t="shared" si="2"/>
        <v>0</v>
      </c>
      <c r="L8" s="35">
        <f t="shared" si="3"/>
        <v>0</v>
      </c>
      <c r="M8" s="33" t="str">
        <f t="shared" si="4"/>
        <v/>
      </c>
    </row>
    <row r="9" spans="1:13" x14ac:dyDescent="0.2">
      <c r="A9" s="20" t="s">
        <v>1126</v>
      </c>
      <c r="B9" s="20" t="s">
        <v>25</v>
      </c>
      <c r="C9" s="21">
        <f t="shared" si="0"/>
        <v>2</v>
      </c>
      <c r="D9" s="20" t="s">
        <v>1127</v>
      </c>
      <c r="E9" s="20" t="s">
        <v>1017</v>
      </c>
      <c r="F9" s="106">
        <v>125</v>
      </c>
      <c r="G9" s="24"/>
      <c r="H9" s="107"/>
      <c r="I9" s="24"/>
      <c r="J9" s="35">
        <f t="shared" si="1"/>
        <v>0</v>
      </c>
      <c r="K9" s="35">
        <f t="shared" si="2"/>
        <v>0</v>
      </c>
      <c r="L9" s="35">
        <f t="shared" si="3"/>
        <v>0</v>
      </c>
      <c r="M9" s="33" t="str">
        <f t="shared" si="4"/>
        <v/>
      </c>
    </row>
    <row r="10" spans="1:13" x14ac:dyDescent="0.2">
      <c r="A10" s="20" t="s">
        <v>1128</v>
      </c>
      <c r="B10" s="20" t="s">
        <v>25</v>
      </c>
      <c r="C10" s="21">
        <f t="shared" si="0"/>
        <v>2</v>
      </c>
      <c r="D10" s="20" t="s">
        <v>1129</v>
      </c>
      <c r="E10" s="20" t="s">
        <v>1017</v>
      </c>
      <c r="F10" s="106">
        <v>125</v>
      </c>
      <c r="G10" s="24"/>
      <c r="H10" s="107"/>
      <c r="I10" s="24"/>
      <c r="J10" s="35">
        <f t="shared" si="1"/>
        <v>0</v>
      </c>
      <c r="K10" s="35">
        <f t="shared" si="2"/>
        <v>0</v>
      </c>
      <c r="L10" s="35">
        <f t="shared" si="3"/>
        <v>0</v>
      </c>
      <c r="M10" s="33" t="str">
        <f t="shared" si="4"/>
        <v/>
      </c>
    </row>
    <row r="11" spans="1:13" x14ac:dyDescent="0.2">
      <c r="A11" s="20" t="s">
        <v>1130</v>
      </c>
      <c r="B11" s="20" t="s">
        <v>25</v>
      </c>
      <c r="C11" s="21">
        <f t="shared" si="0"/>
        <v>2</v>
      </c>
      <c r="D11" s="20" t="s">
        <v>1131</v>
      </c>
      <c r="E11" s="20" t="s">
        <v>1017</v>
      </c>
      <c r="F11" s="106">
        <v>230</v>
      </c>
      <c r="G11" s="24"/>
      <c r="H11" s="107"/>
      <c r="I11" s="24"/>
      <c r="J11" s="35">
        <f t="shared" si="1"/>
        <v>0</v>
      </c>
      <c r="K11" s="35">
        <f t="shared" si="2"/>
        <v>0</v>
      </c>
      <c r="L11" s="35">
        <f t="shared" si="3"/>
        <v>0</v>
      </c>
      <c r="M11" s="33" t="str">
        <f t="shared" si="4"/>
        <v/>
      </c>
    </row>
    <row r="12" spans="1:13" x14ac:dyDescent="0.2">
      <c r="A12" s="20" t="s">
        <v>1132</v>
      </c>
      <c r="B12" s="20" t="s">
        <v>25</v>
      </c>
      <c r="C12" s="21">
        <f t="shared" si="0"/>
        <v>2</v>
      </c>
      <c r="D12" s="20" t="s">
        <v>1133</v>
      </c>
      <c r="E12" s="20" t="s">
        <v>1017</v>
      </c>
      <c r="F12" s="106">
        <v>35.5</v>
      </c>
      <c r="G12" s="24"/>
      <c r="H12" s="107"/>
      <c r="I12" s="24"/>
      <c r="J12" s="35">
        <f t="shared" si="1"/>
        <v>0</v>
      </c>
      <c r="K12" s="35">
        <f t="shared" si="2"/>
        <v>0</v>
      </c>
      <c r="L12" s="35">
        <f t="shared" si="3"/>
        <v>0</v>
      </c>
      <c r="M12" s="33" t="str">
        <f t="shared" si="4"/>
        <v/>
      </c>
    </row>
    <row r="13" spans="1:13" x14ac:dyDescent="0.2">
      <c r="A13" s="20" t="s">
        <v>1134</v>
      </c>
      <c r="B13" s="20" t="s">
        <v>25</v>
      </c>
      <c r="C13" s="21">
        <f t="shared" si="0"/>
        <v>2</v>
      </c>
      <c r="D13" s="20" t="s">
        <v>1135</v>
      </c>
      <c r="E13" s="20" t="s">
        <v>1017</v>
      </c>
      <c r="F13" s="106">
        <v>35.5</v>
      </c>
      <c r="G13" s="24"/>
      <c r="H13" s="107"/>
      <c r="I13" s="24"/>
      <c r="J13" s="35">
        <f t="shared" si="1"/>
        <v>0</v>
      </c>
      <c r="K13" s="35">
        <f t="shared" si="2"/>
        <v>0</v>
      </c>
      <c r="L13" s="35">
        <f t="shared" si="3"/>
        <v>0</v>
      </c>
      <c r="M13" s="33" t="str">
        <f t="shared" si="4"/>
        <v/>
      </c>
    </row>
    <row r="14" spans="1:13" x14ac:dyDescent="0.2">
      <c r="A14" s="20" t="s">
        <v>1136</v>
      </c>
      <c r="B14" s="20" t="s">
        <v>25</v>
      </c>
      <c r="C14" s="21">
        <f t="shared" si="0"/>
        <v>2</v>
      </c>
      <c r="D14" s="20" t="s">
        <v>1137</v>
      </c>
      <c r="E14" s="20" t="s">
        <v>1017</v>
      </c>
      <c r="F14" s="106">
        <v>85</v>
      </c>
      <c r="G14" s="24"/>
      <c r="H14" s="107"/>
      <c r="I14" s="24"/>
      <c r="J14" s="35">
        <f t="shared" si="1"/>
        <v>0</v>
      </c>
      <c r="K14" s="35">
        <f t="shared" si="2"/>
        <v>0</v>
      </c>
      <c r="L14" s="35">
        <f t="shared" si="3"/>
        <v>0</v>
      </c>
      <c r="M14" s="33" t="str">
        <f t="shared" si="4"/>
        <v/>
      </c>
    </row>
    <row r="15" spans="1:13" x14ac:dyDescent="0.2">
      <c r="A15" s="20" t="s">
        <v>1138</v>
      </c>
      <c r="B15" s="20" t="s">
        <v>25</v>
      </c>
      <c r="C15" s="21">
        <f t="shared" si="0"/>
        <v>2</v>
      </c>
      <c r="D15" s="20" t="s">
        <v>1139</v>
      </c>
      <c r="E15" s="20" t="s">
        <v>1017</v>
      </c>
      <c r="F15" s="106">
        <v>85</v>
      </c>
      <c r="G15" s="24"/>
      <c r="H15" s="107"/>
      <c r="I15" s="24"/>
      <c r="J15" s="35">
        <f t="shared" si="1"/>
        <v>0</v>
      </c>
      <c r="K15" s="35">
        <f t="shared" si="2"/>
        <v>0</v>
      </c>
      <c r="L15" s="35">
        <f t="shared" si="3"/>
        <v>0</v>
      </c>
      <c r="M15" s="33" t="str">
        <f t="shared" si="4"/>
        <v/>
      </c>
    </row>
    <row r="16" spans="1:13" x14ac:dyDescent="0.2">
      <c r="A16" s="20" t="s">
        <v>1140</v>
      </c>
      <c r="B16" s="20" t="s">
        <v>25</v>
      </c>
      <c r="C16" s="21">
        <f t="shared" si="0"/>
        <v>2</v>
      </c>
      <c r="D16" s="20" t="s">
        <v>1141</v>
      </c>
      <c r="E16" s="20" t="s">
        <v>1017</v>
      </c>
      <c r="F16" s="106">
        <v>822</v>
      </c>
      <c r="G16" s="24"/>
      <c r="H16" s="107"/>
      <c r="I16" s="24"/>
      <c r="J16" s="35">
        <f t="shared" si="1"/>
        <v>0</v>
      </c>
      <c r="K16" s="35">
        <f t="shared" si="2"/>
        <v>0</v>
      </c>
      <c r="L16" s="35">
        <f t="shared" si="3"/>
        <v>0</v>
      </c>
      <c r="M16" s="33" t="str">
        <f t="shared" si="4"/>
        <v/>
      </c>
    </row>
    <row r="17" spans="1:13" x14ac:dyDescent="0.2">
      <c r="A17" s="20" t="s">
        <v>1142</v>
      </c>
      <c r="B17" s="20" t="s">
        <v>25</v>
      </c>
      <c r="C17" s="21">
        <f t="shared" si="0"/>
        <v>2</v>
      </c>
      <c r="D17" s="20" t="s">
        <v>1143</v>
      </c>
      <c r="E17" s="20" t="s">
        <v>1017</v>
      </c>
      <c r="F17" s="106">
        <v>1635</v>
      </c>
      <c r="G17" s="24"/>
      <c r="H17" s="107"/>
      <c r="I17" s="24"/>
      <c r="J17" s="35">
        <f t="shared" si="1"/>
        <v>0</v>
      </c>
      <c r="K17" s="35">
        <f t="shared" si="2"/>
        <v>0</v>
      </c>
      <c r="L17" s="35">
        <f t="shared" si="3"/>
        <v>0</v>
      </c>
      <c r="M17" s="33" t="str">
        <f t="shared" si="4"/>
        <v/>
      </c>
    </row>
    <row r="18" spans="1:13" x14ac:dyDescent="0.2">
      <c r="A18" s="20" t="s">
        <v>1144</v>
      </c>
      <c r="B18" s="20" t="s">
        <v>25</v>
      </c>
      <c r="C18" s="21">
        <f t="shared" si="0"/>
        <v>2</v>
      </c>
      <c r="D18" s="20" t="s">
        <v>1145</v>
      </c>
      <c r="E18" s="20" t="s">
        <v>1017</v>
      </c>
      <c r="F18" s="106">
        <v>28</v>
      </c>
      <c r="G18" s="24"/>
      <c r="H18" s="107"/>
      <c r="I18" s="24"/>
      <c r="J18" s="35">
        <f t="shared" si="1"/>
        <v>0</v>
      </c>
      <c r="K18" s="35">
        <f t="shared" si="2"/>
        <v>0</v>
      </c>
      <c r="L18" s="35">
        <f t="shared" si="3"/>
        <v>0</v>
      </c>
      <c r="M18" s="33" t="str">
        <f t="shared" si="4"/>
        <v/>
      </c>
    </row>
    <row r="19" spans="1:13" x14ac:dyDescent="0.2">
      <c r="A19" s="20" t="s">
        <v>1146</v>
      </c>
      <c r="B19" s="20" t="s">
        <v>25</v>
      </c>
      <c r="C19" s="21">
        <f t="shared" si="0"/>
        <v>2</v>
      </c>
      <c r="D19" s="20" t="s">
        <v>1147</v>
      </c>
      <c r="E19" s="20" t="s">
        <v>1017</v>
      </c>
      <c r="F19" s="106">
        <v>375</v>
      </c>
      <c r="G19" s="24"/>
      <c r="H19" s="107"/>
      <c r="I19" s="24"/>
      <c r="J19" s="35">
        <f t="shared" si="1"/>
        <v>0</v>
      </c>
      <c r="K19" s="35">
        <f t="shared" si="2"/>
        <v>0</v>
      </c>
      <c r="L19" s="35">
        <f t="shared" si="3"/>
        <v>0</v>
      </c>
      <c r="M19" s="33" t="str">
        <f t="shared" si="4"/>
        <v/>
      </c>
    </row>
    <row r="20" spans="1:13" x14ac:dyDescent="0.2">
      <c r="A20" s="20" t="s">
        <v>1148</v>
      </c>
      <c r="B20" s="20" t="s">
        <v>25</v>
      </c>
      <c r="C20" s="21">
        <f t="shared" si="0"/>
        <v>2</v>
      </c>
      <c r="D20" s="20" t="s">
        <v>1149</v>
      </c>
      <c r="E20" s="20" t="s">
        <v>1017</v>
      </c>
      <c r="F20" s="106">
        <v>230</v>
      </c>
      <c r="G20" s="24"/>
      <c r="H20" s="107"/>
      <c r="I20" s="24"/>
      <c r="J20" s="35">
        <f t="shared" si="1"/>
        <v>0</v>
      </c>
      <c r="K20" s="35">
        <f t="shared" si="2"/>
        <v>0</v>
      </c>
      <c r="L20" s="35">
        <f t="shared" si="3"/>
        <v>0</v>
      </c>
      <c r="M20" s="33" t="str">
        <f t="shared" si="4"/>
        <v/>
      </c>
    </row>
    <row r="21" spans="1:13" x14ac:dyDescent="0.2">
      <c r="A21" s="20" t="s">
        <v>1150</v>
      </c>
      <c r="B21" s="20" t="s">
        <v>25</v>
      </c>
      <c r="C21" s="21">
        <f t="shared" si="0"/>
        <v>2</v>
      </c>
      <c r="D21" s="20" t="s">
        <v>1151</v>
      </c>
      <c r="E21" s="20" t="s">
        <v>1017</v>
      </c>
      <c r="F21" s="106">
        <v>270</v>
      </c>
      <c r="G21" s="24"/>
      <c r="H21" s="107"/>
      <c r="I21" s="24"/>
      <c r="J21" s="35">
        <f t="shared" si="1"/>
        <v>0</v>
      </c>
      <c r="K21" s="35">
        <f t="shared" si="2"/>
        <v>0</v>
      </c>
      <c r="L21" s="35">
        <f t="shared" si="3"/>
        <v>0</v>
      </c>
      <c r="M21" s="33" t="str">
        <f t="shared" si="4"/>
        <v/>
      </c>
    </row>
    <row r="22" spans="1:13" x14ac:dyDescent="0.2">
      <c r="A22" s="20" t="s">
        <v>1152</v>
      </c>
      <c r="B22" s="20" t="s">
        <v>25</v>
      </c>
      <c r="C22" s="21">
        <f t="shared" si="0"/>
        <v>2</v>
      </c>
      <c r="D22" s="20" t="s">
        <v>1153</v>
      </c>
      <c r="E22" s="20" t="s">
        <v>1154</v>
      </c>
      <c r="F22" s="106">
        <v>1</v>
      </c>
      <c r="G22" s="24"/>
      <c r="H22" s="107"/>
      <c r="I22" s="24"/>
      <c r="J22" s="35">
        <f t="shared" si="1"/>
        <v>0</v>
      </c>
      <c r="K22" s="35">
        <f t="shared" si="2"/>
        <v>0</v>
      </c>
      <c r="L22" s="35">
        <f t="shared" si="3"/>
        <v>0</v>
      </c>
      <c r="M22" s="33" t="str">
        <f t="shared" si="4"/>
        <v/>
      </c>
    </row>
    <row r="23" spans="1:13" x14ac:dyDescent="0.2">
      <c r="A23" s="20" t="s">
        <v>1155</v>
      </c>
      <c r="B23" s="20" t="s">
        <v>25</v>
      </c>
      <c r="C23" s="21">
        <f t="shared" si="0"/>
        <v>2</v>
      </c>
      <c r="D23" s="20" t="s">
        <v>1156</v>
      </c>
      <c r="E23" s="20" t="s">
        <v>1154</v>
      </c>
      <c r="F23" s="106">
        <v>1</v>
      </c>
      <c r="G23" s="24"/>
      <c r="H23" s="107"/>
      <c r="I23" s="24"/>
      <c r="J23" s="35">
        <f t="shared" si="1"/>
        <v>0</v>
      </c>
      <c r="K23" s="35">
        <f t="shared" si="2"/>
        <v>0</v>
      </c>
      <c r="L23" s="35">
        <f t="shared" si="3"/>
        <v>0</v>
      </c>
      <c r="M23" s="33" t="str">
        <f t="shared" si="4"/>
        <v/>
      </c>
    </row>
    <row r="24" spans="1:13" x14ac:dyDescent="0.2">
      <c r="A24" s="20" t="s">
        <v>1157</v>
      </c>
      <c r="B24" s="20" t="s">
        <v>25</v>
      </c>
      <c r="C24" s="21">
        <f t="shared" si="0"/>
        <v>2</v>
      </c>
      <c r="D24" s="20" t="s">
        <v>1158</v>
      </c>
      <c r="E24" s="20" t="s">
        <v>1154</v>
      </c>
      <c r="F24" s="106">
        <v>1</v>
      </c>
      <c r="G24" s="24"/>
      <c r="H24" s="107"/>
      <c r="I24" s="24"/>
      <c r="J24" s="35">
        <f t="shared" si="1"/>
        <v>0</v>
      </c>
      <c r="K24" s="35">
        <f t="shared" si="2"/>
        <v>0</v>
      </c>
      <c r="L24" s="35">
        <f t="shared" si="3"/>
        <v>0</v>
      </c>
      <c r="M24" s="33" t="str">
        <f t="shared" si="4"/>
        <v/>
      </c>
    </row>
    <row r="25" spans="1:13" x14ac:dyDescent="0.2">
      <c r="A25" s="20" t="s">
        <v>1159</v>
      </c>
      <c r="B25" s="20" t="s">
        <v>25</v>
      </c>
      <c r="C25" s="21">
        <f t="shared" si="0"/>
        <v>2</v>
      </c>
      <c r="D25" s="20" t="s">
        <v>1160</v>
      </c>
      <c r="E25" s="20" t="s">
        <v>1154</v>
      </c>
      <c r="F25" s="106">
        <v>2</v>
      </c>
      <c r="G25" s="24"/>
      <c r="H25" s="107"/>
      <c r="I25" s="24"/>
      <c r="J25" s="35">
        <f t="shared" si="1"/>
        <v>0</v>
      </c>
      <c r="K25" s="35">
        <f t="shared" si="2"/>
        <v>0</v>
      </c>
      <c r="L25" s="35">
        <f t="shared" si="3"/>
        <v>0</v>
      </c>
      <c r="M25" s="33" t="str">
        <f t="shared" si="4"/>
        <v/>
      </c>
    </row>
    <row r="26" spans="1:13" x14ac:dyDescent="0.2">
      <c r="A26" s="25" t="s">
        <v>1161</v>
      </c>
      <c r="B26" s="25" t="s">
        <v>25</v>
      </c>
      <c r="C26" s="26">
        <f t="shared" si="0"/>
        <v>2</v>
      </c>
      <c r="D26" s="25" t="s">
        <v>1162</v>
      </c>
      <c r="E26" s="25" t="s">
        <v>1154</v>
      </c>
      <c r="F26" s="108">
        <v>1</v>
      </c>
      <c r="G26" s="29"/>
      <c r="H26" s="109"/>
      <c r="I26" s="29"/>
      <c r="J26" s="38">
        <f t="shared" si="1"/>
        <v>0</v>
      </c>
      <c r="K26" s="38">
        <f t="shared" si="2"/>
        <v>0</v>
      </c>
      <c r="L26" s="38">
        <f t="shared" si="3"/>
        <v>0</v>
      </c>
      <c r="M26" s="36" t="str">
        <f t="shared" si="4"/>
        <v/>
      </c>
    </row>
    <row r="27" spans="1:13" x14ac:dyDescent="0.2">
      <c r="A27" s="40" t="s">
        <v>176</v>
      </c>
      <c r="B27" s="41"/>
      <c r="C27" s="41"/>
      <c r="D27" s="41"/>
      <c r="E27" s="41"/>
      <c r="F27" s="41"/>
      <c r="G27" s="41"/>
      <c r="H27" s="41"/>
      <c r="I27" s="41"/>
      <c r="J27" s="41"/>
      <c r="K27" s="43">
        <f>SUM(K6:K26)</f>
        <v>0</v>
      </c>
      <c r="L27" s="98">
        <f t="shared" si="3"/>
        <v>0</v>
      </c>
      <c r="M27" s="42">
        <f>SUM(M6:M26)</f>
        <v>0</v>
      </c>
    </row>
    <row r="29" spans="1:13" x14ac:dyDescent="0.2">
      <c r="A29" s="40" t="s">
        <v>1163</v>
      </c>
      <c r="B29" s="41"/>
      <c r="C29" s="41"/>
      <c r="D29" s="41"/>
      <c r="E29" s="41"/>
      <c r="F29" s="41"/>
      <c r="G29" s="41"/>
      <c r="H29" s="41"/>
      <c r="I29" s="41"/>
      <c r="J29" s="41"/>
      <c r="K29" s="43">
        <f>prijsjaarglas1</f>
        <v>0</v>
      </c>
      <c r="L29" s="98">
        <f>K29/12</f>
        <v>0</v>
      </c>
      <c r="M29" s="42">
        <f>urenjaarglas1</f>
        <v>0</v>
      </c>
    </row>
  </sheetData>
  <sheetProtection algorithmName="SHA-512" hashValue="vIoPVx82r7TK2RoatGEQh6Dnzy1DMpMoBLCe4ENd32I70012ENRY3Q1htN9Mb56t6oOtRJxAwvkYgCpNiXfGsw==" saltValue="tw+2b0Pj9XOBEQ83uH7+5w==" spinCount="100000" sheet="1" objects="1" scenarios="1" autoFilter="0"/>
  <pageMargins left="0.7" right="0.7" top="0.75" bottom="0.75" header="0.3" footer="0.3"/>
  <pageSetup scale="65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CEC81-17B6-4A15-8CC8-823FC1E9E53C}">
  <dimension ref="A1:R42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2" width="30.625" customWidth="1"/>
    <col min="3" max="3" width="7.625" customWidth="1"/>
    <col min="4" max="4" width="10.625" customWidth="1"/>
    <col min="5" max="5" width="25.625" customWidth="1"/>
    <col min="6" max="6" width="7.625" customWidth="1"/>
    <col min="7" max="7" width="6.625" customWidth="1"/>
    <col min="8" max="8" width="8.625" customWidth="1"/>
    <col min="9" max="9" width="40.625" customWidth="1"/>
    <col min="10" max="11" width="10.625" customWidth="1"/>
    <col min="12" max="12" width="11.625" customWidth="1"/>
    <col min="13" max="13" width="9.625" customWidth="1"/>
    <col min="14" max="16" width="11.625" customWidth="1"/>
    <col min="17" max="17" width="12.625" customWidth="1"/>
    <col min="18" max="18" width="14.625" customWidth="1"/>
  </cols>
  <sheetData>
    <row r="1" spans="1:18" x14ac:dyDescent="0.2">
      <c r="A1" s="1" t="str">
        <f>CONCATENATE("Bijlage H.12: ",tabeltype," glas werkdag")</f>
        <v>Bijlage H.12: Invultabel glas werkdag</v>
      </c>
    </row>
    <row r="3" spans="1:18" ht="38.25" x14ac:dyDescent="0.2">
      <c r="A3" s="47" t="s">
        <v>179</v>
      </c>
      <c r="B3" s="8" t="s">
        <v>180</v>
      </c>
      <c r="C3" s="8" t="s">
        <v>181</v>
      </c>
      <c r="D3" s="8" t="s">
        <v>182</v>
      </c>
      <c r="E3" s="8" t="s">
        <v>183</v>
      </c>
      <c r="F3" s="8" t="s">
        <v>124</v>
      </c>
      <c r="G3" s="8" t="s">
        <v>7</v>
      </c>
      <c r="H3" s="8" t="s">
        <v>185</v>
      </c>
      <c r="I3" s="8" t="s">
        <v>1164</v>
      </c>
      <c r="J3" s="8" t="s">
        <v>126</v>
      </c>
      <c r="K3" s="8" t="s">
        <v>127</v>
      </c>
      <c r="L3" s="8" t="s">
        <v>33</v>
      </c>
      <c r="M3" s="8" t="s">
        <v>35</v>
      </c>
      <c r="N3" s="8" t="s">
        <v>36</v>
      </c>
      <c r="O3" s="8" t="s">
        <v>128</v>
      </c>
      <c r="P3" s="8" t="s">
        <v>129</v>
      </c>
      <c r="Q3" s="8" t="s">
        <v>130</v>
      </c>
      <c r="R3" s="48" t="s">
        <v>131</v>
      </c>
    </row>
    <row r="4" spans="1:18" x14ac:dyDescent="0.2">
      <c r="A4" s="49" t="s">
        <v>186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9"/>
    </row>
    <row r="5" spans="1:18" x14ac:dyDescent="0.2">
      <c r="A5" s="50" t="s">
        <v>187</v>
      </c>
      <c r="B5" s="51" t="s">
        <v>688</v>
      </c>
      <c r="C5" s="51" t="s">
        <v>1165</v>
      </c>
      <c r="D5" s="51" t="s">
        <v>688</v>
      </c>
      <c r="E5" s="52" t="s">
        <v>1166</v>
      </c>
      <c r="F5" s="51" t="s">
        <v>1120</v>
      </c>
      <c r="G5" s="51" t="s">
        <v>25</v>
      </c>
      <c r="H5" s="51" t="s">
        <v>1167</v>
      </c>
      <c r="I5" s="52" t="s">
        <v>1121</v>
      </c>
      <c r="J5" s="53">
        <v>47</v>
      </c>
      <c r="K5" s="53">
        <f t="shared" ref="K5:K20" si="0">J5*VLOOKUP(G5,dagsoorttabel1,2,FALSE)</f>
        <v>0.36862745098039218</v>
      </c>
      <c r="L5" s="54"/>
      <c r="M5" s="51" t="s">
        <v>1168</v>
      </c>
      <c r="N5" s="55">
        <f>uurtarief1</f>
        <v>0</v>
      </c>
      <c r="O5" s="53" t="s">
        <v>1169</v>
      </c>
      <c r="P5" s="55">
        <f t="shared" ref="P5:P20" si="1">ROUND(N5,2)*K5</f>
        <v>0</v>
      </c>
      <c r="Q5" s="53"/>
      <c r="R5" s="56">
        <f t="shared" ref="R5:R20" si="2">P5*dagenperjaar1</f>
        <v>0</v>
      </c>
    </row>
    <row r="6" spans="1:18" x14ac:dyDescent="0.2">
      <c r="A6" s="57" t="s">
        <v>187</v>
      </c>
      <c r="B6" s="58" t="s">
        <v>688</v>
      </c>
      <c r="C6" s="58" t="s">
        <v>1165</v>
      </c>
      <c r="D6" s="58" t="s">
        <v>688</v>
      </c>
      <c r="E6" s="59" t="s">
        <v>1170</v>
      </c>
      <c r="F6" s="58" t="s">
        <v>1124</v>
      </c>
      <c r="G6" s="58" t="s">
        <v>25</v>
      </c>
      <c r="H6" s="58" t="s">
        <v>1167</v>
      </c>
      <c r="I6" s="59" t="s">
        <v>1125</v>
      </c>
      <c r="J6" s="60">
        <v>727</v>
      </c>
      <c r="K6" s="60">
        <f t="shared" si="0"/>
        <v>5.7019607843137257</v>
      </c>
      <c r="L6" s="61"/>
      <c r="M6" s="58" t="s">
        <v>1168</v>
      </c>
      <c r="N6" s="62">
        <f>uurtarief3</f>
        <v>0</v>
      </c>
      <c r="O6" s="60" t="s">
        <v>1169</v>
      </c>
      <c r="P6" s="62">
        <f t="shared" si="1"/>
        <v>0</v>
      </c>
      <c r="Q6" s="60"/>
      <c r="R6" s="63">
        <f t="shared" si="2"/>
        <v>0</v>
      </c>
    </row>
    <row r="7" spans="1:18" x14ac:dyDescent="0.2">
      <c r="A7" s="57" t="s">
        <v>187</v>
      </c>
      <c r="B7" s="58" t="s">
        <v>688</v>
      </c>
      <c r="C7" s="58" t="s">
        <v>1165</v>
      </c>
      <c r="D7" s="58" t="s">
        <v>688</v>
      </c>
      <c r="E7" s="59" t="s">
        <v>1170</v>
      </c>
      <c r="F7" s="58" t="s">
        <v>1155</v>
      </c>
      <c r="G7" s="58" t="s">
        <v>25</v>
      </c>
      <c r="H7" s="58" t="s">
        <v>1167</v>
      </c>
      <c r="I7" s="59" t="s">
        <v>1156</v>
      </c>
      <c r="J7" s="60">
        <v>1</v>
      </c>
      <c r="K7" s="60">
        <f t="shared" si="0"/>
        <v>7.8431372549019607E-3</v>
      </c>
      <c r="L7" s="61"/>
      <c r="M7" s="58" t="s">
        <v>1171</v>
      </c>
      <c r="N7" s="62">
        <f>uurtarief17</f>
        <v>0</v>
      </c>
      <c r="O7" s="60" t="s">
        <v>1169</v>
      </c>
      <c r="P7" s="62">
        <f t="shared" si="1"/>
        <v>0</v>
      </c>
      <c r="Q7" s="60"/>
      <c r="R7" s="63">
        <f t="shared" si="2"/>
        <v>0</v>
      </c>
    </row>
    <row r="8" spans="1:18" ht="25.5" x14ac:dyDescent="0.2">
      <c r="A8" s="57" t="s">
        <v>187</v>
      </c>
      <c r="B8" s="58" t="s">
        <v>188</v>
      </c>
      <c r="C8" s="58" t="s">
        <v>1165</v>
      </c>
      <c r="D8" s="58" t="s">
        <v>688</v>
      </c>
      <c r="E8" s="59" t="s">
        <v>1172</v>
      </c>
      <c r="F8" s="58" t="s">
        <v>1120</v>
      </c>
      <c r="G8" s="58" t="s">
        <v>25</v>
      </c>
      <c r="H8" s="58" t="s">
        <v>1167</v>
      </c>
      <c r="I8" s="59" t="s">
        <v>1121</v>
      </c>
      <c r="J8" s="60">
        <v>768</v>
      </c>
      <c r="K8" s="60">
        <f t="shared" si="0"/>
        <v>6.0235294117647058</v>
      </c>
      <c r="L8" s="61"/>
      <c r="M8" s="58" t="s">
        <v>1168</v>
      </c>
      <c r="N8" s="62">
        <f>uurtarief1</f>
        <v>0</v>
      </c>
      <c r="O8" s="60" t="s">
        <v>1169</v>
      </c>
      <c r="P8" s="62">
        <f t="shared" si="1"/>
        <v>0</v>
      </c>
      <c r="Q8" s="60"/>
      <c r="R8" s="63">
        <f t="shared" si="2"/>
        <v>0</v>
      </c>
    </row>
    <row r="9" spans="1:18" ht="25.5" x14ac:dyDescent="0.2">
      <c r="A9" s="57" t="s">
        <v>187</v>
      </c>
      <c r="B9" s="58" t="s">
        <v>188</v>
      </c>
      <c r="C9" s="58" t="s">
        <v>1165</v>
      </c>
      <c r="D9" s="58" t="s">
        <v>688</v>
      </c>
      <c r="E9" s="59" t="s">
        <v>1172</v>
      </c>
      <c r="F9" s="58" t="s">
        <v>1126</v>
      </c>
      <c r="G9" s="58" t="s">
        <v>25</v>
      </c>
      <c r="H9" s="58" t="s">
        <v>1167</v>
      </c>
      <c r="I9" s="59" t="s">
        <v>1127</v>
      </c>
      <c r="J9" s="60">
        <v>125</v>
      </c>
      <c r="K9" s="60">
        <f t="shared" si="0"/>
        <v>0.98039215686274506</v>
      </c>
      <c r="L9" s="61"/>
      <c r="M9" s="58" t="s">
        <v>1168</v>
      </c>
      <c r="N9" s="62">
        <f>uurtarief4</f>
        <v>0</v>
      </c>
      <c r="O9" s="60" t="s">
        <v>1169</v>
      </c>
      <c r="P9" s="62">
        <f t="shared" si="1"/>
        <v>0</v>
      </c>
      <c r="Q9" s="60"/>
      <c r="R9" s="63">
        <f t="shared" si="2"/>
        <v>0</v>
      </c>
    </row>
    <row r="10" spans="1:18" ht="25.5" x14ac:dyDescent="0.2">
      <c r="A10" s="57" t="s">
        <v>187</v>
      </c>
      <c r="B10" s="58" t="s">
        <v>188</v>
      </c>
      <c r="C10" s="58" t="s">
        <v>1165</v>
      </c>
      <c r="D10" s="58" t="s">
        <v>688</v>
      </c>
      <c r="E10" s="59" t="s">
        <v>1172</v>
      </c>
      <c r="F10" s="58" t="s">
        <v>1132</v>
      </c>
      <c r="G10" s="58" t="s">
        <v>25</v>
      </c>
      <c r="H10" s="58" t="s">
        <v>1167</v>
      </c>
      <c r="I10" s="59" t="s">
        <v>1133</v>
      </c>
      <c r="J10" s="60">
        <v>35.5</v>
      </c>
      <c r="K10" s="60">
        <f t="shared" si="0"/>
        <v>0.27843137254901962</v>
      </c>
      <c r="L10" s="61"/>
      <c r="M10" s="58" t="s">
        <v>1168</v>
      </c>
      <c r="N10" s="62">
        <f>uurtarief7</f>
        <v>0</v>
      </c>
      <c r="O10" s="60" t="s">
        <v>1169</v>
      </c>
      <c r="P10" s="62">
        <f t="shared" si="1"/>
        <v>0</v>
      </c>
      <c r="Q10" s="60"/>
      <c r="R10" s="63">
        <f t="shared" si="2"/>
        <v>0</v>
      </c>
    </row>
    <row r="11" spans="1:18" x14ac:dyDescent="0.2">
      <c r="A11" s="57" t="s">
        <v>187</v>
      </c>
      <c r="B11" s="58" t="s">
        <v>188</v>
      </c>
      <c r="C11" s="58" t="s">
        <v>1165</v>
      </c>
      <c r="D11" s="58" t="s">
        <v>688</v>
      </c>
      <c r="E11" s="59" t="s">
        <v>1173</v>
      </c>
      <c r="F11" s="58" t="s">
        <v>1122</v>
      </c>
      <c r="G11" s="58" t="s">
        <v>25</v>
      </c>
      <c r="H11" s="58" t="s">
        <v>1167</v>
      </c>
      <c r="I11" s="59" t="s">
        <v>1123</v>
      </c>
      <c r="J11" s="60">
        <v>768</v>
      </c>
      <c r="K11" s="60">
        <f t="shared" si="0"/>
        <v>6.0235294117647058</v>
      </c>
      <c r="L11" s="61"/>
      <c r="M11" s="58" t="s">
        <v>1168</v>
      </c>
      <c r="N11" s="62">
        <f>uurtarief2</f>
        <v>0</v>
      </c>
      <c r="O11" s="60" t="s">
        <v>1169</v>
      </c>
      <c r="P11" s="62">
        <f t="shared" si="1"/>
        <v>0</v>
      </c>
      <c r="Q11" s="60"/>
      <c r="R11" s="63">
        <f t="shared" si="2"/>
        <v>0</v>
      </c>
    </row>
    <row r="12" spans="1:18" x14ac:dyDescent="0.2">
      <c r="A12" s="57" t="s">
        <v>187</v>
      </c>
      <c r="B12" s="58" t="s">
        <v>188</v>
      </c>
      <c r="C12" s="58" t="s">
        <v>1165</v>
      </c>
      <c r="D12" s="58" t="s">
        <v>688</v>
      </c>
      <c r="E12" s="59" t="s">
        <v>1173</v>
      </c>
      <c r="F12" s="58" t="s">
        <v>1128</v>
      </c>
      <c r="G12" s="58" t="s">
        <v>25</v>
      </c>
      <c r="H12" s="58" t="s">
        <v>1167</v>
      </c>
      <c r="I12" s="59" t="s">
        <v>1129</v>
      </c>
      <c r="J12" s="60">
        <v>125</v>
      </c>
      <c r="K12" s="60">
        <f t="shared" si="0"/>
        <v>0.98039215686274506</v>
      </c>
      <c r="L12" s="61"/>
      <c r="M12" s="58" t="s">
        <v>1168</v>
      </c>
      <c r="N12" s="62">
        <f>uurtarief5</f>
        <v>0</v>
      </c>
      <c r="O12" s="60" t="s">
        <v>1169</v>
      </c>
      <c r="P12" s="62">
        <f t="shared" si="1"/>
        <v>0</v>
      </c>
      <c r="Q12" s="60"/>
      <c r="R12" s="63">
        <f t="shared" si="2"/>
        <v>0</v>
      </c>
    </row>
    <row r="13" spans="1:18" x14ac:dyDescent="0.2">
      <c r="A13" s="57" t="s">
        <v>187</v>
      </c>
      <c r="B13" s="58" t="s">
        <v>188</v>
      </c>
      <c r="C13" s="58" t="s">
        <v>1165</v>
      </c>
      <c r="D13" s="58" t="s">
        <v>688</v>
      </c>
      <c r="E13" s="59" t="s">
        <v>1173</v>
      </c>
      <c r="F13" s="58" t="s">
        <v>1134</v>
      </c>
      <c r="G13" s="58" t="s">
        <v>25</v>
      </c>
      <c r="H13" s="58" t="s">
        <v>1167</v>
      </c>
      <c r="I13" s="59" t="s">
        <v>1135</v>
      </c>
      <c r="J13" s="60">
        <v>35.5</v>
      </c>
      <c r="K13" s="60">
        <f t="shared" si="0"/>
        <v>0.27843137254901962</v>
      </c>
      <c r="L13" s="61"/>
      <c r="M13" s="58" t="s">
        <v>1168</v>
      </c>
      <c r="N13" s="62">
        <f>uurtarief8</f>
        <v>0</v>
      </c>
      <c r="O13" s="60" t="s">
        <v>1169</v>
      </c>
      <c r="P13" s="62">
        <f t="shared" si="1"/>
        <v>0</v>
      </c>
      <c r="Q13" s="60"/>
      <c r="R13" s="63">
        <f t="shared" si="2"/>
        <v>0</v>
      </c>
    </row>
    <row r="14" spans="1:18" x14ac:dyDescent="0.2">
      <c r="A14" s="57" t="s">
        <v>187</v>
      </c>
      <c r="B14" s="58" t="s">
        <v>188</v>
      </c>
      <c r="C14" s="58" t="s">
        <v>1165</v>
      </c>
      <c r="D14" s="58" t="s">
        <v>688</v>
      </c>
      <c r="E14" s="59" t="s">
        <v>1174</v>
      </c>
      <c r="F14" s="58" t="s">
        <v>1136</v>
      </c>
      <c r="G14" s="58" t="s">
        <v>25</v>
      </c>
      <c r="H14" s="58" t="s">
        <v>1167</v>
      </c>
      <c r="I14" s="59" t="s">
        <v>1137</v>
      </c>
      <c r="J14" s="60">
        <v>85</v>
      </c>
      <c r="K14" s="60">
        <f t="shared" si="0"/>
        <v>0.66666666666666663</v>
      </c>
      <c r="L14" s="61"/>
      <c r="M14" s="58" t="s">
        <v>1168</v>
      </c>
      <c r="N14" s="62">
        <f>uurtarief9</f>
        <v>0</v>
      </c>
      <c r="O14" s="60" t="s">
        <v>1169</v>
      </c>
      <c r="P14" s="62">
        <f t="shared" si="1"/>
        <v>0</v>
      </c>
      <c r="Q14" s="60"/>
      <c r="R14" s="63">
        <f t="shared" si="2"/>
        <v>0</v>
      </c>
    </row>
    <row r="15" spans="1:18" x14ac:dyDescent="0.2">
      <c r="A15" s="57" t="s">
        <v>187</v>
      </c>
      <c r="B15" s="58" t="s">
        <v>188</v>
      </c>
      <c r="C15" s="58" t="s">
        <v>1165</v>
      </c>
      <c r="D15" s="58" t="s">
        <v>688</v>
      </c>
      <c r="E15" s="59" t="s">
        <v>1174</v>
      </c>
      <c r="F15" s="58" t="s">
        <v>1138</v>
      </c>
      <c r="G15" s="58" t="s">
        <v>25</v>
      </c>
      <c r="H15" s="58" t="s">
        <v>1167</v>
      </c>
      <c r="I15" s="59" t="s">
        <v>1139</v>
      </c>
      <c r="J15" s="60">
        <v>85</v>
      </c>
      <c r="K15" s="60">
        <f t="shared" si="0"/>
        <v>0.66666666666666663</v>
      </c>
      <c r="L15" s="61"/>
      <c r="M15" s="58" t="s">
        <v>1168</v>
      </c>
      <c r="N15" s="62">
        <f>uurtarief10</f>
        <v>0</v>
      </c>
      <c r="O15" s="60" t="s">
        <v>1169</v>
      </c>
      <c r="P15" s="62">
        <f t="shared" si="1"/>
        <v>0</v>
      </c>
      <c r="Q15" s="60"/>
      <c r="R15" s="63">
        <f t="shared" si="2"/>
        <v>0</v>
      </c>
    </row>
    <row r="16" spans="1:18" ht="25.5" x14ac:dyDescent="0.2">
      <c r="A16" s="57" t="s">
        <v>187</v>
      </c>
      <c r="B16" s="58" t="s">
        <v>378</v>
      </c>
      <c r="C16" s="58" t="s">
        <v>1165</v>
      </c>
      <c r="D16" s="58" t="s">
        <v>688</v>
      </c>
      <c r="E16" s="59" t="s">
        <v>1175</v>
      </c>
      <c r="F16" s="58" t="s">
        <v>1120</v>
      </c>
      <c r="G16" s="58" t="s">
        <v>25</v>
      </c>
      <c r="H16" s="58" t="s">
        <v>1167</v>
      </c>
      <c r="I16" s="59" t="s">
        <v>1121</v>
      </c>
      <c r="J16" s="60">
        <v>761</v>
      </c>
      <c r="K16" s="60">
        <f t="shared" si="0"/>
        <v>5.9686274509803923</v>
      </c>
      <c r="L16" s="61"/>
      <c r="M16" s="58" t="s">
        <v>1168</v>
      </c>
      <c r="N16" s="62">
        <f>uurtarief1</f>
        <v>0</v>
      </c>
      <c r="O16" s="60" t="s">
        <v>1169</v>
      </c>
      <c r="P16" s="62">
        <f t="shared" si="1"/>
        <v>0</v>
      </c>
      <c r="Q16" s="60"/>
      <c r="R16" s="63">
        <f t="shared" si="2"/>
        <v>0</v>
      </c>
    </row>
    <row r="17" spans="1:18" x14ac:dyDescent="0.2">
      <c r="A17" s="57" t="s">
        <v>187</v>
      </c>
      <c r="B17" s="58" t="s">
        <v>378</v>
      </c>
      <c r="C17" s="58" t="s">
        <v>1165</v>
      </c>
      <c r="D17" s="58" t="s">
        <v>688</v>
      </c>
      <c r="E17" s="59" t="s">
        <v>1176</v>
      </c>
      <c r="F17" s="58" t="s">
        <v>1122</v>
      </c>
      <c r="G17" s="58" t="s">
        <v>25</v>
      </c>
      <c r="H17" s="58" t="s">
        <v>1167</v>
      </c>
      <c r="I17" s="59" t="s">
        <v>1123</v>
      </c>
      <c r="J17" s="60">
        <v>761</v>
      </c>
      <c r="K17" s="60">
        <f t="shared" si="0"/>
        <v>5.9686274509803923</v>
      </c>
      <c r="L17" s="61"/>
      <c r="M17" s="58" t="s">
        <v>1168</v>
      </c>
      <c r="N17" s="62">
        <f>uurtarief2</f>
        <v>0</v>
      </c>
      <c r="O17" s="60" t="s">
        <v>1169</v>
      </c>
      <c r="P17" s="62">
        <f t="shared" si="1"/>
        <v>0</v>
      </c>
      <c r="Q17" s="60"/>
      <c r="R17" s="63">
        <f t="shared" si="2"/>
        <v>0</v>
      </c>
    </row>
    <row r="18" spans="1:18" ht="25.5" x14ac:dyDescent="0.2">
      <c r="A18" s="57" t="s">
        <v>187</v>
      </c>
      <c r="B18" s="58" t="s">
        <v>420</v>
      </c>
      <c r="C18" s="58" t="s">
        <v>1165</v>
      </c>
      <c r="D18" s="58" t="s">
        <v>688</v>
      </c>
      <c r="E18" s="59" t="s">
        <v>1177</v>
      </c>
      <c r="F18" s="58" t="s">
        <v>1120</v>
      </c>
      <c r="G18" s="58" t="s">
        <v>25</v>
      </c>
      <c r="H18" s="58" t="s">
        <v>1167</v>
      </c>
      <c r="I18" s="59" t="s">
        <v>1121</v>
      </c>
      <c r="J18" s="60">
        <v>756</v>
      </c>
      <c r="K18" s="60">
        <f t="shared" si="0"/>
        <v>5.9294117647058826</v>
      </c>
      <c r="L18" s="61"/>
      <c r="M18" s="58" t="s">
        <v>1168</v>
      </c>
      <c r="N18" s="62">
        <f>uurtarief1</f>
        <v>0</v>
      </c>
      <c r="O18" s="60" t="s">
        <v>1169</v>
      </c>
      <c r="P18" s="62">
        <f t="shared" si="1"/>
        <v>0</v>
      </c>
      <c r="Q18" s="60"/>
      <c r="R18" s="63">
        <f t="shared" si="2"/>
        <v>0</v>
      </c>
    </row>
    <row r="19" spans="1:18" ht="25.5" x14ac:dyDescent="0.2">
      <c r="A19" s="57" t="s">
        <v>187</v>
      </c>
      <c r="B19" s="58" t="s">
        <v>420</v>
      </c>
      <c r="C19" s="58" t="s">
        <v>1165</v>
      </c>
      <c r="D19" s="58" t="s">
        <v>688</v>
      </c>
      <c r="E19" s="59" t="s">
        <v>1177</v>
      </c>
      <c r="F19" s="58" t="s">
        <v>1144</v>
      </c>
      <c r="G19" s="58" t="s">
        <v>25</v>
      </c>
      <c r="H19" s="58" t="s">
        <v>1167</v>
      </c>
      <c r="I19" s="59" t="s">
        <v>1145</v>
      </c>
      <c r="J19" s="60">
        <v>28</v>
      </c>
      <c r="K19" s="60">
        <f t="shared" si="0"/>
        <v>0.2196078431372549</v>
      </c>
      <c r="L19" s="61"/>
      <c r="M19" s="58" t="s">
        <v>1168</v>
      </c>
      <c r="N19" s="62">
        <f>uurtarief13</f>
        <v>0</v>
      </c>
      <c r="O19" s="60" t="s">
        <v>1169</v>
      </c>
      <c r="P19" s="62">
        <f t="shared" si="1"/>
        <v>0</v>
      </c>
      <c r="Q19" s="60"/>
      <c r="R19" s="63">
        <f t="shared" si="2"/>
        <v>0</v>
      </c>
    </row>
    <row r="20" spans="1:18" x14ac:dyDescent="0.2">
      <c r="A20" s="64" t="s">
        <v>187</v>
      </c>
      <c r="B20" s="65" t="s">
        <v>420</v>
      </c>
      <c r="C20" s="65" t="s">
        <v>1165</v>
      </c>
      <c r="D20" s="65" t="s">
        <v>688</v>
      </c>
      <c r="E20" s="66" t="s">
        <v>1178</v>
      </c>
      <c r="F20" s="65" t="s">
        <v>1122</v>
      </c>
      <c r="G20" s="65" t="s">
        <v>25</v>
      </c>
      <c r="H20" s="65" t="s">
        <v>1167</v>
      </c>
      <c r="I20" s="66" t="s">
        <v>1123</v>
      </c>
      <c r="J20" s="67">
        <v>756</v>
      </c>
      <c r="K20" s="67">
        <f t="shared" si="0"/>
        <v>5.9294117647058826</v>
      </c>
      <c r="L20" s="68"/>
      <c r="M20" s="65" t="s">
        <v>1168</v>
      </c>
      <c r="N20" s="69">
        <f>uurtarief2</f>
        <v>0</v>
      </c>
      <c r="O20" s="67" t="s">
        <v>1169</v>
      </c>
      <c r="P20" s="69">
        <f t="shared" si="1"/>
        <v>0</v>
      </c>
      <c r="Q20" s="67"/>
      <c r="R20" s="70">
        <f t="shared" si="2"/>
        <v>0</v>
      </c>
    </row>
    <row r="21" spans="1:18" x14ac:dyDescent="0.2">
      <c r="A21" s="71" t="s">
        <v>484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3">
        <f>IF(object1_urenjaar1&gt;0,object1_prijsjaar1/object1_urenjaar1,0)</f>
        <v>0</v>
      </c>
      <c r="O21" s="42">
        <f>SUM(O5:O20)</f>
        <v>0</v>
      </c>
      <c r="P21" s="43">
        <f>SUM(P5:P20)</f>
        <v>0</v>
      </c>
      <c r="Q21" s="42">
        <f>SUM(Q5:Q20)</f>
        <v>0</v>
      </c>
      <c r="R21" s="44">
        <f>SUM(R5:R20)</f>
        <v>0</v>
      </c>
    </row>
    <row r="22" spans="1:18" x14ac:dyDescent="0.2">
      <c r="A22" s="49" t="s">
        <v>485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39"/>
    </row>
    <row r="23" spans="1:18" x14ac:dyDescent="0.2">
      <c r="A23" s="50" t="s">
        <v>486</v>
      </c>
      <c r="B23" s="51" t="s">
        <v>688</v>
      </c>
      <c r="C23" s="51" t="s">
        <v>1165</v>
      </c>
      <c r="D23" s="51" t="s">
        <v>688</v>
      </c>
      <c r="E23" s="52" t="s">
        <v>688</v>
      </c>
      <c r="F23" s="51" t="s">
        <v>1120</v>
      </c>
      <c r="G23" s="51" t="s">
        <v>25</v>
      </c>
      <c r="H23" s="51" t="s">
        <v>1167</v>
      </c>
      <c r="I23" s="52" t="s">
        <v>1121</v>
      </c>
      <c r="J23" s="53">
        <v>1612</v>
      </c>
      <c r="K23" s="53">
        <f t="shared" ref="K23:K28" si="3">J23*VLOOKUP(G23,dagsoorttabel1,2,FALSE)</f>
        <v>12.64313725490196</v>
      </c>
      <c r="L23" s="54"/>
      <c r="M23" s="51" t="s">
        <v>1168</v>
      </c>
      <c r="N23" s="55">
        <f>uurtarief1</f>
        <v>0</v>
      </c>
      <c r="O23" s="53" t="s">
        <v>1169</v>
      </c>
      <c r="P23" s="55">
        <f t="shared" ref="P23:P28" si="4">ROUND(N23,2)*K23</f>
        <v>0</v>
      </c>
      <c r="Q23" s="53"/>
      <c r="R23" s="56">
        <f t="shared" ref="R23:R28" si="5">P23*dagenperjaar1</f>
        <v>0</v>
      </c>
    </row>
    <row r="24" spans="1:18" x14ac:dyDescent="0.2">
      <c r="A24" s="57" t="s">
        <v>486</v>
      </c>
      <c r="B24" s="58" t="s">
        <v>688</v>
      </c>
      <c r="C24" s="58" t="s">
        <v>1165</v>
      </c>
      <c r="D24" s="58" t="s">
        <v>688</v>
      </c>
      <c r="E24" s="59" t="s">
        <v>688</v>
      </c>
      <c r="F24" s="58" t="s">
        <v>1122</v>
      </c>
      <c r="G24" s="58" t="s">
        <v>25</v>
      </c>
      <c r="H24" s="58" t="s">
        <v>1167</v>
      </c>
      <c r="I24" s="59" t="s">
        <v>1123</v>
      </c>
      <c r="J24" s="60">
        <v>1612</v>
      </c>
      <c r="K24" s="60">
        <f t="shared" si="3"/>
        <v>12.64313725490196</v>
      </c>
      <c r="L24" s="61"/>
      <c r="M24" s="58" t="s">
        <v>1168</v>
      </c>
      <c r="N24" s="62">
        <f>uurtarief2</f>
        <v>0</v>
      </c>
      <c r="O24" s="60" t="s">
        <v>1169</v>
      </c>
      <c r="P24" s="62">
        <f t="shared" si="4"/>
        <v>0</v>
      </c>
      <c r="Q24" s="60"/>
      <c r="R24" s="63">
        <f t="shared" si="5"/>
        <v>0</v>
      </c>
    </row>
    <row r="25" spans="1:18" x14ac:dyDescent="0.2">
      <c r="A25" s="57" t="s">
        <v>486</v>
      </c>
      <c r="B25" s="58" t="s">
        <v>688</v>
      </c>
      <c r="C25" s="58" t="s">
        <v>1165</v>
      </c>
      <c r="D25" s="58" t="s">
        <v>688</v>
      </c>
      <c r="E25" s="59" t="s">
        <v>688</v>
      </c>
      <c r="F25" s="58" t="s">
        <v>1124</v>
      </c>
      <c r="G25" s="58" t="s">
        <v>25</v>
      </c>
      <c r="H25" s="58" t="s">
        <v>1167</v>
      </c>
      <c r="I25" s="59" t="s">
        <v>1125</v>
      </c>
      <c r="J25" s="60">
        <v>585</v>
      </c>
      <c r="K25" s="60">
        <f t="shared" si="3"/>
        <v>4.5882352941176467</v>
      </c>
      <c r="L25" s="61"/>
      <c r="M25" s="58" t="s">
        <v>1168</v>
      </c>
      <c r="N25" s="62">
        <f>uurtarief3</f>
        <v>0</v>
      </c>
      <c r="O25" s="60" t="s">
        <v>1169</v>
      </c>
      <c r="P25" s="62">
        <f t="shared" si="4"/>
        <v>0</v>
      </c>
      <c r="Q25" s="60"/>
      <c r="R25" s="63">
        <f t="shared" si="5"/>
        <v>0</v>
      </c>
    </row>
    <row r="26" spans="1:18" ht="25.5" x14ac:dyDescent="0.2">
      <c r="A26" s="57" t="s">
        <v>486</v>
      </c>
      <c r="B26" s="58" t="s">
        <v>688</v>
      </c>
      <c r="C26" s="58" t="s">
        <v>1165</v>
      </c>
      <c r="D26" s="58" t="s">
        <v>688</v>
      </c>
      <c r="E26" s="59" t="s">
        <v>688</v>
      </c>
      <c r="F26" s="58" t="s">
        <v>1140</v>
      </c>
      <c r="G26" s="58" t="s">
        <v>25</v>
      </c>
      <c r="H26" s="58" t="s">
        <v>1167</v>
      </c>
      <c r="I26" s="59" t="s">
        <v>1141</v>
      </c>
      <c r="J26" s="60">
        <v>110</v>
      </c>
      <c r="K26" s="60">
        <f t="shared" si="3"/>
        <v>0.86274509803921573</v>
      </c>
      <c r="L26" s="61"/>
      <c r="M26" s="58" t="s">
        <v>1168</v>
      </c>
      <c r="N26" s="62">
        <f>uurtarief11</f>
        <v>0</v>
      </c>
      <c r="O26" s="60" t="s">
        <v>1169</v>
      </c>
      <c r="P26" s="62">
        <f t="shared" si="4"/>
        <v>0</v>
      </c>
      <c r="Q26" s="60"/>
      <c r="R26" s="63">
        <f t="shared" si="5"/>
        <v>0</v>
      </c>
    </row>
    <row r="27" spans="1:18" x14ac:dyDescent="0.2">
      <c r="A27" s="57" t="s">
        <v>486</v>
      </c>
      <c r="B27" s="58" t="s">
        <v>688</v>
      </c>
      <c r="C27" s="58" t="s">
        <v>1165</v>
      </c>
      <c r="D27" s="58" t="s">
        <v>688</v>
      </c>
      <c r="E27" s="59" t="s">
        <v>688</v>
      </c>
      <c r="F27" s="58" t="s">
        <v>1146</v>
      </c>
      <c r="G27" s="58" t="s">
        <v>25</v>
      </c>
      <c r="H27" s="58" t="s">
        <v>1167</v>
      </c>
      <c r="I27" s="59" t="s">
        <v>1147</v>
      </c>
      <c r="J27" s="60">
        <v>273</v>
      </c>
      <c r="K27" s="60">
        <f t="shared" si="3"/>
        <v>2.1411764705882352</v>
      </c>
      <c r="L27" s="61"/>
      <c r="M27" s="58" t="s">
        <v>1168</v>
      </c>
      <c r="N27" s="62">
        <f>uurtarief14</f>
        <v>0</v>
      </c>
      <c r="O27" s="60" t="s">
        <v>1169</v>
      </c>
      <c r="P27" s="62">
        <f t="shared" si="4"/>
        <v>0</v>
      </c>
      <c r="Q27" s="60"/>
      <c r="R27" s="63">
        <f t="shared" si="5"/>
        <v>0</v>
      </c>
    </row>
    <row r="28" spans="1:18" x14ac:dyDescent="0.2">
      <c r="A28" s="64" t="s">
        <v>486</v>
      </c>
      <c r="B28" s="65" t="s">
        <v>688</v>
      </c>
      <c r="C28" s="65" t="s">
        <v>1165</v>
      </c>
      <c r="D28" s="65" t="s">
        <v>688</v>
      </c>
      <c r="E28" s="66" t="s">
        <v>688</v>
      </c>
      <c r="F28" s="65" t="s">
        <v>1159</v>
      </c>
      <c r="G28" s="65" t="s">
        <v>25</v>
      </c>
      <c r="H28" s="65" t="s">
        <v>1167</v>
      </c>
      <c r="I28" s="66" t="s">
        <v>1160</v>
      </c>
      <c r="J28" s="67">
        <v>1</v>
      </c>
      <c r="K28" s="67">
        <f t="shared" si="3"/>
        <v>7.8431372549019607E-3</v>
      </c>
      <c r="L28" s="68"/>
      <c r="M28" s="65" t="s">
        <v>1171</v>
      </c>
      <c r="N28" s="69">
        <f>uurtarief19</f>
        <v>0</v>
      </c>
      <c r="O28" s="67" t="s">
        <v>1169</v>
      </c>
      <c r="P28" s="69">
        <f t="shared" si="4"/>
        <v>0</v>
      </c>
      <c r="Q28" s="67"/>
      <c r="R28" s="70">
        <f t="shared" si="5"/>
        <v>0</v>
      </c>
    </row>
    <row r="29" spans="1:18" x14ac:dyDescent="0.2">
      <c r="A29" s="71" t="s">
        <v>484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3">
        <f>IF(object2_urenjaar1&gt;0,object2_prijsjaar1/object2_urenjaar1,0)</f>
        <v>0</v>
      </c>
      <c r="O29" s="42">
        <f>SUM(O23:O28)</f>
        <v>0</v>
      </c>
      <c r="P29" s="43">
        <f>SUM(P23:P28)</f>
        <v>0</v>
      </c>
      <c r="Q29" s="42">
        <f>SUM(Q23:Q28)</f>
        <v>0</v>
      </c>
      <c r="R29" s="44">
        <f>SUM(R23:R28)</f>
        <v>0</v>
      </c>
    </row>
    <row r="30" spans="1:18" x14ac:dyDescent="0.2">
      <c r="A30" s="49" t="s">
        <v>686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39"/>
    </row>
    <row r="31" spans="1:18" x14ac:dyDescent="0.2">
      <c r="A31" s="50" t="s">
        <v>687</v>
      </c>
      <c r="B31" s="51" t="s">
        <v>688</v>
      </c>
      <c r="C31" s="51" t="s">
        <v>1165</v>
      </c>
      <c r="D31" s="51" t="s">
        <v>688</v>
      </c>
      <c r="E31" s="52" t="s">
        <v>1179</v>
      </c>
      <c r="F31" s="51" t="s">
        <v>1120</v>
      </c>
      <c r="G31" s="51" t="s">
        <v>25</v>
      </c>
      <c r="H31" s="51" t="s">
        <v>1167</v>
      </c>
      <c r="I31" s="52" t="s">
        <v>1121</v>
      </c>
      <c r="J31" s="53">
        <v>1912</v>
      </c>
      <c r="K31" s="53">
        <f t="shared" ref="K31:K41" si="6">J31*VLOOKUP(G31,dagsoorttabel1,2,FALSE)</f>
        <v>14.996078431372549</v>
      </c>
      <c r="L31" s="54"/>
      <c r="M31" s="51" t="s">
        <v>1168</v>
      </c>
      <c r="N31" s="55">
        <f>uurtarief1</f>
        <v>0</v>
      </c>
      <c r="O31" s="53" t="s">
        <v>1169</v>
      </c>
      <c r="P31" s="55">
        <f t="shared" ref="P31:P41" si="7">ROUND(N31,2)*K31</f>
        <v>0</v>
      </c>
      <c r="Q31" s="53"/>
      <c r="R31" s="56">
        <f t="shared" ref="R31:R41" si="8">P31*dagenperjaar1</f>
        <v>0</v>
      </c>
    </row>
    <row r="32" spans="1:18" x14ac:dyDescent="0.2">
      <c r="A32" s="57" t="s">
        <v>687</v>
      </c>
      <c r="B32" s="58" t="s">
        <v>688</v>
      </c>
      <c r="C32" s="58" t="s">
        <v>1165</v>
      </c>
      <c r="D32" s="58" t="s">
        <v>688</v>
      </c>
      <c r="E32" s="59" t="s">
        <v>1179</v>
      </c>
      <c r="F32" s="58" t="s">
        <v>1122</v>
      </c>
      <c r="G32" s="58" t="s">
        <v>25</v>
      </c>
      <c r="H32" s="58" t="s">
        <v>1167</v>
      </c>
      <c r="I32" s="59" t="s">
        <v>1123</v>
      </c>
      <c r="J32" s="60">
        <v>1912</v>
      </c>
      <c r="K32" s="60">
        <f t="shared" si="6"/>
        <v>14.996078431372549</v>
      </c>
      <c r="L32" s="61"/>
      <c r="M32" s="58" t="s">
        <v>1168</v>
      </c>
      <c r="N32" s="62">
        <f>uurtarief2</f>
        <v>0</v>
      </c>
      <c r="O32" s="60" t="s">
        <v>1169</v>
      </c>
      <c r="P32" s="62">
        <f t="shared" si="7"/>
        <v>0</v>
      </c>
      <c r="Q32" s="60"/>
      <c r="R32" s="63">
        <f t="shared" si="8"/>
        <v>0</v>
      </c>
    </row>
    <row r="33" spans="1:18" x14ac:dyDescent="0.2">
      <c r="A33" s="57" t="s">
        <v>687</v>
      </c>
      <c r="B33" s="58" t="s">
        <v>688</v>
      </c>
      <c r="C33" s="58" t="s">
        <v>1165</v>
      </c>
      <c r="D33" s="58" t="s">
        <v>688</v>
      </c>
      <c r="E33" s="59" t="s">
        <v>1179</v>
      </c>
      <c r="F33" s="58" t="s">
        <v>1124</v>
      </c>
      <c r="G33" s="58" t="s">
        <v>25</v>
      </c>
      <c r="H33" s="58" t="s">
        <v>1167</v>
      </c>
      <c r="I33" s="59" t="s">
        <v>1125</v>
      </c>
      <c r="J33" s="60">
        <v>1635</v>
      </c>
      <c r="K33" s="60">
        <f t="shared" si="6"/>
        <v>12.823529411764707</v>
      </c>
      <c r="L33" s="61"/>
      <c r="M33" s="58" t="s">
        <v>1168</v>
      </c>
      <c r="N33" s="62">
        <f>uurtarief3</f>
        <v>0</v>
      </c>
      <c r="O33" s="60" t="s">
        <v>1169</v>
      </c>
      <c r="P33" s="62">
        <f t="shared" si="7"/>
        <v>0</v>
      </c>
      <c r="Q33" s="60"/>
      <c r="R33" s="63">
        <f t="shared" si="8"/>
        <v>0</v>
      </c>
    </row>
    <row r="34" spans="1:18" x14ac:dyDescent="0.2">
      <c r="A34" s="57" t="s">
        <v>687</v>
      </c>
      <c r="B34" s="58" t="s">
        <v>688</v>
      </c>
      <c r="C34" s="58" t="s">
        <v>1165</v>
      </c>
      <c r="D34" s="58" t="s">
        <v>688</v>
      </c>
      <c r="E34" s="59" t="s">
        <v>1179</v>
      </c>
      <c r="F34" s="58" t="s">
        <v>1130</v>
      </c>
      <c r="G34" s="58" t="s">
        <v>25</v>
      </c>
      <c r="H34" s="58" t="s">
        <v>1167</v>
      </c>
      <c r="I34" s="59" t="s">
        <v>1131</v>
      </c>
      <c r="J34" s="60">
        <v>230</v>
      </c>
      <c r="K34" s="60">
        <f t="shared" si="6"/>
        <v>1.803921568627451</v>
      </c>
      <c r="L34" s="61"/>
      <c r="M34" s="58" t="s">
        <v>1168</v>
      </c>
      <c r="N34" s="62">
        <f>uurtarief6</f>
        <v>0</v>
      </c>
      <c r="O34" s="60" t="s">
        <v>1169</v>
      </c>
      <c r="P34" s="62">
        <f t="shared" si="7"/>
        <v>0</v>
      </c>
      <c r="Q34" s="60"/>
      <c r="R34" s="63">
        <f t="shared" si="8"/>
        <v>0</v>
      </c>
    </row>
    <row r="35" spans="1:18" ht="25.5" x14ac:dyDescent="0.2">
      <c r="A35" s="57" t="s">
        <v>687</v>
      </c>
      <c r="B35" s="58" t="s">
        <v>688</v>
      </c>
      <c r="C35" s="58" t="s">
        <v>1165</v>
      </c>
      <c r="D35" s="58" t="s">
        <v>688</v>
      </c>
      <c r="E35" s="59" t="s">
        <v>1179</v>
      </c>
      <c r="F35" s="58" t="s">
        <v>1140</v>
      </c>
      <c r="G35" s="58" t="s">
        <v>25</v>
      </c>
      <c r="H35" s="58" t="s">
        <v>1167</v>
      </c>
      <c r="I35" s="59" t="s">
        <v>1141</v>
      </c>
      <c r="J35" s="60">
        <v>712</v>
      </c>
      <c r="K35" s="60">
        <f t="shared" si="6"/>
        <v>5.5843137254901958</v>
      </c>
      <c r="L35" s="61"/>
      <c r="M35" s="58" t="s">
        <v>1168</v>
      </c>
      <c r="N35" s="62">
        <f>uurtarief11</f>
        <v>0</v>
      </c>
      <c r="O35" s="60" t="s">
        <v>1169</v>
      </c>
      <c r="P35" s="62">
        <f t="shared" si="7"/>
        <v>0</v>
      </c>
      <c r="Q35" s="60"/>
      <c r="R35" s="63">
        <f t="shared" si="8"/>
        <v>0</v>
      </c>
    </row>
    <row r="36" spans="1:18" ht="25.5" x14ac:dyDescent="0.2">
      <c r="A36" s="57" t="s">
        <v>687</v>
      </c>
      <c r="B36" s="58" t="s">
        <v>688</v>
      </c>
      <c r="C36" s="58" t="s">
        <v>1165</v>
      </c>
      <c r="D36" s="58" t="s">
        <v>688</v>
      </c>
      <c r="E36" s="59" t="s">
        <v>1179</v>
      </c>
      <c r="F36" s="58" t="s">
        <v>1142</v>
      </c>
      <c r="G36" s="58" t="s">
        <v>25</v>
      </c>
      <c r="H36" s="58" t="s">
        <v>1167</v>
      </c>
      <c r="I36" s="59" t="s">
        <v>1143</v>
      </c>
      <c r="J36" s="60">
        <v>1635</v>
      </c>
      <c r="K36" s="60">
        <f t="shared" si="6"/>
        <v>12.823529411764707</v>
      </c>
      <c r="L36" s="61"/>
      <c r="M36" s="58" t="s">
        <v>1168</v>
      </c>
      <c r="N36" s="62">
        <f>uurtarief12</f>
        <v>0</v>
      </c>
      <c r="O36" s="60" t="s">
        <v>1169</v>
      </c>
      <c r="P36" s="62">
        <f t="shared" si="7"/>
        <v>0</v>
      </c>
      <c r="Q36" s="60"/>
      <c r="R36" s="63">
        <f t="shared" si="8"/>
        <v>0</v>
      </c>
    </row>
    <row r="37" spans="1:18" x14ac:dyDescent="0.2">
      <c r="A37" s="57" t="s">
        <v>687</v>
      </c>
      <c r="B37" s="58" t="s">
        <v>688</v>
      </c>
      <c r="C37" s="58" t="s">
        <v>1165</v>
      </c>
      <c r="D37" s="58" t="s">
        <v>688</v>
      </c>
      <c r="E37" s="59" t="s">
        <v>1179</v>
      </c>
      <c r="F37" s="58" t="s">
        <v>1146</v>
      </c>
      <c r="G37" s="58" t="s">
        <v>25</v>
      </c>
      <c r="H37" s="58" t="s">
        <v>1167</v>
      </c>
      <c r="I37" s="59" t="s">
        <v>1147</v>
      </c>
      <c r="J37" s="60">
        <v>102</v>
      </c>
      <c r="K37" s="60">
        <f t="shared" si="6"/>
        <v>0.8</v>
      </c>
      <c r="L37" s="61"/>
      <c r="M37" s="58" t="s">
        <v>1168</v>
      </c>
      <c r="N37" s="62">
        <f>uurtarief14</f>
        <v>0</v>
      </c>
      <c r="O37" s="60" t="s">
        <v>1169</v>
      </c>
      <c r="P37" s="62">
        <f t="shared" si="7"/>
        <v>0</v>
      </c>
      <c r="Q37" s="60"/>
      <c r="R37" s="63">
        <f t="shared" si="8"/>
        <v>0</v>
      </c>
    </row>
    <row r="38" spans="1:18" x14ac:dyDescent="0.2">
      <c r="A38" s="57" t="s">
        <v>687</v>
      </c>
      <c r="B38" s="58" t="s">
        <v>688</v>
      </c>
      <c r="C38" s="58" t="s">
        <v>1165</v>
      </c>
      <c r="D38" s="58" t="s">
        <v>688</v>
      </c>
      <c r="E38" s="59" t="s">
        <v>1179</v>
      </c>
      <c r="F38" s="58" t="s">
        <v>1148</v>
      </c>
      <c r="G38" s="58" t="s">
        <v>25</v>
      </c>
      <c r="H38" s="58" t="s">
        <v>1167</v>
      </c>
      <c r="I38" s="59" t="s">
        <v>1149</v>
      </c>
      <c r="J38" s="60">
        <v>230</v>
      </c>
      <c r="K38" s="60">
        <f t="shared" si="6"/>
        <v>1.803921568627451</v>
      </c>
      <c r="L38" s="61"/>
      <c r="M38" s="58" t="s">
        <v>1168</v>
      </c>
      <c r="N38" s="62">
        <f>uurtarief15</f>
        <v>0</v>
      </c>
      <c r="O38" s="60" t="s">
        <v>1169</v>
      </c>
      <c r="P38" s="62">
        <f t="shared" si="7"/>
        <v>0</v>
      </c>
      <c r="Q38" s="60"/>
      <c r="R38" s="63">
        <f t="shared" si="8"/>
        <v>0</v>
      </c>
    </row>
    <row r="39" spans="1:18" x14ac:dyDescent="0.2">
      <c r="A39" s="57" t="s">
        <v>687</v>
      </c>
      <c r="B39" s="58" t="s">
        <v>688</v>
      </c>
      <c r="C39" s="58" t="s">
        <v>1165</v>
      </c>
      <c r="D39" s="58" t="s">
        <v>688</v>
      </c>
      <c r="E39" s="59" t="s">
        <v>1179</v>
      </c>
      <c r="F39" s="58" t="s">
        <v>1157</v>
      </c>
      <c r="G39" s="58" t="s">
        <v>25</v>
      </c>
      <c r="H39" s="58" t="s">
        <v>1167</v>
      </c>
      <c r="I39" s="59" t="s">
        <v>1158</v>
      </c>
      <c r="J39" s="60">
        <v>1</v>
      </c>
      <c r="K39" s="60">
        <f t="shared" si="6"/>
        <v>7.8431372549019607E-3</v>
      </c>
      <c r="L39" s="61"/>
      <c r="M39" s="58" t="s">
        <v>1171</v>
      </c>
      <c r="N39" s="62">
        <f>uurtarief18</f>
        <v>0</v>
      </c>
      <c r="O39" s="60" t="s">
        <v>1169</v>
      </c>
      <c r="P39" s="62">
        <f t="shared" si="7"/>
        <v>0</v>
      </c>
      <c r="Q39" s="60"/>
      <c r="R39" s="63">
        <f t="shared" si="8"/>
        <v>0</v>
      </c>
    </row>
    <row r="40" spans="1:18" x14ac:dyDescent="0.2">
      <c r="A40" s="57" t="s">
        <v>687</v>
      </c>
      <c r="B40" s="58" t="s">
        <v>688</v>
      </c>
      <c r="C40" s="58" t="s">
        <v>1165</v>
      </c>
      <c r="D40" s="58" t="s">
        <v>688</v>
      </c>
      <c r="E40" s="59" t="s">
        <v>1179</v>
      </c>
      <c r="F40" s="58" t="s">
        <v>1159</v>
      </c>
      <c r="G40" s="58" t="s">
        <v>25</v>
      </c>
      <c r="H40" s="58" t="s">
        <v>1167</v>
      </c>
      <c r="I40" s="59" t="s">
        <v>1160</v>
      </c>
      <c r="J40" s="60">
        <v>1</v>
      </c>
      <c r="K40" s="60">
        <f t="shared" si="6"/>
        <v>7.8431372549019607E-3</v>
      </c>
      <c r="L40" s="61"/>
      <c r="M40" s="58" t="s">
        <v>1171</v>
      </c>
      <c r="N40" s="62">
        <f>uurtarief19</f>
        <v>0</v>
      </c>
      <c r="O40" s="60" t="s">
        <v>1169</v>
      </c>
      <c r="P40" s="62">
        <f t="shared" si="7"/>
        <v>0</v>
      </c>
      <c r="Q40" s="60"/>
      <c r="R40" s="63">
        <f t="shared" si="8"/>
        <v>0</v>
      </c>
    </row>
    <row r="41" spans="1:18" ht="25.5" x14ac:dyDescent="0.2">
      <c r="A41" s="64" t="s">
        <v>687</v>
      </c>
      <c r="B41" s="65" t="s">
        <v>688</v>
      </c>
      <c r="C41" s="65" t="s">
        <v>1165</v>
      </c>
      <c r="D41" s="65" t="s">
        <v>688</v>
      </c>
      <c r="E41" s="66" t="s">
        <v>1180</v>
      </c>
      <c r="F41" s="65" t="s">
        <v>1150</v>
      </c>
      <c r="G41" s="65" t="s">
        <v>25</v>
      </c>
      <c r="H41" s="65" t="s">
        <v>1167</v>
      </c>
      <c r="I41" s="66" t="s">
        <v>1151</v>
      </c>
      <c r="J41" s="67">
        <v>270</v>
      </c>
      <c r="K41" s="67">
        <f t="shared" si="6"/>
        <v>2.1176470588235294</v>
      </c>
      <c r="L41" s="68"/>
      <c r="M41" s="65" t="s">
        <v>1168</v>
      </c>
      <c r="N41" s="69">
        <f>uurtarief16</f>
        <v>0</v>
      </c>
      <c r="O41" s="67" t="s">
        <v>1169</v>
      </c>
      <c r="P41" s="69">
        <f t="shared" si="7"/>
        <v>0</v>
      </c>
      <c r="Q41" s="67"/>
      <c r="R41" s="70">
        <f t="shared" si="8"/>
        <v>0</v>
      </c>
    </row>
    <row r="42" spans="1:18" x14ac:dyDescent="0.2">
      <c r="A42" s="40" t="s">
        <v>484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3">
        <f>IF(object3_urenjaar1&gt;0,object3_prijsjaar1/object3_urenjaar1,0)</f>
        <v>0</v>
      </c>
      <c r="O42" s="42">
        <f>SUM(O31:O41)</f>
        <v>0</v>
      </c>
      <c r="P42" s="43">
        <f>SUM(P31:P41)</f>
        <v>0</v>
      </c>
      <c r="Q42" s="42">
        <f>SUM(Q31:Q41)</f>
        <v>0</v>
      </c>
      <c r="R42" s="43">
        <f>SUM(R31:R41)</f>
        <v>0</v>
      </c>
    </row>
  </sheetData>
  <sheetProtection algorithmName="SHA-512" hashValue="NtqD/aiw2Bx7G9QbHrj3cDGYM/U+CGhJto7FblZrZU5ZqD5XnmkJr1c7W8BU0av66tHjHH406AUeJ6Q/P2SiQg==" saltValue="/h/XRiEJ1itOkkGYio/MFQ==" spinCount="100000" sheet="1" objects="1" scenarios="1" autoFilter="0"/>
  <autoFilter ref="A3:R42" xr:uid="{5AFCEC81-17B6-4A15-8CC8-823FC1E9E53C}"/>
  <pageMargins left="0.7" right="0.7" top="0.75" bottom="0.75" header="0.3" footer="0.3"/>
  <pageSetup scale="61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692F7-46FF-4D59-80E1-BC415B1FA4A9}">
  <dimension ref="A1:E19"/>
  <sheetViews>
    <sheetView workbookViewId="0">
      <selection activeCell="B27" sqref="B26:B27"/>
    </sheetView>
  </sheetViews>
  <sheetFormatPr defaultRowHeight="12.75" x14ac:dyDescent="0.2"/>
  <cols>
    <col min="1" max="1" width="30.625" customWidth="1"/>
    <col min="2" max="5" width="20.625" customWidth="1"/>
  </cols>
  <sheetData>
    <row r="1" spans="1:5" x14ac:dyDescent="0.2">
      <c r="A1" s="1" t="str">
        <f>CONCATENATE("Bijlage H.13: ",tabeltype," totaalblad schoonmaakwerk")</f>
        <v>Bijlage H.13: Invultabel totaalblad schoonmaakwerk</v>
      </c>
    </row>
    <row r="3" spans="1:5" ht="25.5" x14ac:dyDescent="0.2">
      <c r="A3" s="8" t="s">
        <v>1181</v>
      </c>
      <c r="B3" s="8" t="s">
        <v>1182</v>
      </c>
      <c r="C3" s="8" t="s">
        <v>1183</v>
      </c>
      <c r="D3" s="8" t="s">
        <v>1184</v>
      </c>
      <c r="E3" s="8" t="s">
        <v>1185</v>
      </c>
    </row>
    <row r="4" spans="1:5" x14ac:dyDescent="0.2">
      <c r="A4" s="110" t="s">
        <v>1186</v>
      </c>
      <c r="B4" s="30">
        <f>urenjaartotaaloverzicht</f>
        <v>0</v>
      </c>
      <c r="C4" s="87"/>
      <c r="D4" s="32">
        <f>prijsjaartotaaloverzicht</f>
        <v>0</v>
      </c>
      <c r="E4" s="32">
        <f>D4*1.21</f>
        <v>0</v>
      </c>
    </row>
    <row r="5" spans="1:5" x14ac:dyDescent="0.2">
      <c r="A5" s="111" t="s">
        <v>1187</v>
      </c>
      <c r="B5" s="88"/>
      <c r="C5" s="33">
        <f>urenjaarnietmeewerkend</f>
        <v>0</v>
      </c>
      <c r="D5" s="35">
        <f>prijsjaarnietmeewerkend</f>
        <v>0</v>
      </c>
      <c r="E5" s="35">
        <f>D5*1.21</f>
        <v>0</v>
      </c>
    </row>
    <row r="6" spans="1:5" x14ac:dyDescent="0.2">
      <c r="A6" s="111" t="s">
        <v>1188</v>
      </c>
      <c r="B6" s="33">
        <f>urenjaaradditioneel</f>
        <v>0</v>
      </c>
      <c r="C6" s="88"/>
      <c r="D6" s="35">
        <f>prijsjaaradditioneel</f>
        <v>0</v>
      </c>
      <c r="E6" s="35">
        <f>D6*1.21</f>
        <v>0</v>
      </c>
    </row>
    <row r="7" spans="1:5" ht="25.5" x14ac:dyDescent="0.2">
      <c r="A7" s="111" t="s">
        <v>1189</v>
      </c>
      <c r="B7" s="33">
        <f>urenjaarafroep</f>
        <v>0</v>
      </c>
      <c r="C7" s="88"/>
      <c r="D7" s="35">
        <f>prijsjaarafroep</f>
        <v>0</v>
      </c>
      <c r="E7" s="35">
        <f>D7*1.21</f>
        <v>0</v>
      </c>
    </row>
    <row r="8" spans="1:5" x14ac:dyDescent="0.2">
      <c r="A8" s="112" t="s">
        <v>1190</v>
      </c>
      <c r="B8" s="36">
        <f>urenjaarglas</f>
        <v>0</v>
      </c>
      <c r="C8" s="113"/>
      <c r="D8" s="38">
        <f>prijsjaarglas</f>
        <v>0</v>
      </c>
      <c r="E8" s="38">
        <f>D8*1.21</f>
        <v>0</v>
      </c>
    </row>
    <row r="10" spans="1:5" x14ac:dyDescent="0.2">
      <c r="A10" s="8" t="s">
        <v>1191</v>
      </c>
      <c r="B10" s="42">
        <f>SUM(B4:B8)</f>
        <v>0</v>
      </c>
      <c r="C10" s="42">
        <f>SUM(C4:C8)</f>
        <v>0</v>
      </c>
      <c r="D10" s="43">
        <f>SUM(D4:D8)</f>
        <v>0</v>
      </c>
      <c r="E10" s="43">
        <f>D10*1.21</f>
        <v>0</v>
      </c>
    </row>
    <row r="12" spans="1:5" x14ac:dyDescent="0.2">
      <c r="A12" s="8" t="s">
        <v>1192</v>
      </c>
      <c r="B12" s="114">
        <f>IF(B10&gt;0,C10/B10,0)</f>
        <v>0</v>
      </c>
    </row>
    <row r="17" spans="1:5" ht="15" x14ac:dyDescent="0.25">
      <c r="A17" s="115" t="s">
        <v>1193</v>
      </c>
      <c r="B17" s="116"/>
      <c r="C17" s="116"/>
      <c r="D17" s="116"/>
      <c r="E17" s="117">
        <f>D4+D5</f>
        <v>0</v>
      </c>
    </row>
    <row r="18" spans="1:5" ht="15" x14ac:dyDescent="0.25">
      <c r="A18" s="116"/>
      <c r="B18" s="116"/>
      <c r="C18" s="116"/>
      <c r="D18" s="116"/>
      <c r="E18" s="116"/>
    </row>
    <row r="19" spans="1:5" ht="15" x14ac:dyDescent="0.25">
      <c r="A19" s="115" t="s">
        <v>1194</v>
      </c>
      <c r="B19" s="116"/>
      <c r="C19" s="116"/>
      <c r="D19" s="116"/>
      <c r="E19" s="117">
        <f>D6+D7+D8</f>
        <v>0</v>
      </c>
    </row>
  </sheetData>
  <sheetProtection algorithmName="SHA-512" hashValue="IwNAgCcqPoLEC8POxGEIstvzI6ZSkYRCeTJfMyoJ/snjndoIESd2nNj2/WXhrdTJKeNz+q9HZrVhUZW4s6/5iA==" saltValue="/yozT2S8Bfm0Mn+OwFWCmg==" spinCount="100000" sheet="1" objects="1" scenarios="1" autoFilter="0"/>
  <pageMargins left="0.7" right="0.7" top="0.75" bottom="0.75" header="0.3" footer="0.3"/>
  <pageSetup scale="70" orientation="landscape" r:id="rId1"/>
  <headerFooter>
    <oddFooter>&amp;LStichting VO Amsterdam-Zuid                                 &amp;ROpmaakdatum: 05-08-2024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349</vt:i4>
      </vt:variant>
    </vt:vector>
  </HeadingPairs>
  <TitlesOfParts>
    <vt:vector size="364" baseType="lpstr">
      <vt:lpstr>Omreken</vt:lpstr>
      <vt:lpstr>Categorienormen</vt:lpstr>
      <vt:lpstr>Regulier werk</vt:lpstr>
      <vt:lpstr>Ruimten werkdag</vt:lpstr>
      <vt:lpstr>Objectinformatie</vt:lpstr>
      <vt:lpstr>Objecten</vt:lpstr>
      <vt:lpstr>Niet-meewerkende objectleiding</vt:lpstr>
      <vt:lpstr>Totaalblad Objecten</vt:lpstr>
      <vt:lpstr>Additioneel werk</vt:lpstr>
      <vt:lpstr>Afroep incidenteel</vt:lpstr>
      <vt:lpstr>Additioneel werk per locatie</vt:lpstr>
      <vt:lpstr>Afroep</vt:lpstr>
      <vt:lpstr>Glas</vt:lpstr>
      <vt:lpstr>Glas werkdag</vt:lpstr>
      <vt:lpstr>Totaal</vt:lpstr>
      <vt:lpstr>'Additioneel werk'!Afdruktitels</vt:lpstr>
      <vt:lpstr>'Additioneel werk per locatie'!Afdruktitels</vt:lpstr>
      <vt:lpstr>Afroep!Afdruktitels</vt:lpstr>
      <vt:lpstr>'Afroep incidenteel'!Afdruktitels</vt:lpstr>
      <vt:lpstr>Categorienormen!Afdruktitels</vt:lpstr>
      <vt:lpstr>Glas!Afdruktitels</vt:lpstr>
      <vt:lpstr>'Glas werkdag'!Afdruktitels</vt:lpstr>
      <vt:lpstr>'Niet-meewerkende objectleiding'!Afdruktitels</vt:lpstr>
      <vt:lpstr>Objecten!Afdruktitels</vt:lpstr>
      <vt:lpstr>Objectinformatie!Afdruktitels</vt:lpstr>
      <vt:lpstr>'Regulier werk'!Afdruktitels</vt:lpstr>
      <vt:lpstr>'Ruimten werkdag'!Afdruktitels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catdw_1_CHB_1</vt:lpstr>
      <vt:lpstr>catdw_1_CHV_40</vt:lpstr>
      <vt:lpstr>catdw_1_DHB_1</vt:lpstr>
      <vt:lpstr>catdw_1_DHV_40</vt:lpstr>
      <vt:lpstr>catdw_1_EHB_1</vt:lpstr>
      <vt:lpstr>catdw_1_EHV_40</vt:lpstr>
      <vt:lpstr>catdw_1_EZB_1</vt:lpstr>
      <vt:lpstr>catdw_1_EZV_40</vt:lpstr>
      <vt:lpstr>catdw_1_GHB_1</vt:lpstr>
      <vt:lpstr>catdw_1_GHV_10</vt:lpstr>
      <vt:lpstr>catdw_1_GHV_40</vt:lpstr>
      <vt:lpstr>catdw_1_IHB_1</vt:lpstr>
      <vt:lpstr>catdw_1_IHV_40</vt:lpstr>
      <vt:lpstr>catdw_1_KHB_1</vt:lpstr>
      <vt:lpstr>catdw_1_KHV_40</vt:lpstr>
      <vt:lpstr>catdw_1_LHB_1</vt:lpstr>
      <vt:lpstr>catdw_1_LHV_40</vt:lpstr>
      <vt:lpstr>catdw_1_MZB_1</vt:lpstr>
      <vt:lpstr>catdw_1_MZV_40</vt:lpstr>
      <vt:lpstr>catdw_1_OLHB_1</vt:lpstr>
      <vt:lpstr>catdw_1_OLHV_40</vt:lpstr>
      <vt:lpstr>catdw_1_PHB_1</vt:lpstr>
      <vt:lpstr>catdw_1_PHV_40</vt:lpstr>
      <vt:lpstr>catdw_1_PMHB_1</vt:lpstr>
      <vt:lpstr>catdw_1_PMHV_40</vt:lpstr>
      <vt:lpstr>catdw_1_PMZB_1</vt:lpstr>
      <vt:lpstr>catdw_1_PMZV_40</vt:lpstr>
      <vt:lpstr>catdw_1_PUHB_1</vt:lpstr>
      <vt:lpstr>catdw_1_PUHV_40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catfd_1_CHB_1</vt:lpstr>
      <vt:lpstr>catfd_1_CHV_40</vt:lpstr>
      <vt:lpstr>catfd_1_DHB_1</vt:lpstr>
      <vt:lpstr>catfd_1_DHV_40</vt:lpstr>
      <vt:lpstr>catfd_1_EHB_1</vt:lpstr>
      <vt:lpstr>catfd_1_EHV_40</vt:lpstr>
      <vt:lpstr>catfd_1_EZB_1</vt:lpstr>
      <vt:lpstr>catfd_1_EZV_40</vt:lpstr>
      <vt:lpstr>catfd_1_GHB_1</vt:lpstr>
      <vt:lpstr>catfd_1_GHV_10</vt:lpstr>
      <vt:lpstr>catfd_1_GHV_40</vt:lpstr>
      <vt:lpstr>catfd_1_IHB_1</vt:lpstr>
      <vt:lpstr>catfd_1_IHV_40</vt:lpstr>
      <vt:lpstr>catfd_1_KHB_1</vt:lpstr>
      <vt:lpstr>catfd_1_KHV_40</vt:lpstr>
      <vt:lpstr>catfd_1_LHB_1</vt:lpstr>
      <vt:lpstr>catfd_1_LHV_40</vt:lpstr>
      <vt:lpstr>catfd_1_MZB_1</vt:lpstr>
      <vt:lpstr>catfd_1_MZV_40</vt:lpstr>
      <vt:lpstr>catfd_1_OLHB_1</vt:lpstr>
      <vt:lpstr>catfd_1_OLHV_40</vt:lpstr>
      <vt:lpstr>catfd_1_PHB_1</vt:lpstr>
      <vt:lpstr>catfd_1_PHV_40</vt:lpstr>
      <vt:lpstr>catfd_1_PMHB_1</vt:lpstr>
      <vt:lpstr>catfd_1_PMHV_40</vt:lpstr>
      <vt:lpstr>catfd_1_PMZB_1</vt:lpstr>
      <vt:lpstr>catfd_1_PMZV_40</vt:lpstr>
      <vt:lpstr>catfd_1_PUHB_1</vt:lpstr>
      <vt:lpstr>catfd_1_PUHV_40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catpn_1_CHB_1</vt:lpstr>
      <vt:lpstr>catpn_1_CHV_40</vt:lpstr>
      <vt:lpstr>catpn_1_DHB_1</vt:lpstr>
      <vt:lpstr>catpn_1_DHV_40</vt:lpstr>
      <vt:lpstr>catpn_1_EHB_1</vt:lpstr>
      <vt:lpstr>catpn_1_EHV_40</vt:lpstr>
      <vt:lpstr>catpn_1_EZB_1</vt:lpstr>
      <vt:lpstr>catpn_1_EZV_40</vt:lpstr>
      <vt:lpstr>catpn_1_GHB_1</vt:lpstr>
      <vt:lpstr>catpn_1_GHV_10</vt:lpstr>
      <vt:lpstr>catpn_1_GHV_40</vt:lpstr>
      <vt:lpstr>catpn_1_IHB_1</vt:lpstr>
      <vt:lpstr>catpn_1_IHV_40</vt:lpstr>
      <vt:lpstr>catpn_1_KHB_1</vt:lpstr>
      <vt:lpstr>catpn_1_KHV_40</vt:lpstr>
      <vt:lpstr>catpn_1_LHB_1</vt:lpstr>
      <vt:lpstr>catpn_1_LHV_40</vt:lpstr>
      <vt:lpstr>catpn_1_MZB_1</vt:lpstr>
      <vt:lpstr>catpn_1_MZV_40</vt:lpstr>
      <vt:lpstr>catpn_1_OLHB_1</vt:lpstr>
      <vt:lpstr>catpn_1_OLHV_40</vt:lpstr>
      <vt:lpstr>catpn_1_PHB_1</vt:lpstr>
      <vt:lpstr>catpn_1_PHV_40</vt:lpstr>
      <vt:lpstr>catpn_1_PMHB_1</vt:lpstr>
      <vt:lpstr>catpn_1_PMHV_40</vt:lpstr>
      <vt:lpstr>catpn_1_PMZB_1</vt:lpstr>
      <vt:lpstr>catpn_1_PMZV_40</vt:lpstr>
      <vt:lpstr>catpn_1_PUHB_1</vt:lpstr>
      <vt:lpstr>catpn_1_PUHV_40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cattf_1_CHB_1</vt:lpstr>
      <vt:lpstr>cattf_1_CHV_40</vt:lpstr>
      <vt:lpstr>cattf_1_DHB_1</vt:lpstr>
      <vt:lpstr>cattf_1_DHV_40</vt:lpstr>
      <vt:lpstr>cattf_1_EHB_1</vt:lpstr>
      <vt:lpstr>cattf_1_EHV_40</vt:lpstr>
      <vt:lpstr>cattf_1_EZB_1</vt:lpstr>
      <vt:lpstr>cattf_1_EZV_40</vt:lpstr>
      <vt:lpstr>cattf_1_GHB_1</vt:lpstr>
      <vt:lpstr>cattf_1_GHV_10</vt:lpstr>
      <vt:lpstr>cattf_1_GHV_40</vt:lpstr>
      <vt:lpstr>cattf_1_IHB_1</vt:lpstr>
      <vt:lpstr>cattf_1_IHV_40</vt:lpstr>
      <vt:lpstr>cattf_1_KHB_1</vt:lpstr>
      <vt:lpstr>cattf_1_KHV_40</vt:lpstr>
      <vt:lpstr>cattf_1_LHB_1</vt:lpstr>
      <vt:lpstr>cattf_1_LHV_40</vt:lpstr>
      <vt:lpstr>cattf_1_MZB_1</vt:lpstr>
      <vt:lpstr>cattf_1_MZV_40</vt:lpstr>
      <vt:lpstr>cattf_1_OLHB_1</vt:lpstr>
      <vt:lpstr>cattf_1_OLHV_40</vt:lpstr>
      <vt:lpstr>cattf_1_PHB_1</vt:lpstr>
      <vt:lpstr>cattf_1_PHV_40</vt:lpstr>
      <vt:lpstr>cattf_1_PMHB_1</vt:lpstr>
      <vt:lpstr>cattf_1_PMHV_40</vt:lpstr>
      <vt:lpstr>cattf_1_PMZB_1</vt:lpstr>
      <vt:lpstr>cattf_1_PMZV_40</vt:lpstr>
      <vt:lpstr>cattf_1_PUHB_1</vt:lpstr>
      <vt:lpstr>cattf_1_PUHV_40</vt:lpstr>
      <vt:lpstr>cattf_1_SHB_1</vt:lpstr>
      <vt:lpstr>cattf_1_SHV_40</vt:lpstr>
      <vt:lpstr>cattf_1_THB_1</vt:lpstr>
      <vt:lpstr>cattf_1_THV_40</vt:lpstr>
      <vt:lpstr>cattf_1_VHB_1</vt:lpstr>
      <vt:lpstr>cattf_1_VHV_40</vt:lpstr>
      <vt:lpstr>dagenperjaar1</vt:lpstr>
      <vt:lpstr>dagenperjaar2</vt:lpstr>
      <vt:lpstr>dagenperjaar3</vt:lpstr>
      <vt:lpstr>dagenperweek1</vt:lpstr>
      <vt:lpstr>dagenperweek2</vt:lpstr>
      <vt:lpstr>dagenperweek3</vt:lpstr>
      <vt:lpstr>dagsoorttabel1</vt:lpstr>
      <vt:lpstr>dagsoorttabel2</vt:lpstr>
      <vt:lpstr>dagsoorttabel3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object3_urenjaar1</vt:lpstr>
      <vt:lpstr>objectprijs1_1</vt:lpstr>
      <vt:lpstr>objectprijs2_1</vt:lpstr>
      <vt:lpstr>objectprijs3_1</vt:lpstr>
      <vt:lpstr>objecturen1_1</vt:lpstr>
      <vt:lpstr>objecturen2_1</vt:lpstr>
      <vt:lpstr>objecturen3_1</vt:lpstr>
      <vt:lpstr>prijsdag1</vt:lpstr>
      <vt:lpstr>prijsjaar</vt:lpstr>
      <vt:lpstr>prijsjaar1</vt:lpstr>
      <vt:lpstr>prijsjaaradditioneel</vt:lpstr>
      <vt:lpstr>prijsjaaradditioneel1</vt:lpstr>
      <vt:lpstr>prijsjaarafroep</vt:lpstr>
      <vt:lpstr>prijsjaarafroep1</vt:lpstr>
      <vt:lpstr>prijsjaarglas</vt:lpstr>
      <vt:lpstr>prijsjaarglas1</vt:lpstr>
      <vt:lpstr>prijsjaarnietmeewerkend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</vt:lpstr>
      <vt:lpstr>prodnorm40</vt:lpstr>
      <vt:lpstr>prodnorm41</vt:lpstr>
      <vt:lpstr>prodnorm42</vt:lpstr>
      <vt:lpstr>prodnorm43</vt:lpstr>
      <vt:lpstr>prodnorm44</vt:lpstr>
      <vt:lpstr>prodnorm45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tarieftabel1</vt:lpstr>
      <vt:lpstr>tzpjt1</vt:lpstr>
      <vt:lpstr>tzpjt1_1</vt:lpstr>
      <vt:lpstr>tzpjt2_1</vt:lpstr>
      <vt:lpstr>tzpjt3_1</vt:lpstr>
      <vt:lpstr>tzpmt1</vt:lpstr>
      <vt:lpstr>tzpmt1_1</vt:lpstr>
      <vt:lpstr>tzpmt2_1</vt:lpstr>
      <vt:lpstr>tzpmt3_1</vt:lpstr>
      <vt:lpstr>tzujt1</vt:lpstr>
      <vt:lpstr>tzujt1_1</vt:lpstr>
      <vt:lpstr>tzujt2_1</vt:lpstr>
      <vt:lpstr>tzujt3_1</vt:lpstr>
      <vt:lpstr>urendag1</vt:lpstr>
      <vt:lpstr>urenjaar</vt:lpstr>
      <vt:lpstr>urenjaar1</vt:lpstr>
      <vt:lpstr>urenjaaradditioneel</vt:lpstr>
      <vt:lpstr>urenjaaradditioneel1</vt:lpstr>
      <vt:lpstr>urenjaarafroep</vt:lpstr>
      <vt:lpstr>urenjaarafroep1</vt:lpstr>
      <vt:lpstr>urenjaarglas</vt:lpstr>
      <vt:lpstr>urenjaarglas1</vt:lpstr>
      <vt:lpstr>urenjaarnietmeewerkend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</vt:lpstr>
      <vt:lpstr>uurtarief40</vt:lpstr>
      <vt:lpstr>uurtarief41</vt:lpstr>
      <vt:lpstr>uurtarief42</vt:lpstr>
      <vt:lpstr>uurtarief43</vt:lpstr>
      <vt:lpstr>uurtarief44</vt:lpstr>
      <vt:lpstr>uurtarief45</vt:lpstr>
      <vt:lpstr>uurtarief5</vt:lpstr>
      <vt:lpstr>uurtarief6</vt:lpstr>
      <vt:lpstr>uurtarief7</vt:lpstr>
      <vt:lpstr>uurtarief8</vt:lpstr>
      <vt:lpstr>uurtarief9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2024-08-05T08:40:37Z</dcterms:created>
  <dcterms:modified xsi:type="dcterms:W3CDTF">2024-08-05T11:36:23Z</dcterms:modified>
</cp:coreProperties>
</file>