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5"/>
  <workbookPr defaultThemeVersion="124226"/>
  <mc:AlternateContent xmlns:mc="http://schemas.openxmlformats.org/markup-compatibility/2006">
    <mc:Choice Requires="x15">
      <x15ac:absPath xmlns:x15ac="http://schemas.microsoft.com/office/spreadsheetml/2010/11/ac" url="https://noordbrabant.sharepoint.com/sites/PWOPC03Onderhoud/Gedeelde documenten/General/Financiele raming/"/>
    </mc:Choice>
  </mc:AlternateContent>
  <xr:revisionPtr revIDLastSave="27" documentId="8_{7D31881C-27ED-4FF3-B0A5-5499ABCA545D}" xr6:coauthVersionLast="47" xr6:coauthVersionMax="47" xr10:uidLastSave="{9900125B-FDA9-CF4E-AD04-BDFFE639DC83}"/>
  <bookViews>
    <workbookView xWindow="20180" yWindow="1100" windowWidth="16000" windowHeight="18000" tabRatio="730" firstSheet="1" activeTab="1" xr2:uid="{00000000-000D-0000-FFFF-FFFF00000000}"/>
  </bookViews>
  <sheets>
    <sheet name="Raming 28-32" sheetId="34" state="hidden" r:id="rId1"/>
    <sheet name="Ontleding van de Inschrijfsom" sheetId="41" r:id="rId2"/>
    <sheet name="verdeling Carla" sheetId="31" state="hidden" r:id="rId3"/>
    <sheet name="vervallen opgesteld met dennis" sheetId="32" state="hidden" r:id="rId4"/>
    <sheet name="tarieven" sheetId="2" state="hidden" r:id="rId5"/>
    <sheet name="onderbouwingen" sheetId="16" state="hidden" r:id="rId6"/>
    <sheet name="onderbouwing 1" sheetId="3" state="hidden" r:id="rId7"/>
    <sheet name="onderbouwing 2" sheetId="4" state="hidden" r:id="rId8"/>
    <sheet name="onderbouwing 3" sheetId="5" state="hidden" r:id="rId9"/>
    <sheet name="onderbouwing 4" sheetId="6" state="hidden" r:id="rId10"/>
    <sheet name="onderbouwing 5" sheetId="7" state="hidden" r:id="rId11"/>
    <sheet name="Markering" sheetId="27" state="hidden" r:id="rId12"/>
    <sheet name="onderbouwing 6" sheetId="8" state="hidden" r:id="rId13"/>
    <sheet name="onderbouwing 7" sheetId="9" state="hidden" r:id="rId14"/>
    <sheet name="onderbouwing 8" sheetId="10" state="hidden" r:id="rId15"/>
    <sheet name="onderbouwing 9" sheetId="11" state="hidden" r:id="rId16"/>
    <sheet name="onderbouwing 10" sheetId="12" state="hidden" r:id="rId17"/>
    <sheet name="onderbouwing 11" sheetId="13" state="hidden" r:id="rId18"/>
    <sheet name="onderbouwing 12" sheetId="14" state="hidden" r:id="rId19"/>
    <sheet name="onderbouwing 13" sheetId="15" state="hidden" r:id="rId20"/>
    <sheet name="onderbouwing 14" sheetId="19" state="hidden" r:id="rId21"/>
    <sheet name="onderbouwing 15" sheetId="20" state="hidden" r:id="rId22"/>
    <sheet name="onderbouwing 16" sheetId="24" state="hidden" r:id="rId23"/>
    <sheet name="onderbouwing 17" sheetId="25" state="hidden" r:id="rId24"/>
    <sheet name="onderbouwing 18" sheetId="26" state="hidden" r:id="rId25"/>
  </sheets>
  <externalReferences>
    <externalReference r:id="rId26"/>
    <externalReference r:id="rId27"/>
  </externalReferences>
  <definedNames>
    <definedName name="_Toc70080482" localSheetId="1">'Ontleding van de Inschrijfsom'!$A$1</definedName>
    <definedName name="_xlnm.Print_Area" localSheetId="10">'onderbouwing 5'!$A$1:$I$68</definedName>
    <definedName name="_xlnm.Print_Area" localSheetId="0">'Raming 28-32'!$A$1:$G$155</definedName>
    <definedName name="RWS.BLD_bijdrage">[1]RWS_Keuzeparameters!$E$23</definedName>
    <definedName name="RWS.Discontovoet">[2]RWS_Keuzeparameters!$E$22</definedName>
    <definedName name="RWS.Looptijd_investeringskosten_max">[2]RWS_Keuzeparameters!$C$16</definedName>
    <definedName name="RWS.Looptijd_levensduurkosten_max">[2]RWS_Keuzeparameters!$C$17</definedName>
    <definedName name="RWS.Onzekerheidsreserve_investeringskosten">[1]RWS_Keuzeparameters!$C$24</definedName>
    <definedName name="RWS.RAW_bijdrage_max">[2]RWS_Keuzeparameters!$C$29</definedName>
    <definedName name="RWS.Reservering_scopewijzigingen_investeringskosten">[1]RWS_Keuzeparameters!$C$25</definedName>
    <definedName name="RWS.RR">[2]RWS_Keuzeparameters!$C$14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 i="41" l="1"/>
  <c r="E63" i="41"/>
  <c r="E61" i="41"/>
  <c r="E59" i="41" l="1"/>
  <c r="E58" i="41"/>
  <c r="E57" i="41"/>
  <c r="E56" i="41"/>
  <c r="E55" i="41"/>
  <c r="E54" i="41"/>
  <c r="B132" i="34" l="1"/>
  <c r="B125" i="34"/>
  <c r="B130" i="34" s="1"/>
  <c r="D123" i="34"/>
  <c r="B121" i="34"/>
  <c r="B112" i="34"/>
  <c r="B109" i="34"/>
  <c r="B89" i="34"/>
  <c r="F87" i="34"/>
  <c r="F88" i="34" s="1"/>
  <c r="B86" i="34"/>
  <c r="F72" i="34"/>
  <c r="B70" i="34"/>
  <c r="E68" i="34"/>
  <c r="F68" i="34" s="1"/>
  <c r="F69" i="34" s="1"/>
  <c r="B67" i="34"/>
  <c r="E65" i="34"/>
  <c r="F65" i="34" s="1"/>
  <c r="E64" i="34"/>
  <c r="F64" i="34" s="1"/>
  <c r="E63" i="34"/>
  <c r="F63" i="34" s="1"/>
  <c r="F62" i="34"/>
  <c r="F61" i="34"/>
  <c r="F60" i="34"/>
  <c r="F59" i="34"/>
  <c r="F58" i="34"/>
  <c r="F57" i="34"/>
  <c r="F53" i="34"/>
  <c r="F52" i="34"/>
  <c r="F51" i="34"/>
  <c r="F50" i="34"/>
  <c r="F49" i="34"/>
  <c r="F48" i="34"/>
  <c r="F47" i="34"/>
  <c r="F46" i="34"/>
  <c r="B44" i="34"/>
  <c r="B40" i="34"/>
  <c r="E28" i="34"/>
  <c r="F28" i="34" s="1"/>
  <c r="F27" i="34"/>
  <c r="E24" i="34"/>
  <c r="F24" i="34" s="1"/>
  <c r="E21" i="34"/>
  <c r="F21" i="34" s="1"/>
  <c r="F18" i="34"/>
  <c r="E15" i="34"/>
  <c r="F15" i="34" s="1"/>
  <c r="E14" i="34"/>
  <c r="F14" i="34" s="1"/>
  <c r="E13" i="34"/>
  <c r="F8" i="34"/>
  <c r="F7" i="34"/>
  <c r="F154" i="34" s="1"/>
  <c r="F5" i="34"/>
  <c r="F1" i="34"/>
  <c r="H17" i="34" l="1"/>
  <c r="I17" i="34" s="1"/>
  <c r="J17" i="34" s="1"/>
  <c r="F54" i="34"/>
  <c r="F13" i="34"/>
  <c r="E55" i="34"/>
  <c r="F55" i="34" s="1"/>
  <c r="F56" i="34" s="1"/>
  <c r="C66" i="34" s="1"/>
  <c r="F66" i="34"/>
  <c r="F151" i="34"/>
  <c r="F67" i="34" l="1"/>
  <c r="C69" i="34" l="1"/>
  <c r="F70" i="34"/>
  <c r="E10" i="34" l="1"/>
  <c r="F10" i="34" s="1"/>
  <c r="F152" i="34" l="1"/>
  <c r="E9" i="34"/>
  <c r="F9" i="34" s="1"/>
  <c r="F153" i="34" l="1"/>
  <c r="F30" i="34"/>
  <c r="F155" i="34"/>
  <c r="E35" i="34" l="1"/>
  <c r="F35" i="34" s="1"/>
  <c r="E31" i="34"/>
  <c r="F31" i="34" s="1"/>
  <c r="F32" i="34" s="1"/>
  <c r="E34" i="34"/>
  <c r="F34" i="34" s="1"/>
  <c r="E33" i="34"/>
  <c r="F33" i="34" s="1"/>
  <c r="E36" i="34" l="1"/>
  <c r="F36" i="34" s="1"/>
  <c r="E38" i="34" s="1"/>
  <c r="F38" i="34" s="1"/>
  <c r="E37" i="34"/>
  <c r="F37" i="34" s="1"/>
  <c r="F39" i="34" s="1"/>
  <c r="F40" i="34" s="1"/>
  <c r="C39" i="34"/>
  <c r="E75" i="34" l="1"/>
  <c r="F75" i="34" s="1"/>
  <c r="E92" i="34"/>
  <c r="F92" i="34" s="1"/>
  <c r="E98" i="34"/>
  <c r="F98" i="34" s="1"/>
  <c r="E77" i="34"/>
  <c r="F77" i="34" s="1"/>
  <c r="E97" i="34"/>
  <c r="F97" i="34" s="1"/>
  <c r="E73" i="34"/>
  <c r="F73" i="34" s="1"/>
  <c r="F78" i="34" s="1"/>
  <c r="E79" i="34" s="1"/>
  <c r="F79" i="34" s="1"/>
  <c r="F80" i="34" s="1"/>
  <c r="E93" i="34"/>
  <c r="F93" i="34" s="1"/>
  <c r="E99" i="34"/>
  <c r="F99" i="34" s="1"/>
  <c r="E76" i="34"/>
  <c r="F76" i="34" s="1"/>
  <c r="E95" i="34"/>
  <c r="F95" i="34" s="1"/>
  <c r="E74" i="34"/>
  <c r="F74" i="34" s="1"/>
  <c r="E91" i="34"/>
  <c r="F91" i="34" s="1"/>
  <c r="E100" i="34"/>
  <c r="F100" i="34" s="1"/>
  <c r="E42" i="34"/>
  <c r="F42" i="34" s="1"/>
  <c r="F43" i="34" s="1"/>
  <c r="E94" i="34"/>
  <c r="F94" i="34" s="1"/>
  <c r="E96" i="34"/>
  <c r="F96" i="34" s="1"/>
  <c r="E84" i="34" l="1"/>
  <c r="F84" i="34" s="1"/>
  <c r="E82" i="34"/>
  <c r="F82" i="34" s="1"/>
  <c r="E81" i="34"/>
  <c r="F81" i="34" s="1"/>
  <c r="E83" i="34"/>
  <c r="F83" i="34" s="1"/>
  <c r="C43" i="34"/>
  <c r="F44" i="34"/>
  <c r="F101" i="34"/>
  <c r="E102" i="34" s="1"/>
  <c r="F102" i="34" s="1"/>
  <c r="F103" i="34" s="1"/>
  <c r="D12" i="32"/>
  <c r="D13" i="32"/>
  <c r="D14" i="32"/>
  <c r="D15" i="32"/>
  <c r="D16" i="32"/>
  <c r="D17" i="32"/>
  <c r="D18" i="32"/>
  <c r="D19" i="32"/>
  <c r="D20" i="32"/>
  <c r="D21" i="32"/>
  <c r="D11" i="32"/>
  <c r="I50" i="32"/>
  <c r="G36" i="32"/>
  <c r="G35" i="32"/>
  <c r="I48" i="32" s="1"/>
  <c r="H43" i="31"/>
  <c r="H41" i="31"/>
  <c r="J40" i="31"/>
  <c r="I40" i="31"/>
  <c r="H40" i="31"/>
  <c r="G40" i="31"/>
  <c r="H39" i="31"/>
  <c r="H38" i="31"/>
  <c r="J37" i="31"/>
  <c r="H37" i="31"/>
  <c r="H36" i="31"/>
  <c r="H35" i="31"/>
  <c r="J34" i="31"/>
  <c r="I34" i="31"/>
  <c r="D34" i="31"/>
  <c r="E34" i="31" s="1"/>
  <c r="H34" i="31" s="1"/>
  <c r="H33" i="31"/>
  <c r="H32" i="31"/>
  <c r="H31" i="31"/>
  <c r="H30" i="31"/>
  <c r="H29" i="31"/>
  <c r="J28" i="31"/>
  <c r="I28" i="31"/>
  <c r="H28" i="31"/>
  <c r="G28" i="31"/>
  <c r="H27" i="31"/>
  <c r="J26" i="31"/>
  <c r="D26" i="31"/>
  <c r="H26" i="31" s="1"/>
  <c r="J23" i="31"/>
  <c r="D23" i="31"/>
  <c r="H23" i="31" s="1"/>
  <c r="J20" i="31"/>
  <c r="I20" i="31"/>
  <c r="D20" i="31"/>
  <c r="E20" i="31" s="1"/>
  <c r="H20" i="31" s="1"/>
  <c r="J19" i="31"/>
  <c r="I19" i="31"/>
  <c r="E19" i="31"/>
  <c r="H19" i="31" s="1"/>
  <c r="J18" i="31"/>
  <c r="I18" i="31"/>
  <c r="E18" i="31"/>
  <c r="H18" i="31" s="1"/>
  <c r="J17" i="31"/>
  <c r="I17" i="31"/>
  <c r="E17" i="31"/>
  <c r="H17" i="31" s="1"/>
  <c r="J16" i="31"/>
  <c r="I16" i="31"/>
  <c r="D16" i="31"/>
  <c r="E16" i="31" s="1"/>
  <c r="H16" i="31" s="1"/>
  <c r="J15" i="31"/>
  <c r="D15" i="31"/>
  <c r="E15" i="31" s="1"/>
  <c r="H15" i="31" s="1"/>
  <c r="J14" i="31"/>
  <c r="I14" i="31"/>
  <c r="E14" i="31"/>
  <c r="H14" i="31" s="1"/>
  <c r="J13" i="31"/>
  <c r="I13" i="31"/>
  <c r="E13" i="31"/>
  <c r="H13" i="31" s="1"/>
  <c r="J12" i="31"/>
  <c r="I12" i="31"/>
  <c r="D12" i="31"/>
  <c r="E12" i="31" s="1"/>
  <c r="E154" i="34" l="1"/>
  <c r="E151" i="34"/>
  <c r="E152" i="34"/>
  <c r="E153" i="34"/>
  <c r="D158" i="34"/>
  <c r="J47" i="31"/>
  <c r="F85" i="34"/>
  <c r="E106" i="34"/>
  <c r="F106" i="34" s="1"/>
  <c r="E107" i="34"/>
  <c r="F107" i="34" s="1"/>
  <c r="E104" i="34"/>
  <c r="F104" i="34" s="1"/>
  <c r="E105" i="34"/>
  <c r="F105" i="34" s="1"/>
  <c r="G17" i="31"/>
  <c r="G18" i="31"/>
  <c r="G14" i="31"/>
  <c r="G34" i="31"/>
  <c r="D24" i="32"/>
  <c r="G12" i="31"/>
  <c r="H12" i="31"/>
  <c r="G13" i="31"/>
  <c r="G16" i="31"/>
  <c r="G19" i="31"/>
  <c r="G20" i="31"/>
  <c r="I21" i="31"/>
  <c r="I22" i="31" s="1"/>
  <c r="F86" i="34" l="1"/>
  <c r="C85" i="34"/>
  <c r="F108" i="34"/>
  <c r="E155" i="34"/>
  <c r="H24" i="32"/>
  <c r="H43" i="32" s="1"/>
  <c r="G24" i="32"/>
  <c r="F24" i="32"/>
  <c r="F41" i="32" s="1"/>
  <c r="E21" i="31"/>
  <c r="I46" i="31"/>
  <c r="F137" i="34" l="1"/>
  <c r="F89" i="34"/>
  <c r="C88" i="34"/>
  <c r="F133" i="34"/>
  <c r="F109" i="34"/>
  <c r="C108" i="34"/>
  <c r="I24" i="32"/>
  <c r="I44" i="32" s="1"/>
  <c r="G42" i="32"/>
  <c r="H22" i="31"/>
  <c r="H21" i="31"/>
  <c r="G22" i="31"/>
  <c r="G21" i="31"/>
  <c r="G44" i="31" s="1"/>
  <c r="I49" i="32" l="1"/>
  <c r="F135" i="34"/>
  <c r="H45" i="31"/>
  <c r="J48" i="31" s="1"/>
  <c r="I45" i="32"/>
  <c r="E110" i="34"/>
  <c r="F110" i="34" s="1"/>
  <c r="F111" i="34" s="1"/>
  <c r="F112" i="34" s="1"/>
  <c r="F114" i="34" s="1"/>
  <c r="E117" i="34" s="1"/>
  <c r="F117" i="34" s="1"/>
  <c r="F118" i="34" s="1"/>
  <c r="F136" i="34"/>
  <c r="I51" i="32"/>
  <c r="I53" i="32"/>
  <c r="E124" i="34" l="1"/>
  <c r="F124" i="34" s="1"/>
  <c r="F121" i="34"/>
  <c r="F126" i="34"/>
  <c r="D126" i="34"/>
  <c r="C111" i="34"/>
  <c r="E122" i="34" l="1"/>
  <c r="F122" i="34" s="1"/>
  <c r="E13" i="4"/>
  <c r="G13" i="4" s="1"/>
  <c r="G12" i="4"/>
  <c r="F131" i="34" l="1"/>
  <c r="F132" i="34"/>
  <c r="E123" i="34"/>
  <c r="F123" i="34" s="1"/>
  <c r="E10" i="4"/>
  <c r="G10" i="4" s="1"/>
  <c r="F138" i="34" l="1"/>
  <c r="F134" i="34" s="1"/>
  <c r="F125" i="34"/>
  <c r="F130" i="34" s="1"/>
  <c r="F50" i="2"/>
  <c r="D50" i="2"/>
  <c r="D49" i="2"/>
  <c r="D45" i="2"/>
  <c r="D42" i="2"/>
  <c r="D41" i="2"/>
  <c r="D40" i="2"/>
  <c r="D39" i="2"/>
  <c r="D38" i="2"/>
  <c r="D37" i="2"/>
  <c r="D36" i="2"/>
  <c r="D35" i="2"/>
  <c r="D34" i="2"/>
  <c r="D33" i="2"/>
  <c r="D32" i="2"/>
  <c r="D30" i="2" s="1"/>
  <c r="D31" i="2"/>
  <c r="D28" i="2"/>
  <c r="D27" i="2"/>
  <c r="D26" i="2"/>
  <c r="D25" i="2"/>
  <c r="F22" i="2"/>
  <c r="D21" i="2"/>
  <c r="D20" i="2"/>
  <c r="D19" i="2"/>
  <c r="D18" i="2"/>
  <c r="D17" i="2"/>
  <c r="D16" i="2"/>
  <c r="D15" i="2"/>
  <c r="D10" i="2"/>
  <c r="D9" i="2"/>
  <c r="D8" i="2"/>
  <c r="D7" i="2"/>
  <c r="D4" i="2"/>
  <c r="F3" i="2"/>
  <c r="C3" i="2"/>
  <c r="B3" i="2"/>
  <c r="C153" i="34" l="1"/>
  <c r="C152" i="34"/>
  <c r="C151" i="34"/>
  <c r="C154" i="34"/>
  <c r="N7" i="7"/>
  <c r="L7" i="7"/>
  <c r="M7" i="7"/>
  <c r="C155" i="34" l="1"/>
  <c r="K20" i="7"/>
  <c r="C24" i="7"/>
  <c r="K17" i="7"/>
  <c r="K14" i="7"/>
  <c r="K11" i="7"/>
  <c r="E34" i="7"/>
  <c r="F34" i="7"/>
  <c r="F42" i="7" s="1"/>
  <c r="F44" i="7" s="1"/>
  <c r="G34" i="7"/>
  <c r="E35" i="7"/>
  <c r="E37" i="7"/>
  <c r="G37" i="7"/>
  <c r="E38" i="7"/>
  <c r="E40" i="7"/>
  <c r="H42" i="7"/>
  <c r="H44" i="7" s="1"/>
  <c r="I44" i="7"/>
  <c r="G45" i="7"/>
  <c r="H45" i="7" s="1"/>
  <c r="G47" i="7"/>
  <c r="H47" i="7" s="1"/>
  <c r="C49" i="7"/>
  <c r="E49" i="7" s="1"/>
  <c r="C50" i="7"/>
  <c r="D50" i="7"/>
  <c r="C54" i="7"/>
  <c r="D54" i="7"/>
  <c r="E54" i="7" s="1"/>
  <c r="E57" i="7"/>
  <c r="H57" i="7"/>
  <c r="H58" i="7"/>
  <c r="H60" i="7"/>
  <c r="H61" i="7"/>
  <c r="H62" i="7"/>
  <c r="H63" i="7"/>
  <c r="C65" i="7"/>
  <c r="H64" i="7" l="1"/>
  <c r="H65" i="7" s="1"/>
  <c r="D58" i="7" s="1"/>
  <c r="E58" i="7" s="1"/>
  <c r="E61" i="7" s="1"/>
  <c r="G42" i="7"/>
  <c r="G44" i="7" s="1"/>
  <c r="E50" i="7"/>
  <c r="E51" i="7" s="1"/>
  <c r="E42" i="7"/>
  <c r="E44" i="7" s="1"/>
  <c r="G20" i="7"/>
  <c r="E13" i="7"/>
  <c r="K7" i="7"/>
  <c r="K32" i="2"/>
  <c r="L32" i="2" s="1"/>
  <c r="H37" i="2"/>
  <c r="J37" i="2" s="1"/>
  <c r="J32" i="2"/>
  <c r="J35" i="2"/>
  <c r="J36" i="2"/>
  <c r="J38" i="2"/>
  <c r="J31" i="2"/>
  <c r="H33" i="2"/>
  <c r="E46" i="7" l="1"/>
  <c r="J39" i="2"/>
  <c r="J33" i="2"/>
  <c r="H34" i="2"/>
  <c r="J34" i="2" s="1"/>
  <c r="O7" i="7"/>
  <c r="O8" i="7" s="1"/>
  <c r="G15" i="3" l="1"/>
  <c r="G16" i="3"/>
  <c r="G17" i="3"/>
  <c r="G18" i="3"/>
  <c r="G19" i="3"/>
  <c r="G20" i="3"/>
  <c r="G21" i="3"/>
  <c r="G22" i="3"/>
  <c r="G23" i="3"/>
  <c r="G24" i="3"/>
  <c r="G25" i="3"/>
  <c r="A1" i="2" l="1"/>
  <c r="D13" i="7"/>
  <c r="H13" i="7" l="1"/>
  <c r="B20" i="7"/>
  <c r="C12" i="4"/>
  <c r="B13" i="7"/>
  <c r="D14" i="7"/>
  <c r="C18" i="7"/>
  <c r="C12" i="7"/>
  <c r="D13" i="4"/>
  <c r="C13" i="4"/>
  <c r="B12" i="4"/>
  <c r="C13" i="7"/>
  <c r="B13" i="4"/>
  <c r="D18" i="7"/>
  <c r="D17" i="7"/>
  <c r="B18" i="7"/>
  <c r="C20" i="7"/>
  <c r="D12" i="7"/>
  <c r="B12" i="7"/>
  <c r="D15" i="3"/>
  <c r="D12" i="4"/>
  <c r="D20" i="7"/>
  <c r="F13" i="4" l="1"/>
  <c r="H12" i="4"/>
  <c r="H13" i="4"/>
  <c r="F12" i="4"/>
  <c r="F12" i="7"/>
  <c r="H18" i="7"/>
  <c r="F18" i="7"/>
  <c r="F13" i="7"/>
  <c r="H12" i="7"/>
  <c r="H20" i="7"/>
  <c r="F20" i="7"/>
  <c r="A21" i="16"/>
  <c r="C20" i="16"/>
  <c r="A20" i="16"/>
  <c r="D20" i="16"/>
  <c r="D21" i="16"/>
  <c r="C21" i="16"/>
  <c r="E15" i="20" l="1"/>
  <c r="E13" i="20"/>
  <c r="E12" i="20"/>
  <c r="E11" i="20"/>
  <c r="E9" i="20"/>
  <c r="E8" i="20"/>
  <c r="E7" i="20"/>
  <c r="E15" i="15"/>
  <c r="E13" i="15"/>
  <c r="E17" i="15"/>
  <c r="E10" i="14"/>
  <c r="C3" i="16"/>
  <c r="D3" i="16"/>
  <c r="E3" i="16"/>
  <c r="B3" i="16"/>
  <c r="E10" i="13"/>
  <c r="E15" i="9"/>
  <c r="E13" i="9"/>
  <c r="E12" i="9"/>
  <c r="E11" i="9"/>
  <c r="E9" i="9"/>
  <c r="E8" i="9"/>
  <c r="E7" i="9"/>
  <c r="E21" i="7"/>
  <c r="E16" i="7"/>
  <c r="E15" i="7"/>
  <c r="E12" i="6"/>
  <c r="E8" i="5"/>
  <c r="E14" i="6"/>
  <c r="E14" i="5"/>
  <c r="E12" i="5"/>
  <c r="E11" i="4" l="1"/>
  <c r="E13" i="3"/>
  <c r="E11" i="3"/>
  <c r="J11" i="3" s="1"/>
  <c r="G105" i="26"/>
  <c r="H105" i="26" s="1"/>
  <c r="G104" i="26"/>
  <c r="H104" i="26" s="1"/>
  <c r="G103" i="26"/>
  <c r="H103" i="26" s="1"/>
  <c r="G102" i="26"/>
  <c r="H102" i="26" s="1"/>
  <c r="G101" i="26"/>
  <c r="H101" i="26" s="1"/>
  <c r="G100" i="26"/>
  <c r="H100" i="26" s="1"/>
  <c r="G99" i="26"/>
  <c r="H99" i="26" s="1"/>
  <c r="G98" i="26"/>
  <c r="H98" i="26" s="1"/>
  <c r="G97" i="26"/>
  <c r="H97" i="26" s="1"/>
  <c r="G96" i="26"/>
  <c r="H96" i="26" s="1"/>
  <c r="G95" i="26"/>
  <c r="H95" i="26" s="1"/>
  <c r="G94" i="26"/>
  <c r="H94" i="26" s="1"/>
  <c r="G93" i="26"/>
  <c r="H93" i="26" s="1"/>
  <c r="G92" i="26"/>
  <c r="H92" i="26" s="1"/>
  <c r="G91" i="26"/>
  <c r="H91" i="26" s="1"/>
  <c r="G90" i="26"/>
  <c r="H90" i="26" s="1"/>
  <c r="G89" i="26"/>
  <c r="H89" i="26" s="1"/>
  <c r="G88" i="26"/>
  <c r="H88" i="26" s="1"/>
  <c r="G87" i="26"/>
  <c r="H87" i="26" s="1"/>
  <c r="G86" i="26"/>
  <c r="H86" i="26" s="1"/>
  <c r="G85" i="26"/>
  <c r="H85" i="26" s="1"/>
  <c r="G84" i="26"/>
  <c r="H84" i="26" s="1"/>
  <c r="G83" i="26"/>
  <c r="H83" i="26" s="1"/>
  <c r="G82" i="26"/>
  <c r="H82" i="26" s="1"/>
  <c r="G81" i="26"/>
  <c r="H81" i="26" s="1"/>
  <c r="G80" i="26"/>
  <c r="H80" i="26" s="1"/>
  <c r="G79" i="26"/>
  <c r="H79" i="26" s="1"/>
  <c r="G78" i="26"/>
  <c r="H78" i="26" s="1"/>
  <c r="G77" i="26"/>
  <c r="H77" i="26" s="1"/>
  <c r="G76" i="26"/>
  <c r="H76" i="26" s="1"/>
  <c r="G75" i="26"/>
  <c r="H75" i="26" s="1"/>
  <c r="G74" i="26"/>
  <c r="H74" i="26" s="1"/>
  <c r="G73" i="26"/>
  <c r="H73" i="26" s="1"/>
  <c r="G72" i="26"/>
  <c r="H72" i="26" s="1"/>
  <c r="G71" i="26"/>
  <c r="H71" i="26" s="1"/>
  <c r="G70" i="26"/>
  <c r="H70" i="26" s="1"/>
  <c r="G69" i="26"/>
  <c r="H69" i="26" s="1"/>
  <c r="G68" i="26"/>
  <c r="H68" i="26" s="1"/>
  <c r="G67" i="26"/>
  <c r="H67" i="26" s="1"/>
  <c r="G66" i="26"/>
  <c r="H66" i="26" s="1"/>
  <c r="G65" i="26"/>
  <c r="H65" i="26" s="1"/>
  <c r="G64" i="26"/>
  <c r="H64" i="26" s="1"/>
  <c r="G63" i="26"/>
  <c r="H63" i="26" s="1"/>
  <c r="G62" i="26"/>
  <c r="H62" i="26" s="1"/>
  <c r="G61" i="26"/>
  <c r="H61" i="26" s="1"/>
  <c r="G60" i="26"/>
  <c r="H60" i="26" s="1"/>
  <c r="G59" i="26"/>
  <c r="H59" i="26" s="1"/>
  <c r="G58" i="26"/>
  <c r="H58" i="26" s="1"/>
  <c r="G57" i="26"/>
  <c r="H57" i="26" s="1"/>
  <c r="G56" i="26"/>
  <c r="H56" i="26" s="1"/>
  <c r="G55" i="26"/>
  <c r="H55" i="26" s="1"/>
  <c r="G54" i="26"/>
  <c r="H54" i="26" s="1"/>
  <c r="G53" i="26"/>
  <c r="H53" i="26" s="1"/>
  <c r="G52" i="26"/>
  <c r="H52" i="26" s="1"/>
  <c r="G51" i="26"/>
  <c r="H51" i="26" s="1"/>
  <c r="G50" i="26"/>
  <c r="H50" i="26" s="1"/>
  <c r="G49" i="26"/>
  <c r="H49" i="26" s="1"/>
  <c r="G48" i="26"/>
  <c r="H48" i="26" s="1"/>
  <c r="G47" i="26"/>
  <c r="H47" i="26" s="1"/>
  <c r="G46" i="26"/>
  <c r="H46" i="26" s="1"/>
  <c r="G45" i="26"/>
  <c r="H45" i="26" s="1"/>
  <c r="G44" i="26"/>
  <c r="H44" i="26" s="1"/>
  <c r="G43" i="26"/>
  <c r="H43" i="26" s="1"/>
  <c r="G42" i="26"/>
  <c r="H42" i="26" s="1"/>
  <c r="G41" i="26"/>
  <c r="H41" i="26" s="1"/>
  <c r="G40" i="26"/>
  <c r="H40" i="26" s="1"/>
  <c r="G39" i="26"/>
  <c r="H39" i="26" s="1"/>
  <c r="G38" i="26"/>
  <c r="H38" i="26" s="1"/>
  <c r="G37" i="26"/>
  <c r="H37" i="26" s="1"/>
  <c r="G36" i="26"/>
  <c r="H36" i="26" s="1"/>
  <c r="G35" i="26"/>
  <c r="H35" i="26" s="1"/>
  <c r="G34" i="26"/>
  <c r="H34" i="26" s="1"/>
  <c r="G33" i="26"/>
  <c r="H33" i="26" s="1"/>
  <c r="G32" i="26"/>
  <c r="H32" i="26" s="1"/>
  <c r="G31" i="26"/>
  <c r="H31" i="26" s="1"/>
  <c r="G30" i="26"/>
  <c r="H30" i="26" s="1"/>
  <c r="G29" i="26"/>
  <c r="H29" i="26" s="1"/>
  <c r="G28" i="26"/>
  <c r="H28" i="26" s="1"/>
  <c r="G27" i="26"/>
  <c r="H27" i="26" s="1"/>
  <c r="G26" i="26"/>
  <c r="H26" i="26" s="1"/>
  <c r="F26" i="26"/>
  <c r="G25" i="26"/>
  <c r="G24" i="26"/>
  <c r="G23" i="26"/>
  <c r="G22" i="26"/>
  <c r="G21" i="26"/>
  <c r="G20" i="26"/>
  <c r="G19" i="26"/>
  <c r="G18" i="26"/>
  <c r="G17" i="26"/>
  <c r="G16" i="26"/>
  <c r="G15" i="26"/>
  <c r="G14" i="26"/>
  <c r="G13" i="26"/>
  <c r="G12" i="26"/>
  <c r="G11" i="26"/>
  <c r="G10" i="26"/>
  <c r="G9" i="26"/>
  <c r="G8" i="26"/>
  <c r="G7" i="26"/>
  <c r="G105" i="25"/>
  <c r="H105" i="25" s="1"/>
  <c r="G104" i="25"/>
  <c r="H104" i="25" s="1"/>
  <c r="G103" i="25"/>
  <c r="H103" i="25" s="1"/>
  <c r="G102" i="25"/>
  <c r="H102" i="25" s="1"/>
  <c r="G101" i="25"/>
  <c r="H101" i="25" s="1"/>
  <c r="G100" i="25"/>
  <c r="H100" i="25" s="1"/>
  <c r="G99" i="25"/>
  <c r="H99" i="25" s="1"/>
  <c r="G98" i="25"/>
  <c r="H98" i="25" s="1"/>
  <c r="G97" i="25"/>
  <c r="H97" i="25" s="1"/>
  <c r="G96" i="25"/>
  <c r="H96" i="25" s="1"/>
  <c r="G95" i="25"/>
  <c r="H95" i="25" s="1"/>
  <c r="G94" i="25"/>
  <c r="H94" i="25" s="1"/>
  <c r="G93" i="25"/>
  <c r="H93" i="25" s="1"/>
  <c r="G92" i="25"/>
  <c r="H92" i="25" s="1"/>
  <c r="G91" i="25"/>
  <c r="H91" i="25" s="1"/>
  <c r="G90" i="25"/>
  <c r="H90" i="25" s="1"/>
  <c r="G89" i="25"/>
  <c r="H89" i="25" s="1"/>
  <c r="G88" i="25"/>
  <c r="H88" i="25" s="1"/>
  <c r="G87" i="25"/>
  <c r="H87" i="25" s="1"/>
  <c r="G86" i="25"/>
  <c r="H86" i="25" s="1"/>
  <c r="G85" i="25"/>
  <c r="H85" i="25" s="1"/>
  <c r="G84" i="25"/>
  <c r="H84" i="25" s="1"/>
  <c r="G83" i="25"/>
  <c r="H83" i="25" s="1"/>
  <c r="G82" i="25"/>
  <c r="H82" i="25" s="1"/>
  <c r="G81" i="25"/>
  <c r="H81" i="25" s="1"/>
  <c r="G80" i="25"/>
  <c r="H80" i="25" s="1"/>
  <c r="G79" i="25"/>
  <c r="H79" i="25" s="1"/>
  <c r="G78" i="25"/>
  <c r="H78" i="25" s="1"/>
  <c r="G77" i="25"/>
  <c r="H77" i="25" s="1"/>
  <c r="G76" i="25"/>
  <c r="H76" i="25" s="1"/>
  <c r="G75" i="25"/>
  <c r="H75" i="25" s="1"/>
  <c r="G74" i="25"/>
  <c r="H74" i="25" s="1"/>
  <c r="G73" i="25"/>
  <c r="H73" i="25" s="1"/>
  <c r="G72" i="25"/>
  <c r="H72" i="25" s="1"/>
  <c r="G71" i="25"/>
  <c r="H71" i="25" s="1"/>
  <c r="G70" i="25"/>
  <c r="H70" i="25" s="1"/>
  <c r="G69" i="25"/>
  <c r="H69" i="25" s="1"/>
  <c r="G68" i="25"/>
  <c r="H68" i="25" s="1"/>
  <c r="G67" i="25"/>
  <c r="H67" i="25" s="1"/>
  <c r="G66" i="25"/>
  <c r="H66" i="25" s="1"/>
  <c r="G65" i="25"/>
  <c r="H65" i="25" s="1"/>
  <c r="G64" i="25"/>
  <c r="H64" i="25" s="1"/>
  <c r="G63" i="25"/>
  <c r="H63" i="25" s="1"/>
  <c r="G62" i="25"/>
  <c r="H62" i="25" s="1"/>
  <c r="G61" i="25"/>
  <c r="H61" i="25" s="1"/>
  <c r="G60" i="25"/>
  <c r="H60" i="25" s="1"/>
  <c r="G59" i="25"/>
  <c r="H59" i="25" s="1"/>
  <c r="G58" i="25"/>
  <c r="H58" i="25" s="1"/>
  <c r="G57" i="25"/>
  <c r="H57" i="25" s="1"/>
  <c r="G56" i="25"/>
  <c r="H56" i="25" s="1"/>
  <c r="G55" i="25"/>
  <c r="H55" i="25" s="1"/>
  <c r="G54" i="25"/>
  <c r="H54" i="25" s="1"/>
  <c r="G53" i="25"/>
  <c r="H53" i="25" s="1"/>
  <c r="G52" i="25"/>
  <c r="H52" i="25" s="1"/>
  <c r="G51" i="25"/>
  <c r="H51" i="25" s="1"/>
  <c r="G50" i="25"/>
  <c r="H50" i="25" s="1"/>
  <c r="G49" i="25"/>
  <c r="H49" i="25" s="1"/>
  <c r="G48" i="25"/>
  <c r="H48" i="25" s="1"/>
  <c r="G47" i="25"/>
  <c r="H47" i="25" s="1"/>
  <c r="G46" i="25"/>
  <c r="H46" i="25" s="1"/>
  <c r="G45" i="25"/>
  <c r="H45" i="25" s="1"/>
  <c r="G44" i="25"/>
  <c r="H44" i="25" s="1"/>
  <c r="G43" i="25"/>
  <c r="H43" i="25" s="1"/>
  <c r="G42" i="25"/>
  <c r="H42" i="25" s="1"/>
  <c r="G41" i="25"/>
  <c r="H41" i="25" s="1"/>
  <c r="G40" i="25"/>
  <c r="H40" i="25" s="1"/>
  <c r="G39" i="25"/>
  <c r="H39" i="25" s="1"/>
  <c r="G38" i="25"/>
  <c r="H38" i="25" s="1"/>
  <c r="G37" i="25"/>
  <c r="H37" i="25" s="1"/>
  <c r="G36" i="25"/>
  <c r="H36" i="25" s="1"/>
  <c r="G35" i="25"/>
  <c r="H35" i="25" s="1"/>
  <c r="G34" i="25"/>
  <c r="H34" i="25" s="1"/>
  <c r="G33" i="25"/>
  <c r="H33" i="25" s="1"/>
  <c r="G32" i="25"/>
  <c r="H32" i="25" s="1"/>
  <c r="G31" i="25"/>
  <c r="H31" i="25" s="1"/>
  <c r="G30" i="25"/>
  <c r="H30" i="25" s="1"/>
  <c r="G29" i="25"/>
  <c r="H29" i="25" s="1"/>
  <c r="G28" i="25"/>
  <c r="H28" i="25" s="1"/>
  <c r="G27" i="25"/>
  <c r="H27" i="25" s="1"/>
  <c r="G26" i="25"/>
  <c r="H26" i="25" s="1"/>
  <c r="F26" i="25"/>
  <c r="G25" i="25"/>
  <c r="G24" i="25"/>
  <c r="G23" i="25"/>
  <c r="G22" i="25"/>
  <c r="G21" i="25"/>
  <c r="G20" i="25"/>
  <c r="G19" i="25"/>
  <c r="G18" i="25"/>
  <c r="G17" i="25"/>
  <c r="G16" i="25"/>
  <c r="G15" i="25"/>
  <c r="G14" i="25"/>
  <c r="G13" i="25"/>
  <c r="G12" i="25"/>
  <c r="G11" i="25"/>
  <c r="G10" i="25"/>
  <c r="G9" i="25"/>
  <c r="G8" i="25"/>
  <c r="G7" i="25"/>
  <c r="G105" i="24"/>
  <c r="H105" i="24" s="1"/>
  <c r="G104" i="24"/>
  <c r="H104" i="24" s="1"/>
  <c r="G103" i="24"/>
  <c r="H103" i="24" s="1"/>
  <c r="G102" i="24"/>
  <c r="H102" i="24" s="1"/>
  <c r="G101" i="24"/>
  <c r="H101" i="24" s="1"/>
  <c r="G100" i="24"/>
  <c r="H100" i="24" s="1"/>
  <c r="G99" i="24"/>
  <c r="H99" i="24" s="1"/>
  <c r="G98" i="24"/>
  <c r="H98" i="24" s="1"/>
  <c r="G97" i="24"/>
  <c r="H97" i="24" s="1"/>
  <c r="G96" i="24"/>
  <c r="H96" i="24" s="1"/>
  <c r="G95" i="24"/>
  <c r="H95" i="24" s="1"/>
  <c r="G94" i="24"/>
  <c r="H94" i="24" s="1"/>
  <c r="G93" i="24"/>
  <c r="H93" i="24" s="1"/>
  <c r="G92" i="24"/>
  <c r="H92" i="24" s="1"/>
  <c r="G91" i="24"/>
  <c r="H91" i="24" s="1"/>
  <c r="G90" i="24"/>
  <c r="H90" i="24" s="1"/>
  <c r="G89" i="24"/>
  <c r="H89" i="24" s="1"/>
  <c r="G88" i="24"/>
  <c r="H88" i="24" s="1"/>
  <c r="G87" i="24"/>
  <c r="H87" i="24" s="1"/>
  <c r="G86" i="24"/>
  <c r="H86" i="24" s="1"/>
  <c r="G85" i="24"/>
  <c r="H85" i="24" s="1"/>
  <c r="G84" i="24"/>
  <c r="H84" i="24" s="1"/>
  <c r="G83" i="24"/>
  <c r="H83" i="24" s="1"/>
  <c r="G82" i="24"/>
  <c r="H82" i="24" s="1"/>
  <c r="G81" i="24"/>
  <c r="H81" i="24" s="1"/>
  <c r="G80" i="24"/>
  <c r="H80" i="24" s="1"/>
  <c r="G79" i="24"/>
  <c r="H79" i="24" s="1"/>
  <c r="G78" i="24"/>
  <c r="H78" i="24" s="1"/>
  <c r="G77" i="24"/>
  <c r="H77" i="24" s="1"/>
  <c r="G76" i="24"/>
  <c r="H76" i="24" s="1"/>
  <c r="G75" i="24"/>
  <c r="H75" i="24" s="1"/>
  <c r="G74" i="24"/>
  <c r="H74" i="24" s="1"/>
  <c r="G73" i="24"/>
  <c r="H73" i="24" s="1"/>
  <c r="G72" i="24"/>
  <c r="H72" i="24" s="1"/>
  <c r="G71" i="24"/>
  <c r="H71" i="24" s="1"/>
  <c r="G70" i="24"/>
  <c r="H70" i="24" s="1"/>
  <c r="G69" i="24"/>
  <c r="H69" i="24" s="1"/>
  <c r="G68" i="24"/>
  <c r="H68" i="24" s="1"/>
  <c r="G67" i="24"/>
  <c r="H67" i="24" s="1"/>
  <c r="G66" i="24"/>
  <c r="H66" i="24" s="1"/>
  <c r="G65" i="24"/>
  <c r="H65" i="24" s="1"/>
  <c r="G64" i="24"/>
  <c r="H64" i="24" s="1"/>
  <c r="G63" i="24"/>
  <c r="H63" i="24" s="1"/>
  <c r="G62" i="24"/>
  <c r="H62" i="24" s="1"/>
  <c r="G61" i="24"/>
  <c r="H61" i="24" s="1"/>
  <c r="G60" i="24"/>
  <c r="H60" i="24" s="1"/>
  <c r="G59" i="24"/>
  <c r="H59" i="24" s="1"/>
  <c r="G58" i="24"/>
  <c r="H58" i="24" s="1"/>
  <c r="G57" i="24"/>
  <c r="H57" i="24" s="1"/>
  <c r="G56" i="24"/>
  <c r="H56" i="24" s="1"/>
  <c r="G55" i="24"/>
  <c r="H55" i="24" s="1"/>
  <c r="G54" i="24"/>
  <c r="H54" i="24" s="1"/>
  <c r="G53" i="24"/>
  <c r="H53" i="24" s="1"/>
  <c r="G52" i="24"/>
  <c r="H52" i="24" s="1"/>
  <c r="G51" i="24"/>
  <c r="H51" i="24" s="1"/>
  <c r="G50" i="24"/>
  <c r="H50" i="24" s="1"/>
  <c r="G49" i="24"/>
  <c r="H49" i="24" s="1"/>
  <c r="G48" i="24"/>
  <c r="H48" i="24" s="1"/>
  <c r="G47" i="24"/>
  <c r="H47" i="24" s="1"/>
  <c r="G46" i="24"/>
  <c r="H46" i="24" s="1"/>
  <c r="G45" i="24"/>
  <c r="H45" i="24" s="1"/>
  <c r="G44" i="24"/>
  <c r="H44" i="24" s="1"/>
  <c r="G43" i="24"/>
  <c r="H43" i="24" s="1"/>
  <c r="G42" i="24"/>
  <c r="H42" i="24" s="1"/>
  <c r="G41" i="24"/>
  <c r="H41" i="24" s="1"/>
  <c r="G40" i="24"/>
  <c r="H40" i="24" s="1"/>
  <c r="G39" i="24"/>
  <c r="H39" i="24" s="1"/>
  <c r="G38" i="24"/>
  <c r="H38" i="24" s="1"/>
  <c r="G37" i="24"/>
  <c r="H37" i="24" s="1"/>
  <c r="G36" i="24"/>
  <c r="H36" i="24" s="1"/>
  <c r="G35" i="24"/>
  <c r="H35" i="24" s="1"/>
  <c r="G34" i="24"/>
  <c r="H34" i="24" s="1"/>
  <c r="G33" i="24"/>
  <c r="H33" i="24" s="1"/>
  <c r="G32" i="24"/>
  <c r="H32" i="24" s="1"/>
  <c r="G31" i="24"/>
  <c r="H31" i="24" s="1"/>
  <c r="G30" i="24"/>
  <c r="H30" i="24" s="1"/>
  <c r="G29" i="24"/>
  <c r="H29" i="24" s="1"/>
  <c r="G28" i="24"/>
  <c r="H28" i="24" s="1"/>
  <c r="G27" i="24"/>
  <c r="H27" i="24" s="1"/>
  <c r="G26" i="24"/>
  <c r="H26" i="24" s="1"/>
  <c r="F26" i="24"/>
  <c r="G25" i="24"/>
  <c r="G24" i="24"/>
  <c r="G23" i="24"/>
  <c r="G22" i="24"/>
  <c r="G21" i="24"/>
  <c r="G20" i="24"/>
  <c r="G19" i="24"/>
  <c r="G18" i="24"/>
  <c r="G17" i="24"/>
  <c r="G16" i="24"/>
  <c r="G15" i="24"/>
  <c r="G14" i="24"/>
  <c r="G13" i="24"/>
  <c r="G12" i="24"/>
  <c r="G11" i="24"/>
  <c r="G10" i="24"/>
  <c r="G9" i="24"/>
  <c r="G8" i="24"/>
  <c r="G7" i="24"/>
  <c r="G105" i="20"/>
  <c r="H105" i="20" s="1"/>
  <c r="G104" i="20"/>
  <c r="H104" i="20" s="1"/>
  <c r="G103" i="20"/>
  <c r="H103" i="20" s="1"/>
  <c r="G102" i="20"/>
  <c r="H102" i="20" s="1"/>
  <c r="G101" i="20"/>
  <c r="H101" i="20" s="1"/>
  <c r="G100" i="20"/>
  <c r="H100" i="20" s="1"/>
  <c r="G99" i="20"/>
  <c r="H99" i="20" s="1"/>
  <c r="G98" i="20"/>
  <c r="H98" i="20" s="1"/>
  <c r="G97" i="20"/>
  <c r="H97" i="20" s="1"/>
  <c r="G96" i="20"/>
  <c r="H96" i="20" s="1"/>
  <c r="G95" i="20"/>
  <c r="H95" i="20" s="1"/>
  <c r="G94" i="20"/>
  <c r="H94" i="20" s="1"/>
  <c r="G93" i="20"/>
  <c r="H93" i="20" s="1"/>
  <c r="G92" i="20"/>
  <c r="H92" i="20" s="1"/>
  <c r="G91" i="20"/>
  <c r="H91" i="20" s="1"/>
  <c r="G90" i="20"/>
  <c r="H90" i="20" s="1"/>
  <c r="G89" i="20"/>
  <c r="H89" i="20" s="1"/>
  <c r="G88" i="20"/>
  <c r="H88" i="20" s="1"/>
  <c r="G87" i="20"/>
  <c r="H87" i="20" s="1"/>
  <c r="G86" i="20"/>
  <c r="H86" i="20" s="1"/>
  <c r="G85" i="20"/>
  <c r="H85" i="20" s="1"/>
  <c r="G84" i="20"/>
  <c r="H84" i="20" s="1"/>
  <c r="G83" i="20"/>
  <c r="H83" i="20" s="1"/>
  <c r="G82" i="20"/>
  <c r="H82" i="20" s="1"/>
  <c r="G81" i="20"/>
  <c r="H81" i="20" s="1"/>
  <c r="G80" i="20"/>
  <c r="H80" i="20" s="1"/>
  <c r="G79" i="20"/>
  <c r="H79" i="20" s="1"/>
  <c r="G78" i="20"/>
  <c r="H78" i="20" s="1"/>
  <c r="G77" i="20"/>
  <c r="H77" i="20" s="1"/>
  <c r="G76" i="20"/>
  <c r="H76" i="20" s="1"/>
  <c r="G75" i="20"/>
  <c r="H75" i="20" s="1"/>
  <c r="G74" i="20"/>
  <c r="H74" i="20" s="1"/>
  <c r="G73" i="20"/>
  <c r="H73" i="20" s="1"/>
  <c r="G72" i="20"/>
  <c r="H72" i="20" s="1"/>
  <c r="G71" i="20"/>
  <c r="H71" i="20" s="1"/>
  <c r="G70" i="20"/>
  <c r="H70" i="20" s="1"/>
  <c r="G69" i="20"/>
  <c r="H69" i="20" s="1"/>
  <c r="G68" i="20"/>
  <c r="H68" i="20" s="1"/>
  <c r="G67" i="20"/>
  <c r="H67" i="20" s="1"/>
  <c r="G66" i="20"/>
  <c r="H66" i="20" s="1"/>
  <c r="G65" i="20"/>
  <c r="H65" i="20" s="1"/>
  <c r="G64" i="20"/>
  <c r="H64" i="20" s="1"/>
  <c r="G63" i="20"/>
  <c r="H63" i="20" s="1"/>
  <c r="G62" i="20"/>
  <c r="H62" i="20" s="1"/>
  <c r="G61" i="20"/>
  <c r="H61" i="20" s="1"/>
  <c r="G60" i="20"/>
  <c r="H60" i="20" s="1"/>
  <c r="G59" i="20"/>
  <c r="H59" i="20" s="1"/>
  <c r="G58" i="20"/>
  <c r="H58" i="20" s="1"/>
  <c r="G57" i="20"/>
  <c r="H57" i="20" s="1"/>
  <c r="G56" i="20"/>
  <c r="H56" i="20" s="1"/>
  <c r="G55" i="20"/>
  <c r="H55" i="20" s="1"/>
  <c r="G54" i="20"/>
  <c r="H54" i="20" s="1"/>
  <c r="G53" i="20"/>
  <c r="H53" i="20" s="1"/>
  <c r="G52" i="20"/>
  <c r="H52" i="20" s="1"/>
  <c r="G51" i="20"/>
  <c r="H51" i="20" s="1"/>
  <c r="G50" i="20"/>
  <c r="H50" i="20" s="1"/>
  <c r="G49" i="20"/>
  <c r="H49" i="20" s="1"/>
  <c r="G48" i="20"/>
  <c r="H48" i="20" s="1"/>
  <c r="G47" i="20"/>
  <c r="H47" i="20" s="1"/>
  <c r="G46" i="20"/>
  <c r="H46" i="20" s="1"/>
  <c r="G45" i="20"/>
  <c r="H45" i="20" s="1"/>
  <c r="G44" i="20"/>
  <c r="H44" i="20" s="1"/>
  <c r="G43" i="20"/>
  <c r="H43" i="20" s="1"/>
  <c r="G42" i="20"/>
  <c r="H42" i="20" s="1"/>
  <c r="G41" i="20"/>
  <c r="H41" i="20" s="1"/>
  <c r="G40" i="20"/>
  <c r="H40"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F26" i="20"/>
  <c r="G25" i="20"/>
  <c r="G24" i="20"/>
  <c r="G23" i="20"/>
  <c r="G22" i="20"/>
  <c r="G21" i="20"/>
  <c r="G20" i="20"/>
  <c r="G19" i="20"/>
  <c r="G18" i="20"/>
  <c r="G17" i="20"/>
  <c r="G16" i="20"/>
  <c r="G15" i="20"/>
  <c r="G14" i="20"/>
  <c r="G13" i="20"/>
  <c r="G12" i="20"/>
  <c r="G11" i="20"/>
  <c r="G10" i="20"/>
  <c r="G9" i="20"/>
  <c r="G8" i="20"/>
  <c r="G7" i="20"/>
  <c r="G105" i="19"/>
  <c r="H105" i="19" s="1"/>
  <c r="G104" i="19"/>
  <c r="H104" i="19" s="1"/>
  <c r="G103" i="19"/>
  <c r="H103" i="19" s="1"/>
  <c r="G102" i="19"/>
  <c r="H102" i="19" s="1"/>
  <c r="G101" i="19"/>
  <c r="H101" i="19" s="1"/>
  <c r="G100" i="19"/>
  <c r="H100" i="19" s="1"/>
  <c r="G99" i="19"/>
  <c r="H99" i="19" s="1"/>
  <c r="G98" i="19"/>
  <c r="H98" i="19" s="1"/>
  <c r="G97" i="19"/>
  <c r="H97" i="19" s="1"/>
  <c r="G96" i="19"/>
  <c r="H96" i="19" s="1"/>
  <c r="G95" i="19"/>
  <c r="H95" i="19" s="1"/>
  <c r="G94" i="19"/>
  <c r="H94" i="19" s="1"/>
  <c r="G93" i="19"/>
  <c r="H93" i="19" s="1"/>
  <c r="G92" i="19"/>
  <c r="H92" i="19" s="1"/>
  <c r="G91" i="19"/>
  <c r="H91" i="19" s="1"/>
  <c r="G90" i="19"/>
  <c r="H90" i="19" s="1"/>
  <c r="G89" i="19"/>
  <c r="H89" i="19" s="1"/>
  <c r="G88" i="19"/>
  <c r="H88" i="19" s="1"/>
  <c r="G87" i="19"/>
  <c r="H87" i="19" s="1"/>
  <c r="G86" i="19"/>
  <c r="H86" i="19" s="1"/>
  <c r="G85" i="19"/>
  <c r="H85" i="19" s="1"/>
  <c r="G84" i="19"/>
  <c r="H84" i="19" s="1"/>
  <c r="G83" i="19"/>
  <c r="H83" i="19" s="1"/>
  <c r="G82" i="19"/>
  <c r="H82" i="19" s="1"/>
  <c r="G81" i="19"/>
  <c r="H81" i="19" s="1"/>
  <c r="G80" i="19"/>
  <c r="H80" i="19" s="1"/>
  <c r="G79" i="19"/>
  <c r="H79" i="19" s="1"/>
  <c r="G78" i="19"/>
  <c r="H78" i="19" s="1"/>
  <c r="G77" i="19"/>
  <c r="H77" i="19" s="1"/>
  <c r="G76" i="19"/>
  <c r="H76" i="19" s="1"/>
  <c r="G75" i="19"/>
  <c r="H75" i="19" s="1"/>
  <c r="G74" i="19"/>
  <c r="H74" i="19" s="1"/>
  <c r="G73" i="19"/>
  <c r="H73" i="19" s="1"/>
  <c r="G72" i="19"/>
  <c r="H72" i="19" s="1"/>
  <c r="G71" i="19"/>
  <c r="H71" i="19" s="1"/>
  <c r="G70" i="19"/>
  <c r="H70" i="19" s="1"/>
  <c r="G69" i="19"/>
  <c r="H69" i="19" s="1"/>
  <c r="G68" i="19"/>
  <c r="H68" i="19" s="1"/>
  <c r="G67" i="19"/>
  <c r="H67" i="19" s="1"/>
  <c r="G66" i="19"/>
  <c r="H66" i="19" s="1"/>
  <c r="G65" i="19"/>
  <c r="H65" i="19" s="1"/>
  <c r="G64" i="19"/>
  <c r="H64" i="19" s="1"/>
  <c r="G63" i="19"/>
  <c r="H63" i="19" s="1"/>
  <c r="G62" i="19"/>
  <c r="H62" i="19" s="1"/>
  <c r="G61" i="19"/>
  <c r="H61" i="19" s="1"/>
  <c r="G60" i="19"/>
  <c r="H60" i="19" s="1"/>
  <c r="G59" i="19"/>
  <c r="H59" i="19" s="1"/>
  <c r="G58" i="19"/>
  <c r="H58" i="19" s="1"/>
  <c r="G57" i="19"/>
  <c r="H57" i="19" s="1"/>
  <c r="G56" i="19"/>
  <c r="H56" i="19" s="1"/>
  <c r="G55" i="19"/>
  <c r="H55" i="19" s="1"/>
  <c r="G54" i="19"/>
  <c r="H54" i="19" s="1"/>
  <c r="G53" i="19"/>
  <c r="H53" i="19" s="1"/>
  <c r="G52" i="19"/>
  <c r="H52" i="19" s="1"/>
  <c r="G51" i="19"/>
  <c r="H51" i="19" s="1"/>
  <c r="G50" i="19"/>
  <c r="H50" i="19" s="1"/>
  <c r="G49" i="19"/>
  <c r="H49" i="19" s="1"/>
  <c r="G48" i="19"/>
  <c r="H48" i="19" s="1"/>
  <c r="G47" i="19"/>
  <c r="H47" i="19" s="1"/>
  <c r="G46" i="19"/>
  <c r="H46" i="19" s="1"/>
  <c r="G45" i="19"/>
  <c r="H45" i="19" s="1"/>
  <c r="G44" i="19"/>
  <c r="H44" i="19" s="1"/>
  <c r="G43" i="19"/>
  <c r="H43" i="19" s="1"/>
  <c r="G42" i="19"/>
  <c r="H42" i="19" s="1"/>
  <c r="G41" i="19"/>
  <c r="H41" i="19" s="1"/>
  <c r="G40" i="19"/>
  <c r="H40" i="19" s="1"/>
  <c r="G39" i="19"/>
  <c r="H39" i="19" s="1"/>
  <c r="G38" i="19"/>
  <c r="H38" i="19" s="1"/>
  <c r="G37" i="19"/>
  <c r="H37" i="19" s="1"/>
  <c r="G36" i="19"/>
  <c r="H36" i="19" s="1"/>
  <c r="G35" i="19"/>
  <c r="H35" i="19" s="1"/>
  <c r="G34" i="19"/>
  <c r="H34" i="19" s="1"/>
  <c r="G33" i="19"/>
  <c r="H33" i="19" s="1"/>
  <c r="G32" i="19"/>
  <c r="H32" i="19" s="1"/>
  <c r="G31" i="19"/>
  <c r="H31" i="19" s="1"/>
  <c r="G30" i="19"/>
  <c r="H30" i="19" s="1"/>
  <c r="G29" i="19"/>
  <c r="H29" i="19" s="1"/>
  <c r="G28" i="19"/>
  <c r="H28" i="19" s="1"/>
  <c r="G27" i="19"/>
  <c r="H27" i="19" s="1"/>
  <c r="G26" i="19"/>
  <c r="H26" i="19" s="1"/>
  <c r="F26" i="19"/>
  <c r="G25" i="19"/>
  <c r="G24" i="19"/>
  <c r="G23" i="19"/>
  <c r="G22" i="19"/>
  <c r="G21" i="19"/>
  <c r="G20" i="19"/>
  <c r="G19" i="19"/>
  <c r="G18" i="19"/>
  <c r="G17" i="19"/>
  <c r="G16" i="19"/>
  <c r="G15" i="19"/>
  <c r="G14" i="19"/>
  <c r="G13" i="19"/>
  <c r="G12" i="19"/>
  <c r="G11" i="19"/>
  <c r="G10" i="19"/>
  <c r="G9" i="19"/>
  <c r="G8" i="19"/>
  <c r="G7" i="19"/>
  <c r="J11" i="4" l="1"/>
  <c r="G11" i="4"/>
  <c r="G105" i="15"/>
  <c r="H105" i="15" s="1"/>
  <c r="G104" i="15"/>
  <c r="H104" i="15" s="1"/>
  <c r="G103" i="15"/>
  <c r="H103" i="15" s="1"/>
  <c r="G102" i="15"/>
  <c r="H102" i="15" s="1"/>
  <c r="G101" i="15"/>
  <c r="H101" i="15" s="1"/>
  <c r="G100" i="15"/>
  <c r="H100" i="15" s="1"/>
  <c r="G99" i="15"/>
  <c r="H99" i="15" s="1"/>
  <c r="G98" i="15"/>
  <c r="H98" i="15" s="1"/>
  <c r="G97" i="15"/>
  <c r="H97" i="15" s="1"/>
  <c r="G96" i="15"/>
  <c r="H96" i="15" s="1"/>
  <c r="G95" i="15"/>
  <c r="H95" i="15" s="1"/>
  <c r="G94" i="15"/>
  <c r="H94" i="15" s="1"/>
  <c r="G93" i="15"/>
  <c r="H93" i="15" s="1"/>
  <c r="G92" i="15"/>
  <c r="H92" i="15" s="1"/>
  <c r="G91" i="15"/>
  <c r="H91" i="15" s="1"/>
  <c r="G90" i="15"/>
  <c r="H90" i="15" s="1"/>
  <c r="G89" i="15"/>
  <c r="H89" i="15" s="1"/>
  <c r="G88" i="15"/>
  <c r="H88" i="15" s="1"/>
  <c r="G87" i="15"/>
  <c r="H87" i="15" s="1"/>
  <c r="G86" i="15"/>
  <c r="H86" i="15" s="1"/>
  <c r="G85" i="15"/>
  <c r="H85" i="15" s="1"/>
  <c r="G84" i="15"/>
  <c r="H84" i="15" s="1"/>
  <c r="G83" i="15"/>
  <c r="H83" i="15" s="1"/>
  <c r="G82" i="15"/>
  <c r="H82" i="15" s="1"/>
  <c r="G81" i="15"/>
  <c r="H81" i="15" s="1"/>
  <c r="G80" i="15"/>
  <c r="H80" i="15" s="1"/>
  <c r="G79" i="15"/>
  <c r="H79" i="15" s="1"/>
  <c r="G78" i="15"/>
  <c r="H78" i="15" s="1"/>
  <c r="G77" i="15"/>
  <c r="H77" i="15" s="1"/>
  <c r="G76" i="15"/>
  <c r="H76" i="15" s="1"/>
  <c r="G75" i="15"/>
  <c r="H75" i="15" s="1"/>
  <c r="G74" i="15"/>
  <c r="H74" i="15" s="1"/>
  <c r="G73" i="15"/>
  <c r="H73" i="15" s="1"/>
  <c r="G72" i="15"/>
  <c r="H72" i="15" s="1"/>
  <c r="G71" i="15"/>
  <c r="H71" i="15" s="1"/>
  <c r="G70" i="15"/>
  <c r="H70" i="15" s="1"/>
  <c r="G69" i="15"/>
  <c r="H69" i="15" s="1"/>
  <c r="G68" i="15"/>
  <c r="H68" i="15" s="1"/>
  <c r="G67" i="15"/>
  <c r="H67" i="15" s="1"/>
  <c r="G66" i="15"/>
  <c r="H66" i="15" s="1"/>
  <c r="G65" i="15"/>
  <c r="H65" i="15" s="1"/>
  <c r="G64" i="15"/>
  <c r="H64" i="15" s="1"/>
  <c r="G63" i="15"/>
  <c r="H63" i="15" s="1"/>
  <c r="G62" i="15"/>
  <c r="H62" i="15" s="1"/>
  <c r="G61" i="15"/>
  <c r="H61" i="15" s="1"/>
  <c r="G60" i="15"/>
  <c r="H60" i="15" s="1"/>
  <c r="G59" i="15"/>
  <c r="H59" i="15" s="1"/>
  <c r="G58" i="15"/>
  <c r="H58" i="15" s="1"/>
  <c r="G57" i="15"/>
  <c r="H57" i="15" s="1"/>
  <c r="G56" i="15"/>
  <c r="H56" i="15" s="1"/>
  <c r="G55" i="15"/>
  <c r="H55" i="15" s="1"/>
  <c r="G54" i="15"/>
  <c r="H54" i="15" s="1"/>
  <c r="G53" i="15"/>
  <c r="H53" i="15" s="1"/>
  <c r="G52" i="15"/>
  <c r="H52" i="15" s="1"/>
  <c r="G51" i="15"/>
  <c r="H51" i="15" s="1"/>
  <c r="G50" i="15"/>
  <c r="H50" i="15" s="1"/>
  <c r="G49" i="15"/>
  <c r="H49" i="15" s="1"/>
  <c r="G48" i="15"/>
  <c r="H48" i="15" s="1"/>
  <c r="G47" i="15"/>
  <c r="H47" i="15" s="1"/>
  <c r="G46" i="15"/>
  <c r="H46" i="15" s="1"/>
  <c r="G45" i="15"/>
  <c r="H45" i="15" s="1"/>
  <c r="G44" i="15"/>
  <c r="H44" i="15" s="1"/>
  <c r="G43" i="15"/>
  <c r="H43" i="15" s="1"/>
  <c r="G42" i="15"/>
  <c r="H42" i="15" s="1"/>
  <c r="G41" i="15"/>
  <c r="H41" i="15" s="1"/>
  <c r="G40" i="15"/>
  <c r="H40" i="15" s="1"/>
  <c r="G39" i="15"/>
  <c r="H39" i="15" s="1"/>
  <c r="G38" i="15"/>
  <c r="H38" i="15" s="1"/>
  <c r="G37" i="15"/>
  <c r="H37" i="15" s="1"/>
  <c r="G36" i="15"/>
  <c r="H36" i="15" s="1"/>
  <c r="G35" i="15"/>
  <c r="H35" i="15" s="1"/>
  <c r="G34" i="15"/>
  <c r="H34" i="15" s="1"/>
  <c r="G33" i="15"/>
  <c r="H33" i="15" s="1"/>
  <c r="G32" i="15"/>
  <c r="H32" i="15" s="1"/>
  <c r="G31" i="15"/>
  <c r="H31" i="15" s="1"/>
  <c r="G30" i="15"/>
  <c r="H30" i="15" s="1"/>
  <c r="G29" i="15"/>
  <c r="H29" i="15" s="1"/>
  <c r="G28" i="15"/>
  <c r="H28" i="15" s="1"/>
  <c r="G27" i="15"/>
  <c r="H27" i="15" s="1"/>
  <c r="G26" i="15"/>
  <c r="H26" i="15" s="1"/>
  <c r="F26" i="15"/>
  <c r="G25" i="15"/>
  <c r="G24" i="15"/>
  <c r="G23" i="15"/>
  <c r="G22" i="15"/>
  <c r="G21" i="15"/>
  <c r="G20" i="15"/>
  <c r="G19" i="15"/>
  <c r="G18" i="15"/>
  <c r="G17" i="15"/>
  <c r="G16" i="15"/>
  <c r="G15" i="15"/>
  <c r="G14" i="15"/>
  <c r="G13" i="15"/>
  <c r="G12" i="15"/>
  <c r="G11" i="15"/>
  <c r="G10" i="15"/>
  <c r="G9" i="15"/>
  <c r="G8" i="15"/>
  <c r="G7" i="15"/>
  <c r="G105" i="14"/>
  <c r="H105" i="14" s="1"/>
  <c r="G104" i="14"/>
  <c r="H104" i="14" s="1"/>
  <c r="G103" i="14"/>
  <c r="H103" i="14" s="1"/>
  <c r="G102" i="14"/>
  <c r="H102" i="14" s="1"/>
  <c r="G101" i="14"/>
  <c r="H101" i="14" s="1"/>
  <c r="G100" i="14"/>
  <c r="H100" i="14" s="1"/>
  <c r="G99" i="14"/>
  <c r="H99" i="14" s="1"/>
  <c r="G98" i="14"/>
  <c r="H98" i="14" s="1"/>
  <c r="G97" i="14"/>
  <c r="H97" i="14" s="1"/>
  <c r="G96" i="14"/>
  <c r="H96" i="14" s="1"/>
  <c r="G95" i="14"/>
  <c r="H95" i="14" s="1"/>
  <c r="G94" i="14"/>
  <c r="H94" i="14" s="1"/>
  <c r="G93" i="14"/>
  <c r="H93" i="14" s="1"/>
  <c r="G92" i="14"/>
  <c r="H92" i="14" s="1"/>
  <c r="G91" i="14"/>
  <c r="H91" i="14" s="1"/>
  <c r="G90" i="14"/>
  <c r="H90" i="14" s="1"/>
  <c r="G89" i="14"/>
  <c r="H89" i="14" s="1"/>
  <c r="G88" i="14"/>
  <c r="H88" i="14" s="1"/>
  <c r="G87" i="14"/>
  <c r="H87" i="14" s="1"/>
  <c r="G86" i="14"/>
  <c r="H86" i="14" s="1"/>
  <c r="G85" i="14"/>
  <c r="H85" i="14" s="1"/>
  <c r="G84" i="14"/>
  <c r="H84" i="14" s="1"/>
  <c r="G83" i="14"/>
  <c r="H83" i="14" s="1"/>
  <c r="G82" i="14"/>
  <c r="H82" i="14" s="1"/>
  <c r="G81" i="14"/>
  <c r="H81" i="14" s="1"/>
  <c r="G80" i="14"/>
  <c r="H80" i="14" s="1"/>
  <c r="G79" i="14"/>
  <c r="H79" i="14" s="1"/>
  <c r="G78" i="14"/>
  <c r="H78" i="14" s="1"/>
  <c r="G77" i="14"/>
  <c r="H77" i="14" s="1"/>
  <c r="G76" i="14"/>
  <c r="H76" i="14" s="1"/>
  <c r="G75" i="14"/>
  <c r="H75" i="14" s="1"/>
  <c r="G74" i="14"/>
  <c r="H74" i="14" s="1"/>
  <c r="G73" i="14"/>
  <c r="H73" i="14" s="1"/>
  <c r="G72" i="14"/>
  <c r="H72" i="14" s="1"/>
  <c r="G71" i="14"/>
  <c r="H71" i="14" s="1"/>
  <c r="G70" i="14"/>
  <c r="H70" i="14" s="1"/>
  <c r="G69" i="14"/>
  <c r="H69" i="14" s="1"/>
  <c r="G68" i="14"/>
  <c r="H68" i="14" s="1"/>
  <c r="G67" i="14"/>
  <c r="H67" i="14" s="1"/>
  <c r="G66" i="14"/>
  <c r="H66" i="14" s="1"/>
  <c r="G65" i="14"/>
  <c r="H65" i="14" s="1"/>
  <c r="G64" i="14"/>
  <c r="H64" i="14" s="1"/>
  <c r="G63" i="14"/>
  <c r="H63" i="14" s="1"/>
  <c r="G62" i="14"/>
  <c r="H62" i="14" s="1"/>
  <c r="G61" i="14"/>
  <c r="H61" i="14" s="1"/>
  <c r="G60" i="14"/>
  <c r="H60" i="14" s="1"/>
  <c r="G59" i="14"/>
  <c r="H59" i="14" s="1"/>
  <c r="G58" i="14"/>
  <c r="H58" i="14" s="1"/>
  <c r="G57" i="14"/>
  <c r="H57" i="14" s="1"/>
  <c r="G56" i="14"/>
  <c r="H56" i="14" s="1"/>
  <c r="G55" i="14"/>
  <c r="H55" i="14" s="1"/>
  <c r="G54" i="14"/>
  <c r="H54" i="14" s="1"/>
  <c r="G53" i="14"/>
  <c r="H53" i="14" s="1"/>
  <c r="G52" i="14"/>
  <c r="H52" i="14" s="1"/>
  <c r="G51" i="14"/>
  <c r="H51" i="14" s="1"/>
  <c r="G50" i="14"/>
  <c r="H50" i="14" s="1"/>
  <c r="G49" i="14"/>
  <c r="H49" i="14" s="1"/>
  <c r="G48" i="14"/>
  <c r="H48" i="14" s="1"/>
  <c r="G47" i="14"/>
  <c r="H47" i="14" s="1"/>
  <c r="G46" i="14"/>
  <c r="H46" i="14" s="1"/>
  <c r="G45" i="14"/>
  <c r="H45" i="14" s="1"/>
  <c r="G44" i="14"/>
  <c r="H44" i="14" s="1"/>
  <c r="G43" i="14"/>
  <c r="H43" i="14" s="1"/>
  <c r="G42" i="14"/>
  <c r="H42" i="14" s="1"/>
  <c r="G41" i="14"/>
  <c r="H41" i="14" s="1"/>
  <c r="G40" i="14"/>
  <c r="H40" i="14" s="1"/>
  <c r="G39" i="14"/>
  <c r="H39" i="14" s="1"/>
  <c r="G38" i="14"/>
  <c r="H38" i="14" s="1"/>
  <c r="G37" i="14"/>
  <c r="H37" i="14" s="1"/>
  <c r="G36" i="14"/>
  <c r="H36" i="14" s="1"/>
  <c r="G35" i="14"/>
  <c r="H35" i="14" s="1"/>
  <c r="G34" i="14"/>
  <c r="H34" i="14" s="1"/>
  <c r="G33" i="14"/>
  <c r="H33" i="14" s="1"/>
  <c r="G32" i="14"/>
  <c r="H32" i="14" s="1"/>
  <c r="G31" i="14"/>
  <c r="H31" i="14" s="1"/>
  <c r="G30" i="14"/>
  <c r="H30" i="14" s="1"/>
  <c r="G29" i="14"/>
  <c r="H29" i="14" s="1"/>
  <c r="G28" i="14"/>
  <c r="H28" i="14" s="1"/>
  <c r="G27" i="14"/>
  <c r="H27" i="14" s="1"/>
  <c r="G26" i="14"/>
  <c r="H26" i="14" s="1"/>
  <c r="F26" i="14"/>
  <c r="G25" i="14"/>
  <c r="G24" i="14"/>
  <c r="G23" i="14"/>
  <c r="G22" i="14"/>
  <c r="G21" i="14"/>
  <c r="G20" i="14"/>
  <c r="G19" i="14"/>
  <c r="G18" i="14"/>
  <c r="G17" i="14"/>
  <c r="G16" i="14"/>
  <c r="G15" i="14"/>
  <c r="G14" i="14"/>
  <c r="G13" i="14"/>
  <c r="G12" i="14"/>
  <c r="G11" i="14"/>
  <c r="G10" i="14"/>
  <c r="G9" i="14"/>
  <c r="G8" i="14"/>
  <c r="G7" i="14"/>
  <c r="G105" i="13"/>
  <c r="H105" i="13" s="1"/>
  <c r="G104" i="13"/>
  <c r="H104" i="13" s="1"/>
  <c r="G103" i="13"/>
  <c r="H103" i="13" s="1"/>
  <c r="G102" i="13"/>
  <c r="H102" i="13" s="1"/>
  <c r="G101" i="13"/>
  <c r="H101" i="13" s="1"/>
  <c r="G100" i="13"/>
  <c r="H100" i="13" s="1"/>
  <c r="G99" i="13"/>
  <c r="H99" i="13" s="1"/>
  <c r="G98" i="13"/>
  <c r="H98" i="13" s="1"/>
  <c r="G97" i="13"/>
  <c r="H97" i="13" s="1"/>
  <c r="G96" i="13"/>
  <c r="H96" i="13" s="1"/>
  <c r="G95" i="13"/>
  <c r="H95" i="13" s="1"/>
  <c r="G94" i="13"/>
  <c r="H94" i="13" s="1"/>
  <c r="G93" i="13"/>
  <c r="H93" i="13" s="1"/>
  <c r="G92" i="13"/>
  <c r="H92" i="13" s="1"/>
  <c r="G91" i="13"/>
  <c r="H91" i="13" s="1"/>
  <c r="G90" i="13"/>
  <c r="H90" i="13" s="1"/>
  <c r="G89" i="13"/>
  <c r="H89" i="13" s="1"/>
  <c r="G88" i="13"/>
  <c r="H88" i="13" s="1"/>
  <c r="G87" i="13"/>
  <c r="H87" i="13" s="1"/>
  <c r="G86" i="13"/>
  <c r="H86" i="13" s="1"/>
  <c r="G85" i="13"/>
  <c r="H85" i="13" s="1"/>
  <c r="G84" i="13"/>
  <c r="H84" i="13" s="1"/>
  <c r="G83" i="13"/>
  <c r="H83" i="13" s="1"/>
  <c r="G82" i="13"/>
  <c r="H82" i="13" s="1"/>
  <c r="G81" i="13"/>
  <c r="H81" i="13" s="1"/>
  <c r="G80" i="13"/>
  <c r="H80" i="13" s="1"/>
  <c r="G79" i="13"/>
  <c r="H79" i="13" s="1"/>
  <c r="G78" i="13"/>
  <c r="H78" i="13" s="1"/>
  <c r="G77" i="13"/>
  <c r="H77" i="13" s="1"/>
  <c r="G76" i="13"/>
  <c r="H76" i="13" s="1"/>
  <c r="G75" i="13"/>
  <c r="H75" i="13" s="1"/>
  <c r="G74" i="13"/>
  <c r="H74" i="13" s="1"/>
  <c r="G73" i="13"/>
  <c r="H73" i="13" s="1"/>
  <c r="G72" i="13"/>
  <c r="H72" i="13" s="1"/>
  <c r="G71" i="13"/>
  <c r="H71" i="13" s="1"/>
  <c r="G70" i="13"/>
  <c r="H70" i="13" s="1"/>
  <c r="G69" i="13"/>
  <c r="H69" i="13" s="1"/>
  <c r="G68" i="13"/>
  <c r="H68" i="13" s="1"/>
  <c r="G67" i="13"/>
  <c r="H67" i="13" s="1"/>
  <c r="G66" i="13"/>
  <c r="H66" i="13" s="1"/>
  <c r="G65" i="13"/>
  <c r="H65" i="13" s="1"/>
  <c r="G64" i="13"/>
  <c r="H64" i="13" s="1"/>
  <c r="G63" i="13"/>
  <c r="H63" i="13" s="1"/>
  <c r="G62" i="13"/>
  <c r="H62" i="13" s="1"/>
  <c r="G61" i="13"/>
  <c r="H61" i="13" s="1"/>
  <c r="G60" i="13"/>
  <c r="H60" i="13" s="1"/>
  <c r="G59" i="13"/>
  <c r="H59" i="13" s="1"/>
  <c r="G58" i="13"/>
  <c r="H58" i="13" s="1"/>
  <c r="G57" i="13"/>
  <c r="H57" i="13" s="1"/>
  <c r="G56" i="13"/>
  <c r="H56" i="13" s="1"/>
  <c r="G55" i="13"/>
  <c r="H55" i="13" s="1"/>
  <c r="G54" i="13"/>
  <c r="H54" i="13" s="1"/>
  <c r="G53" i="13"/>
  <c r="H53" i="13" s="1"/>
  <c r="G52" i="13"/>
  <c r="H52" i="13" s="1"/>
  <c r="G51" i="13"/>
  <c r="H51" i="13" s="1"/>
  <c r="G50" i="13"/>
  <c r="H50" i="13" s="1"/>
  <c r="G49" i="13"/>
  <c r="H49" i="13" s="1"/>
  <c r="G48" i="13"/>
  <c r="H48" i="13" s="1"/>
  <c r="G47" i="13"/>
  <c r="H47" i="13" s="1"/>
  <c r="G46" i="13"/>
  <c r="H46" i="13" s="1"/>
  <c r="G45" i="13"/>
  <c r="H45" i="13" s="1"/>
  <c r="G44" i="13"/>
  <c r="H44" i="13" s="1"/>
  <c r="G43" i="13"/>
  <c r="H43" i="13" s="1"/>
  <c r="G42" i="13"/>
  <c r="H42" i="13" s="1"/>
  <c r="G41" i="13"/>
  <c r="H41" i="13" s="1"/>
  <c r="G40" i="13"/>
  <c r="H40" i="13" s="1"/>
  <c r="G39" i="13"/>
  <c r="H39" i="13" s="1"/>
  <c r="G38" i="13"/>
  <c r="H38" i="13" s="1"/>
  <c r="G37" i="13"/>
  <c r="H37" i="13" s="1"/>
  <c r="G36" i="13"/>
  <c r="H36" i="13" s="1"/>
  <c r="G35" i="13"/>
  <c r="H35" i="13" s="1"/>
  <c r="G34" i="13"/>
  <c r="H34" i="13" s="1"/>
  <c r="G33" i="13"/>
  <c r="H33" i="13" s="1"/>
  <c r="G32" i="13"/>
  <c r="H32" i="13" s="1"/>
  <c r="G31" i="13"/>
  <c r="H31" i="13" s="1"/>
  <c r="G30" i="13"/>
  <c r="H30" i="13" s="1"/>
  <c r="G29" i="13"/>
  <c r="H29" i="13" s="1"/>
  <c r="G28" i="13"/>
  <c r="H28" i="13" s="1"/>
  <c r="G27" i="13"/>
  <c r="H27" i="13" s="1"/>
  <c r="G26" i="13"/>
  <c r="H26" i="13" s="1"/>
  <c r="F26" i="13"/>
  <c r="G25" i="13"/>
  <c r="G24" i="13"/>
  <c r="G23" i="13"/>
  <c r="G22" i="13"/>
  <c r="G21" i="13"/>
  <c r="G20" i="13"/>
  <c r="G19" i="13"/>
  <c r="G18" i="13"/>
  <c r="G17" i="13"/>
  <c r="G16" i="13"/>
  <c r="G15" i="13"/>
  <c r="G14" i="13"/>
  <c r="G13" i="13"/>
  <c r="G12" i="13"/>
  <c r="G11" i="13"/>
  <c r="G10" i="13"/>
  <c r="G9" i="13"/>
  <c r="G8" i="13"/>
  <c r="G7" i="13"/>
  <c r="G105" i="12"/>
  <c r="H105" i="12" s="1"/>
  <c r="G104" i="12"/>
  <c r="H104" i="12" s="1"/>
  <c r="G103" i="12"/>
  <c r="H103" i="12" s="1"/>
  <c r="G102" i="12"/>
  <c r="H102" i="12" s="1"/>
  <c r="G101" i="12"/>
  <c r="H101" i="12" s="1"/>
  <c r="G100" i="12"/>
  <c r="H100" i="12" s="1"/>
  <c r="G99" i="12"/>
  <c r="H99" i="12" s="1"/>
  <c r="G98" i="12"/>
  <c r="H98" i="12" s="1"/>
  <c r="G97" i="12"/>
  <c r="H97" i="12" s="1"/>
  <c r="G96" i="12"/>
  <c r="H96" i="12" s="1"/>
  <c r="G95" i="12"/>
  <c r="H95" i="12" s="1"/>
  <c r="G94" i="12"/>
  <c r="H94" i="12" s="1"/>
  <c r="G93" i="12"/>
  <c r="H93" i="12" s="1"/>
  <c r="G92" i="12"/>
  <c r="H92" i="12" s="1"/>
  <c r="G91" i="12"/>
  <c r="H91" i="12" s="1"/>
  <c r="G90" i="12"/>
  <c r="H90" i="12" s="1"/>
  <c r="G89" i="12"/>
  <c r="H89" i="12" s="1"/>
  <c r="G88" i="12"/>
  <c r="H88" i="12" s="1"/>
  <c r="G87" i="12"/>
  <c r="H87" i="12" s="1"/>
  <c r="G86" i="12"/>
  <c r="H86" i="12" s="1"/>
  <c r="G85" i="12"/>
  <c r="H85" i="12" s="1"/>
  <c r="G84" i="12"/>
  <c r="H84" i="12" s="1"/>
  <c r="G83" i="12"/>
  <c r="H83" i="12" s="1"/>
  <c r="G82" i="12"/>
  <c r="H82" i="12" s="1"/>
  <c r="G81" i="12"/>
  <c r="H81" i="12" s="1"/>
  <c r="G80" i="12"/>
  <c r="H80" i="12" s="1"/>
  <c r="G79" i="12"/>
  <c r="H79" i="12" s="1"/>
  <c r="G78" i="12"/>
  <c r="H78" i="12" s="1"/>
  <c r="G77" i="12"/>
  <c r="H77" i="12" s="1"/>
  <c r="G76" i="12"/>
  <c r="H76" i="12" s="1"/>
  <c r="G75" i="12"/>
  <c r="H75" i="12" s="1"/>
  <c r="G74" i="12"/>
  <c r="H74" i="12" s="1"/>
  <c r="G73" i="12"/>
  <c r="H73" i="12" s="1"/>
  <c r="G72" i="12"/>
  <c r="H72" i="12" s="1"/>
  <c r="G71" i="12"/>
  <c r="H71" i="12" s="1"/>
  <c r="G70" i="12"/>
  <c r="H70" i="12" s="1"/>
  <c r="G69" i="12"/>
  <c r="H69" i="12" s="1"/>
  <c r="G68" i="12"/>
  <c r="H68" i="12" s="1"/>
  <c r="G67" i="12"/>
  <c r="H67" i="12" s="1"/>
  <c r="G66" i="12"/>
  <c r="H66" i="12" s="1"/>
  <c r="G65" i="12"/>
  <c r="H65" i="12" s="1"/>
  <c r="G64" i="12"/>
  <c r="H64" i="12" s="1"/>
  <c r="G63" i="12"/>
  <c r="H63" i="12" s="1"/>
  <c r="G62" i="12"/>
  <c r="H62" i="12" s="1"/>
  <c r="G61" i="12"/>
  <c r="H61" i="12" s="1"/>
  <c r="G60" i="12"/>
  <c r="H60" i="12" s="1"/>
  <c r="G59" i="12"/>
  <c r="H59" i="12" s="1"/>
  <c r="G58" i="12"/>
  <c r="H58" i="12" s="1"/>
  <c r="G57" i="12"/>
  <c r="H57" i="12" s="1"/>
  <c r="G56" i="12"/>
  <c r="H56" i="12" s="1"/>
  <c r="G55" i="12"/>
  <c r="H55" i="12" s="1"/>
  <c r="G54" i="12"/>
  <c r="H54" i="12" s="1"/>
  <c r="G53" i="12"/>
  <c r="H53" i="12" s="1"/>
  <c r="G52" i="12"/>
  <c r="H52" i="12" s="1"/>
  <c r="G51" i="12"/>
  <c r="H51" i="12" s="1"/>
  <c r="G50" i="12"/>
  <c r="H50" i="12" s="1"/>
  <c r="G49" i="12"/>
  <c r="H49" i="12" s="1"/>
  <c r="G48" i="12"/>
  <c r="H48" i="12" s="1"/>
  <c r="G47" i="12"/>
  <c r="H47" i="12" s="1"/>
  <c r="G46" i="12"/>
  <c r="H46" i="12" s="1"/>
  <c r="G45" i="12"/>
  <c r="H45" i="12" s="1"/>
  <c r="G44" i="12"/>
  <c r="H44" i="12" s="1"/>
  <c r="G43" i="12"/>
  <c r="H43" i="12" s="1"/>
  <c r="G42" i="12"/>
  <c r="H42" i="12" s="1"/>
  <c r="G41" i="12"/>
  <c r="H41" i="12" s="1"/>
  <c r="G40" i="12"/>
  <c r="H40" i="12" s="1"/>
  <c r="G39" i="12"/>
  <c r="H39" i="12" s="1"/>
  <c r="G38" i="12"/>
  <c r="H38" i="12" s="1"/>
  <c r="G37" i="12"/>
  <c r="H37" i="12" s="1"/>
  <c r="G36" i="12"/>
  <c r="H36" i="12" s="1"/>
  <c r="G35" i="12"/>
  <c r="H35" i="12" s="1"/>
  <c r="G34" i="12"/>
  <c r="H34" i="12" s="1"/>
  <c r="G33" i="12"/>
  <c r="H33" i="12" s="1"/>
  <c r="G32" i="12"/>
  <c r="H32" i="12" s="1"/>
  <c r="G31" i="12"/>
  <c r="H31" i="12" s="1"/>
  <c r="G30" i="12"/>
  <c r="H30" i="12" s="1"/>
  <c r="G29" i="12"/>
  <c r="H29" i="12" s="1"/>
  <c r="G28" i="12"/>
  <c r="H28" i="12" s="1"/>
  <c r="G27" i="12"/>
  <c r="H27" i="12" s="1"/>
  <c r="G26" i="12"/>
  <c r="H26" i="12" s="1"/>
  <c r="F26" i="12"/>
  <c r="G25" i="12"/>
  <c r="G24" i="12"/>
  <c r="G23" i="12"/>
  <c r="G22" i="12"/>
  <c r="G21" i="12"/>
  <c r="G20" i="12"/>
  <c r="G19" i="12"/>
  <c r="G18" i="12"/>
  <c r="G17" i="12"/>
  <c r="G16" i="12"/>
  <c r="G15" i="12"/>
  <c r="G14" i="12"/>
  <c r="G13" i="12"/>
  <c r="G12" i="12"/>
  <c r="G11" i="12"/>
  <c r="G10" i="12"/>
  <c r="G9" i="12"/>
  <c r="G8" i="12"/>
  <c r="G7" i="12"/>
  <c r="G105" i="11"/>
  <c r="H105" i="11" s="1"/>
  <c r="G104" i="11"/>
  <c r="H104" i="11" s="1"/>
  <c r="G103" i="11"/>
  <c r="H103" i="11" s="1"/>
  <c r="G102" i="11"/>
  <c r="H102" i="11" s="1"/>
  <c r="G101" i="11"/>
  <c r="H101" i="11" s="1"/>
  <c r="G100" i="11"/>
  <c r="H100" i="11" s="1"/>
  <c r="G99" i="11"/>
  <c r="H99" i="11" s="1"/>
  <c r="G98" i="11"/>
  <c r="H98" i="11" s="1"/>
  <c r="G97" i="11"/>
  <c r="H97" i="11" s="1"/>
  <c r="G96" i="11"/>
  <c r="H96" i="11" s="1"/>
  <c r="G95" i="11"/>
  <c r="H95" i="11" s="1"/>
  <c r="G94" i="11"/>
  <c r="H94" i="11" s="1"/>
  <c r="G93" i="11"/>
  <c r="H93" i="11" s="1"/>
  <c r="G92" i="11"/>
  <c r="H92" i="11" s="1"/>
  <c r="G91" i="11"/>
  <c r="H91" i="11" s="1"/>
  <c r="G90" i="11"/>
  <c r="H90" i="11" s="1"/>
  <c r="G89" i="11"/>
  <c r="H89" i="11" s="1"/>
  <c r="G88" i="11"/>
  <c r="H88" i="11" s="1"/>
  <c r="G87" i="11"/>
  <c r="H87" i="11" s="1"/>
  <c r="G86" i="11"/>
  <c r="H86" i="11" s="1"/>
  <c r="G85" i="11"/>
  <c r="H85" i="11" s="1"/>
  <c r="G84" i="11"/>
  <c r="H84" i="11" s="1"/>
  <c r="G83" i="11"/>
  <c r="H83" i="11" s="1"/>
  <c r="G82" i="11"/>
  <c r="H82" i="11" s="1"/>
  <c r="G81" i="11"/>
  <c r="H81" i="11" s="1"/>
  <c r="G80" i="11"/>
  <c r="H80" i="11" s="1"/>
  <c r="G79" i="11"/>
  <c r="H79" i="11" s="1"/>
  <c r="G78" i="11"/>
  <c r="H78" i="11" s="1"/>
  <c r="G77" i="11"/>
  <c r="H77" i="11" s="1"/>
  <c r="G76" i="11"/>
  <c r="H76" i="11" s="1"/>
  <c r="G75" i="11"/>
  <c r="H75" i="11" s="1"/>
  <c r="G74" i="11"/>
  <c r="H74" i="11" s="1"/>
  <c r="G73" i="11"/>
  <c r="H73" i="11" s="1"/>
  <c r="G72" i="11"/>
  <c r="H72" i="11" s="1"/>
  <c r="G71" i="11"/>
  <c r="H71" i="11" s="1"/>
  <c r="G70" i="11"/>
  <c r="H70" i="11" s="1"/>
  <c r="G69" i="11"/>
  <c r="H69" i="11" s="1"/>
  <c r="G68" i="11"/>
  <c r="H68" i="11" s="1"/>
  <c r="G67" i="11"/>
  <c r="H67" i="11" s="1"/>
  <c r="G66" i="11"/>
  <c r="H66" i="11" s="1"/>
  <c r="G65" i="11"/>
  <c r="H65" i="11" s="1"/>
  <c r="G64" i="11"/>
  <c r="H64" i="11" s="1"/>
  <c r="G63" i="11"/>
  <c r="H63" i="11" s="1"/>
  <c r="G62" i="11"/>
  <c r="H62" i="11" s="1"/>
  <c r="G61" i="11"/>
  <c r="H61" i="11" s="1"/>
  <c r="G60" i="11"/>
  <c r="H60" i="11" s="1"/>
  <c r="G59" i="11"/>
  <c r="H59" i="11" s="1"/>
  <c r="G58" i="11"/>
  <c r="H58" i="11" s="1"/>
  <c r="G57" i="11"/>
  <c r="H57" i="11" s="1"/>
  <c r="G56" i="11"/>
  <c r="H56" i="11" s="1"/>
  <c r="G55" i="11"/>
  <c r="H55" i="11" s="1"/>
  <c r="G54" i="11"/>
  <c r="H54" i="11" s="1"/>
  <c r="G53" i="11"/>
  <c r="H53" i="11" s="1"/>
  <c r="G52" i="11"/>
  <c r="H52" i="11" s="1"/>
  <c r="G51" i="11"/>
  <c r="H51" i="11" s="1"/>
  <c r="G50" i="11"/>
  <c r="H50" i="11" s="1"/>
  <c r="G49" i="11"/>
  <c r="H49" i="11" s="1"/>
  <c r="G48" i="11"/>
  <c r="H48" i="11" s="1"/>
  <c r="G47" i="11"/>
  <c r="H47" i="11" s="1"/>
  <c r="G46" i="11"/>
  <c r="H46" i="11" s="1"/>
  <c r="G45" i="11"/>
  <c r="H45" i="11" s="1"/>
  <c r="G44" i="11"/>
  <c r="H44" i="11" s="1"/>
  <c r="G43" i="11"/>
  <c r="H43" i="11" s="1"/>
  <c r="G42" i="11"/>
  <c r="H42" i="11" s="1"/>
  <c r="G41" i="11"/>
  <c r="H41" i="11" s="1"/>
  <c r="G40" i="11"/>
  <c r="H40" i="11" s="1"/>
  <c r="G39" i="11"/>
  <c r="H39" i="11" s="1"/>
  <c r="G38" i="11"/>
  <c r="H38" i="11" s="1"/>
  <c r="G37" i="11"/>
  <c r="H37" i="11" s="1"/>
  <c r="G36" i="11"/>
  <c r="H36" i="11" s="1"/>
  <c r="G35" i="11"/>
  <c r="H35" i="11" s="1"/>
  <c r="G34" i="11"/>
  <c r="H34" i="11" s="1"/>
  <c r="G33" i="11"/>
  <c r="H33" i="11" s="1"/>
  <c r="G32" i="11"/>
  <c r="H32" i="11" s="1"/>
  <c r="G31" i="11"/>
  <c r="H31" i="11" s="1"/>
  <c r="G30" i="11"/>
  <c r="H30" i="11" s="1"/>
  <c r="G29" i="11"/>
  <c r="H29" i="11" s="1"/>
  <c r="G28" i="11"/>
  <c r="H28" i="11" s="1"/>
  <c r="G27" i="11"/>
  <c r="H27" i="11" s="1"/>
  <c r="G26" i="11"/>
  <c r="H26" i="11" s="1"/>
  <c r="F26" i="11"/>
  <c r="G25" i="11"/>
  <c r="G24" i="11"/>
  <c r="G23" i="11"/>
  <c r="G22" i="11"/>
  <c r="G21" i="11"/>
  <c r="G20" i="11"/>
  <c r="G19" i="11"/>
  <c r="G18" i="11"/>
  <c r="G17" i="11"/>
  <c r="G16" i="11"/>
  <c r="G15" i="11"/>
  <c r="G14" i="11"/>
  <c r="G13" i="11"/>
  <c r="G12" i="11"/>
  <c r="G11" i="11"/>
  <c r="G10" i="11"/>
  <c r="G9" i="11"/>
  <c r="G8" i="11"/>
  <c r="G7" i="11"/>
  <c r="G105" i="10"/>
  <c r="H105" i="10" s="1"/>
  <c r="G104" i="10"/>
  <c r="H104" i="10" s="1"/>
  <c r="G103" i="10"/>
  <c r="H103" i="10" s="1"/>
  <c r="G102" i="10"/>
  <c r="H102" i="10" s="1"/>
  <c r="G101" i="10"/>
  <c r="H101" i="10" s="1"/>
  <c r="G100" i="10"/>
  <c r="H100" i="10" s="1"/>
  <c r="G99" i="10"/>
  <c r="H99" i="10" s="1"/>
  <c r="G98" i="10"/>
  <c r="H98" i="10" s="1"/>
  <c r="G97" i="10"/>
  <c r="H97" i="10" s="1"/>
  <c r="G96" i="10"/>
  <c r="H96" i="10" s="1"/>
  <c r="G95" i="10"/>
  <c r="H95" i="10" s="1"/>
  <c r="G94" i="10"/>
  <c r="H94" i="10" s="1"/>
  <c r="G93" i="10"/>
  <c r="H93" i="10" s="1"/>
  <c r="G92" i="10"/>
  <c r="H92" i="10" s="1"/>
  <c r="G91" i="10"/>
  <c r="H91" i="10" s="1"/>
  <c r="G90" i="10"/>
  <c r="H90" i="10" s="1"/>
  <c r="G89" i="10"/>
  <c r="H89" i="10" s="1"/>
  <c r="G88" i="10"/>
  <c r="H88" i="10" s="1"/>
  <c r="G87" i="10"/>
  <c r="H87" i="10" s="1"/>
  <c r="G86" i="10"/>
  <c r="H86" i="10" s="1"/>
  <c r="G85" i="10"/>
  <c r="H85" i="10" s="1"/>
  <c r="G84" i="10"/>
  <c r="H84" i="10" s="1"/>
  <c r="G83" i="10"/>
  <c r="H83" i="10" s="1"/>
  <c r="G82" i="10"/>
  <c r="H82" i="10" s="1"/>
  <c r="G81" i="10"/>
  <c r="H81" i="10" s="1"/>
  <c r="G80" i="10"/>
  <c r="H80" i="10" s="1"/>
  <c r="G79" i="10"/>
  <c r="H79" i="10" s="1"/>
  <c r="G78" i="10"/>
  <c r="H78" i="10" s="1"/>
  <c r="G77" i="10"/>
  <c r="H77" i="10" s="1"/>
  <c r="G76" i="10"/>
  <c r="H76" i="10" s="1"/>
  <c r="G75" i="10"/>
  <c r="H75" i="10" s="1"/>
  <c r="G74" i="10"/>
  <c r="H74" i="10" s="1"/>
  <c r="G73" i="10"/>
  <c r="H73" i="10" s="1"/>
  <c r="G72" i="10"/>
  <c r="H72" i="10" s="1"/>
  <c r="G71" i="10"/>
  <c r="H71" i="10" s="1"/>
  <c r="G70" i="10"/>
  <c r="H70" i="10" s="1"/>
  <c r="G69" i="10"/>
  <c r="H69" i="10" s="1"/>
  <c r="G68" i="10"/>
  <c r="H68" i="10" s="1"/>
  <c r="G67" i="10"/>
  <c r="H67" i="10" s="1"/>
  <c r="G66" i="10"/>
  <c r="H66" i="10" s="1"/>
  <c r="G65" i="10"/>
  <c r="H65" i="10" s="1"/>
  <c r="G64" i="10"/>
  <c r="H64" i="10" s="1"/>
  <c r="G63" i="10"/>
  <c r="H63" i="10" s="1"/>
  <c r="G62" i="10"/>
  <c r="H62" i="10" s="1"/>
  <c r="G61" i="10"/>
  <c r="H61" i="10" s="1"/>
  <c r="G60" i="10"/>
  <c r="H60" i="10" s="1"/>
  <c r="G59" i="10"/>
  <c r="H59" i="10" s="1"/>
  <c r="G58" i="10"/>
  <c r="H58" i="10" s="1"/>
  <c r="G57" i="10"/>
  <c r="H57" i="10" s="1"/>
  <c r="G56" i="10"/>
  <c r="H56" i="10" s="1"/>
  <c r="G55" i="10"/>
  <c r="H55" i="10" s="1"/>
  <c r="G54" i="10"/>
  <c r="H54" i="10" s="1"/>
  <c r="G53" i="10"/>
  <c r="H53" i="10" s="1"/>
  <c r="G52" i="10"/>
  <c r="H52" i="10" s="1"/>
  <c r="G51" i="10"/>
  <c r="H51" i="10" s="1"/>
  <c r="G50" i="10"/>
  <c r="H50" i="10" s="1"/>
  <c r="G49" i="10"/>
  <c r="H49" i="10" s="1"/>
  <c r="G48" i="10"/>
  <c r="H48" i="10" s="1"/>
  <c r="G47" i="10"/>
  <c r="H47" i="10" s="1"/>
  <c r="G46" i="10"/>
  <c r="H46" i="10" s="1"/>
  <c r="G45" i="10"/>
  <c r="H45" i="10" s="1"/>
  <c r="G44" i="10"/>
  <c r="H44" i="10" s="1"/>
  <c r="G43" i="10"/>
  <c r="H43" i="10" s="1"/>
  <c r="G42" i="10"/>
  <c r="H42" i="10" s="1"/>
  <c r="G41" i="10"/>
  <c r="H41" i="10" s="1"/>
  <c r="G40" i="10"/>
  <c r="H40" i="10" s="1"/>
  <c r="G39" i="10"/>
  <c r="H39" i="10" s="1"/>
  <c r="G38" i="10"/>
  <c r="H38" i="10" s="1"/>
  <c r="G37" i="10"/>
  <c r="H37" i="10" s="1"/>
  <c r="G36" i="10"/>
  <c r="H36" i="10" s="1"/>
  <c r="G35" i="10"/>
  <c r="H35" i="10" s="1"/>
  <c r="G34" i="10"/>
  <c r="H34" i="10" s="1"/>
  <c r="G33" i="10"/>
  <c r="H33" i="10" s="1"/>
  <c r="G32" i="10"/>
  <c r="H32" i="10" s="1"/>
  <c r="G31" i="10"/>
  <c r="H31" i="10" s="1"/>
  <c r="G30" i="10"/>
  <c r="H30" i="10" s="1"/>
  <c r="G29" i="10"/>
  <c r="H29" i="10" s="1"/>
  <c r="G28" i="10"/>
  <c r="H28" i="10" s="1"/>
  <c r="G27" i="10"/>
  <c r="H27" i="10" s="1"/>
  <c r="G26" i="10"/>
  <c r="H26" i="10" s="1"/>
  <c r="F26" i="10"/>
  <c r="G25" i="10"/>
  <c r="G24" i="10"/>
  <c r="G23" i="10"/>
  <c r="G22" i="10"/>
  <c r="G21" i="10"/>
  <c r="G20" i="10"/>
  <c r="G19" i="10"/>
  <c r="G18" i="10"/>
  <c r="G17" i="10"/>
  <c r="G16" i="10"/>
  <c r="G15" i="10"/>
  <c r="G14" i="10"/>
  <c r="G13" i="10"/>
  <c r="G12" i="10"/>
  <c r="G11" i="10"/>
  <c r="G10" i="10"/>
  <c r="G9" i="10"/>
  <c r="G8" i="10"/>
  <c r="G7" i="10"/>
  <c r="G105" i="9"/>
  <c r="H105" i="9" s="1"/>
  <c r="G104" i="9"/>
  <c r="H104" i="9" s="1"/>
  <c r="G103" i="9"/>
  <c r="H103" i="9" s="1"/>
  <c r="G102" i="9"/>
  <c r="H102" i="9" s="1"/>
  <c r="G101" i="9"/>
  <c r="H101" i="9" s="1"/>
  <c r="G100" i="9"/>
  <c r="H100" i="9" s="1"/>
  <c r="G99" i="9"/>
  <c r="H99" i="9" s="1"/>
  <c r="G98" i="9"/>
  <c r="H98" i="9" s="1"/>
  <c r="G97" i="9"/>
  <c r="H97" i="9" s="1"/>
  <c r="G96" i="9"/>
  <c r="H96" i="9" s="1"/>
  <c r="G95" i="9"/>
  <c r="H95" i="9" s="1"/>
  <c r="G94" i="9"/>
  <c r="H94" i="9" s="1"/>
  <c r="G93" i="9"/>
  <c r="H93" i="9" s="1"/>
  <c r="G92" i="9"/>
  <c r="H92" i="9" s="1"/>
  <c r="G91" i="9"/>
  <c r="H91" i="9" s="1"/>
  <c r="G90" i="9"/>
  <c r="H90" i="9" s="1"/>
  <c r="G89" i="9"/>
  <c r="H89" i="9" s="1"/>
  <c r="G88" i="9"/>
  <c r="H88" i="9" s="1"/>
  <c r="G87" i="9"/>
  <c r="H87" i="9" s="1"/>
  <c r="G86" i="9"/>
  <c r="H86" i="9" s="1"/>
  <c r="G85" i="9"/>
  <c r="H85" i="9" s="1"/>
  <c r="G84" i="9"/>
  <c r="H84" i="9" s="1"/>
  <c r="G83" i="9"/>
  <c r="H83" i="9" s="1"/>
  <c r="G82" i="9"/>
  <c r="H82" i="9" s="1"/>
  <c r="G81" i="9"/>
  <c r="H81" i="9" s="1"/>
  <c r="G80" i="9"/>
  <c r="H80" i="9" s="1"/>
  <c r="G79" i="9"/>
  <c r="H79" i="9" s="1"/>
  <c r="G78" i="9"/>
  <c r="H78" i="9" s="1"/>
  <c r="G77" i="9"/>
  <c r="H77" i="9" s="1"/>
  <c r="G76" i="9"/>
  <c r="H76" i="9" s="1"/>
  <c r="G75" i="9"/>
  <c r="H75" i="9" s="1"/>
  <c r="G74" i="9"/>
  <c r="H74" i="9" s="1"/>
  <c r="G73" i="9"/>
  <c r="H73" i="9" s="1"/>
  <c r="G72" i="9"/>
  <c r="H72" i="9" s="1"/>
  <c r="G71" i="9"/>
  <c r="H71" i="9" s="1"/>
  <c r="G70" i="9"/>
  <c r="H70" i="9" s="1"/>
  <c r="G69" i="9"/>
  <c r="H69" i="9" s="1"/>
  <c r="G68" i="9"/>
  <c r="H68" i="9" s="1"/>
  <c r="G67" i="9"/>
  <c r="H67" i="9" s="1"/>
  <c r="G66" i="9"/>
  <c r="H66" i="9" s="1"/>
  <c r="G65" i="9"/>
  <c r="H65" i="9" s="1"/>
  <c r="G64" i="9"/>
  <c r="H64" i="9" s="1"/>
  <c r="G63" i="9"/>
  <c r="H63" i="9" s="1"/>
  <c r="G62" i="9"/>
  <c r="H62" i="9" s="1"/>
  <c r="G61" i="9"/>
  <c r="H61" i="9" s="1"/>
  <c r="G60" i="9"/>
  <c r="H60" i="9" s="1"/>
  <c r="G59" i="9"/>
  <c r="H59" i="9" s="1"/>
  <c r="G58" i="9"/>
  <c r="H58" i="9" s="1"/>
  <c r="G57" i="9"/>
  <c r="H57" i="9" s="1"/>
  <c r="G56" i="9"/>
  <c r="H56" i="9" s="1"/>
  <c r="G55" i="9"/>
  <c r="H55" i="9" s="1"/>
  <c r="G54" i="9"/>
  <c r="H54" i="9" s="1"/>
  <c r="G53" i="9"/>
  <c r="H53" i="9" s="1"/>
  <c r="G52" i="9"/>
  <c r="H52" i="9" s="1"/>
  <c r="G51" i="9"/>
  <c r="H51" i="9" s="1"/>
  <c r="G50" i="9"/>
  <c r="H50" i="9" s="1"/>
  <c r="G49" i="9"/>
  <c r="H49" i="9" s="1"/>
  <c r="G48" i="9"/>
  <c r="H48" i="9" s="1"/>
  <c r="G47" i="9"/>
  <c r="H47" i="9" s="1"/>
  <c r="G46" i="9"/>
  <c r="H46" i="9" s="1"/>
  <c r="G45" i="9"/>
  <c r="H45" i="9" s="1"/>
  <c r="G44" i="9"/>
  <c r="H44" i="9" s="1"/>
  <c r="G43" i="9"/>
  <c r="H43" i="9" s="1"/>
  <c r="G42" i="9"/>
  <c r="H42" i="9" s="1"/>
  <c r="G41" i="9"/>
  <c r="H41" i="9" s="1"/>
  <c r="G40" i="9"/>
  <c r="H40" i="9" s="1"/>
  <c r="G39" i="9"/>
  <c r="H39" i="9" s="1"/>
  <c r="G38" i="9"/>
  <c r="H38" i="9" s="1"/>
  <c r="G37" i="9"/>
  <c r="H37" i="9" s="1"/>
  <c r="G36" i="9"/>
  <c r="H36" i="9" s="1"/>
  <c r="G35" i="9"/>
  <c r="H35" i="9" s="1"/>
  <c r="G34" i="9"/>
  <c r="H34" i="9" s="1"/>
  <c r="G33" i="9"/>
  <c r="H33" i="9" s="1"/>
  <c r="G32" i="9"/>
  <c r="H32" i="9" s="1"/>
  <c r="G31" i="9"/>
  <c r="H31" i="9" s="1"/>
  <c r="G30" i="9"/>
  <c r="H30" i="9" s="1"/>
  <c r="G29" i="9"/>
  <c r="H29" i="9" s="1"/>
  <c r="G28" i="9"/>
  <c r="H28" i="9" s="1"/>
  <c r="G27" i="9"/>
  <c r="H27" i="9" s="1"/>
  <c r="G26" i="9"/>
  <c r="H26" i="9" s="1"/>
  <c r="F26" i="9"/>
  <c r="G25" i="9"/>
  <c r="G24" i="9"/>
  <c r="G23" i="9"/>
  <c r="G22" i="9"/>
  <c r="G21" i="9"/>
  <c r="G20" i="9"/>
  <c r="G19" i="9"/>
  <c r="G18" i="9"/>
  <c r="G17" i="9"/>
  <c r="G16" i="9"/>
  <c r="G15" i="9"/>
  <c r="G14" i="9"/>
  <c r="G13" i="9"/>
  <c r="G12" i="9"/>
  <c r="G11" i="9"/>
  <c r="G10" i="9"/>
  <c r="G9" i="9"/>
  <c r="G8" i="9"/>
  <c r="G7" i="9"/>
  <c r="G105" i="8"/>
  <c r="H105" i="8" s="1"/>
  <c r="G104" i="8"/>
  <c r="H104" i="8" s="1"/>
  <c r="G103" i="8"/>
  <c r="H103" i="8" s="1"/>
  <c r="G102" i="8"/>
  <c r="H102" i="8" s="1"/>
  <c r="G101" i="8"/>
  <c r="H101" i="8" s="1"/>
  <c r="G100" i="8"/>
  <c r="H100" i="8" s="1"/>
  <c r="G99" i="8"/>
  <c r="H99" i="8" s="1"/>
  <c r="G98" i="8"/>
  <c r="H98" i="8" s="1"/>
  <c r="G97" i="8"/>
  <c r="H97" i="8" s="1"/>
  <c r="G96" i="8"/>
  <c r="H96" i="8" s="1"/>
  <c r="G95" i="8"/>
  <c r="H95" i="8" s="1"/>
  <c r="G94" i="8"/>
  <c r="H94" i="8" s="1"/>
  <c r="G93" i="8"/>
  <c r="H93" i="8" s="1"/>
  <c r="G92" i="8"/>
  <c r="H92" i="8" s="1"/>
  <c r="G91" i="8"/>
  <c r="H91" i="8" s="1"/>
  <c r="G90" i="8"/>
  <c r="H90" i="8" s="1"/>
  <c r="G89" i="8"/>
  <c r="H89" i="8" s="1"/>
  <c r="G88" i="8"/>
  <c r="H88" i="8" s="1"/>
  <c r="G87" i="8"/>
  <c r="H87" i="8" s="1"/>
  <c r="G86" i="8"/>
  <c r="H86" i="8" s="1"/>
  <c r="G85" i="8"/>
  <c r="H85" i="8" s="1"/>
  <c r="G84" i="8"/>
  <c r="H84" i="8" s="1"/>
  <c r="G83" i="8"/>
  <c r="H83" i="8" s="1"/>
  <c r="G82" i="8"/>
  <c r="H82" i="8" s="1"/>
  <c r="G81" i="8"/>
  <c r="H81" i="8" s="1"/>
  <c r="G80" i="8"/>
  <c r="H80" i="8" s="1"/>
  <c r="G79" i="8"/>
  <c r="H79" i="8" s="1"/>
  <c r="G78" i="8"/>
  <c r="H78" i="8" s="1"/>
  <c r="G77" i="8"/>
  <c r="H77" i="8" s="1"/>
  <c r="G76" i="8"/>
  <c r="H76" i="8" s="1"/>
  <c r="G75" i="8"/>
  <c r="H75" i="8" s="1"/>
  <c r="G74" i="8"/>
  <c r="H74" i="8" s="1"/>
  <c r="G73" i="8"/>
  <c r="H73" i="8" s="1"/>
  <c r="G72" i="8"/>
  <c r="H72" i="8" s="1"/>
  <c r="G71" i="8"/>
  <c r="H71" i="8" s="1"/>
  <c r="G70" i="8"/>
  <c r="H70" i="8" s="1"/>
  <c r="G69" i="8"/>
  <c r="H69" i="8" s="1"/>
  <c r="G68" i="8"/>
  <c r="H68" i="8" s="1"/>
  <c r="G67" i="8"/>
  <c r="H67" i="8" s="1"/>
  <c r="G66" i="8"/>
  <c r="H66" i="8" s="1"/>
  <c r="G65" i="8"/>
  <c r="H65" i="8" s="1"/>
  <c r="G64" i="8"/>
  <c r="H64" i="8" s="1"/>
  <c r="G63" i="8"/>
  <c r="H63" i="8" s="1"/>
  <c r="G62" i="8"/>
  <c r="H62" i="8" s="1"/>
  <c r="G61" i="8"/>
  <c r="H61" i="8" s="1"/>
  <c r="G60" i="8"/>
  <c r="H60" i="8" s="1"/>
  <c r="G59" i="8"/>
  <c r="H59" i="8" s="1"/>
  <c r="G58" i="8"/>
  <c r="H58" i="8" s="1"/>
  <c r="G57" i="8"/>
  <c r="H57" i="8" s="1"/>
  <c r="G56" i="8"/>
  <c r="H56" i="8" s="1"/>
  <c r="G55" i="8"/>
  <c r="H55" i="8" s="1"/>
  <c r="G54" i="8"/>
  <c r="H54" i="8" s="1"/>
  <c r="G53" i="8"/>
  <c r="H53" i="8" s="1"/>
  <c r="G52" i="8"/>
  <c r="H52" i="8" s="1"/>
  <c r="G51" i="8"/>
  <c r="H51" i="8" s="1"/>
  <c r="G50" i="8"/>
  <c r="H50" i="8" s="1"/>
  <c r="G49" i="8"/>
  <c r="H49" i="8" s="1"/>
  <c r="G48" i="8"/>
  <c r="H48" i="8" s="1"/>
  <c r="G47" i="8"/>
  <c r="H47" i="8" s="1"/>
  <c r="G46" i="8"/>
  <c r="H46" i="8" s="1"/>
  <c r="G45" i="8"/>
  <c r="H45" i="8" s="1"/>
  <c r="G44" i="8"/>
  <c r="H44" i="8" s="1"/>
  <c r="G43" i="8"/>
  <c r="H43" i="8" s="1"/>
  <c r="G42" i="8"/>
  <c r="H42" i="8" s="1"/>
  <c r="G41" i="8"/>
  <c r="H41" i="8" s="1"/>
  <c r="G40" i="8"/>
  <c r="H40" i="8" s="1"/>
  <c r="G39" i="8"/>
  <c r="H39" i="8" s="1"/>
  <c r="G38" i="8"/>
  <c r="H38" i="8" s="1"/>
  <c r="G37" i="8"/>
  <c r="H37" i="8" s="1"/>
  <c r="G36" i="8"/>
  <c r="H36" i="8" s="1"/>
  <c r="G35" i="8"/>
  <c r="H35" i="8" s="1"/>
  <c r="G34" i="8"/>
  <c r="H34" i="8" s="1"/>
  <c r="G33" i="8"/>
  <c r="H33" i="8" s="1"/>
  <c r="G32" i="8"/>
  <c r="H32" i="8" s="1"/>
  <c r="G31" i="8"/>
  <c r="H31" i="8" s="1"/>
  <c r="G30" i="8"/>
  <c r="H30" i="8" s="1"/>
  <c r="G29" i="8"/>
  <c r="H29" i="8" s="1"/>
  <c r="G28" i="8"/>
  <c r="H28" i="8" s="1"/>
  <c r="G27" i="8"/>
  <c r="H27" i="8" s="1"/>
  <c r="G26" i="8"/>
  <c r="H26" i="8" s="1"/>
  <c r="F26" i="8"/>
  <c r="G25" i="8"/>
  <c r="G24" i="8"/>
  <c r="G23" i="8"/>
  <c r="G22" i="8"/>
  <c r="G21" i="8"/>
  <c r="G20" i="8"/>
  <c r="G19" i="8"/>
  <c r="G18" i="8"/>
  <c r="G17" i="8"/>
  <c r="G16" i="8"/>
  <c r="G15" i="8"/>
  <c r="G14" i="8"/>
  <c r="G13" i="8"/>
  <c r="G12" i="8"/>
  <c r="G11" i="8"/>
  <c r="G10" i="8"/>
  <c r="G9" i="8"/>
  <c r="G8" i="8"/>
  <c r="G7" i="8"/>
  <c r="G116" i="7"/>
  <c r="H116" i="7" s="1"/>
  <c r="G115" i="7"/>
  <c r="H115" i="7" s="1"/>
  <c r="G114" i="7"/>
  <c r="H114" i="7" s="1"/>
  <c r="G113" i="7"/>
  <c r="H113" i="7" s="1"/>
  <c r="G112" i="7"/>
  <c r="H112" i="7" s="1"/>
  <c r="G111" i="7"/>
  <c r="H111" i="7" s="1"/>
  <c r="G110" i="7"/>
  <c r="H110" i="7" s="1"/>
  <c r="G109" i="7"/>
  <c r="H109" i="7" s="1"/>
  <c r="G108" i="7"/>
  <c r="H108" i="7" s="1"/>
  <c r="G107" i="7"/>
  <c r="H107" i="7" s="1"/>
  <c r="G106" i="7"/>
  <c r="H106" i="7" s="1"/>
  <c r="G105" i="7"/>
  <c r="H105" i="7" s="1"/>
  <c r="G104" i="7"/>
  <c r="H104" i="7" s="1"/>
  <c r="G103" i="7"/>
  <c r="H103" i="7" s="1"/>
  <c r="G102" i="7"/>
  <c r="H102" i="7" s="1"/>
  <c r="G101" i="7"/>
  <c r="H101" i="7" s="1"/>
  <c r="G100" i="7"/>
  <c r="H100" i="7" s="1"/>
  <c r="G99" i="7"/>
  <c r="H99" i="7" s="1"/>
  <c r="G98" i="7"/>
  <c r="H98" i="7" s="1"/>
  <c r="G97" i="7"/>
  <c r="H97" i="7" s="1"/>
  <c r="G96" i="7"/>
  <c r="H96" i="7" s="1"/>
  <c r="G95" i="7"/>
  <c r="H95" i="7" s="1"/>
  <c r="G94" i="7"/>
  <c r="H94" i="7" s="1"/>
  <c r="G93" i="7"/>
  <c r="H93" i="7" s="1"/>
  <c r="G92" i="7"/>
  <c r="H92" i="7" s="1"/>
  <c r="G91" i="7"/>
  <c r="H91" i="7" s="1"/>
  <c r="G90" i="7"/>
  <c r="H90" i="7" s="1"/>
  <c r="G89" i="7"/>
  <c r="H89" i="7" s="1"/>
  <c r="G88" i="7"/>
  <c r="H88" i="7" s="1"/>
  <c r="G87" i="7"/>
  <c r="H87" i="7" s="1"/>
  <c r="G86" i="7"/>
  <c r="H86" i="7" s="1"/>
  <c r="G85" i="7"/>
  <c r="H85" i="7" s="1"/>
  <c r="G84" i="7"/>
  <c r="H84" i="7" s="1"/>
  <c r="G83" i="7"/>
  <c r="H83" i="7" s="1"/>
  <c r="G82" i="7"/>
  <c r="H82" i="7" s="1"/>
  <c r="G81" i="7"/>
  <c r="H81" i="7" s="1"/>
  <c r="G80" i="7"/>
  <c r="H80" i="7" s="1"/>
  <c r="G79" i="7"/>
  <c r="H79" i="7" s="1"/>
  <c r="G78" i="7"/>
  <c r="H78" i="7" s="1"/>
  <c r="G77" i="7"/>
  <c r="H77" i="7" s="1"/>
  <c r="G76" i="7"/>
  <c r="H76" i="7" s="1"/>
  <c r="G75" i="7"/>
  <c r="H75" i="7" s="1"/>
  <c r="G74" i="7"/>
  <c r="H74" i="7" s="1"/>
  <c r="G73" i="7"/>
  <c r="H73" i="7" s="1"/>
  <c r="G72" i="7"/>
  <c r="H72" i="7" s="1"/>
  <c r="G71" i="7"/>
  <c r="H71" i="7" s="1"/>
  <c r="G70" i="7"/>
  <c r="H70" i="7" s="1"/>
  <c r="G69" i="7"/>
  <c r="H69" i="7" s="1"/>
  <c r="G68" i="7"/>
  <c r="H68" i="7" s="1"/>
  <c r="G67" i="7"/>
  <c r="H67" i="7" s="1"/>
  <c r="G66" i="7"/>
  <c r="H66" i="7" s="1"/>
  <c r="G25" i="7"/>
  <c r="G24" i="7"/>
  <c r="G23" i="7"/>
  <c r="G22" i="7"/>
  <c r="G19" i="7"/>
  <c r="G11" i="7"/>
  <c r="G10" i="7"/>
  <c r="G17" i="7"/>
  <c r="G14" i="7"/>
  <c r="G7" i="7"/>
  <c r="G105" i="6"/>
  <c r="H105" i="6" s="1"/>
  <c r="G104" i="6"/>
  <c r="H104" i="6" s="1"/>
  <c r="G103" i="6"/>
  <c r="H103" i="6" s="1"/>
  <c r="G102" i="6"/>
  <c r="H102" i="6" s="1"/>
  <c r="G101" i="6"/>
  <c r="H101" i="6" s="1"/>
  <c r="G100" i="6"/>
  <c r="H100" i="6" s="1"/>
  <c r="G99" i="6"/>
  <c r="H99" i="6" s="1"/>
  <c r="G98" i="6"/>
  <c r="H98" i="6" s="1"/>
  <c r="G97" i="6"/>
  <c r="H97" i="6" s="1"/>
  <c r="G96" i="6"/>
  <c r="H96" i="6" s="1"/>
  <c r="G95" i="6"/>
  <c r="H95" i="6" s="1"/>
  <c r="G94" i="6"/>
  <c r="H94" i="6" s="1"/>
  <c r="G93" i="6"/>
  <c r="H93" i="6" s="1"/>
  <c r="G92" i="6"/>
  <c r="H92" i="6" s="1"/>
  <c r="G91" i="6"/>
  <c r="H91" i="6" s="1"/>
  <c r="G90" i="6"/>
  <c r="H90" i="6" s="1"/>
  <c r="G89" i="6"/>
  <c r="H89" i="6" s="1"/>
  <c r="G88" i="6"/>
  <c r="H88" i="6" s="1"/>
  <c r="G87" i="6"/>
  <c r="H87" i="6" s="1"/>
  <c r="G86" i="6"/>
  <c r="H86" i="6" s="1"/>
  <c r="G85" i="6"/>
  <c r="H85" i="6" s="1"/>
  <c r="G84" i="6"/>
  <c r="H84" i="6" s="1"/>
  <c r="G83" i="6"/>
  <c r="H83" i="6" s="1"/>
  <c r="G82" i="6"/>
  <c r="H82" i="6" s="1"/>
  <c r="G81" i="6"/>
  <c r="H81" i="6" s="1"/>
  <c r="G80" i="6"/>
  <c r="H80" i="6" s="1"/>
  <c r="G79" i="6"/>
  <c r="H79" i="6" s="1"/>
  <c r="G78" i="6"/>
  <c r="H78" i="6" s="1"/>
  <c r="G77" i="6"/>
  <c r="H77" i="6" s="1"/>
  <c r="G76" i="6"/>
  <c r="H76" i="6" s="1"/>
  <c r="G75" i="6"/>
  <c r="H75" i="6" s="1"/>
  <c r="G74" i="6"/>
  <c r="H74" i="6" s="1"/>
  <c r="G73" i="6"/>
  <c r="H73" i="6" s="1"/>
  <c r="G72" i="6"/>
  <c r="H72" i="6" s="1"/>
  <c r="G71" i="6"/>
  <c r="H71" i="6" s="1"/>
  <c r="G70" i="6"/>
  <c r="H70" i="6" s="1"/>
  <c r="G69" i="6"/>
  <c r="H69" i="6" s="1"/>
  <c r="G68" i="6"/>
  <c r="H68" i="6" s="1"/>
  <c r="G67" i="6"/>
  <c r="H67" i="6" s="1"/>
  <c r="G66" i="6"/>
  <c r="H66" i="6" s="1"/>
  <c r="G65" i="6"/>
  <c r="H65" i="6" s="1"/>
  <c r="G64" i="6"/>
  <c r="H64" i="6" s="1"/>
  <c r="G63" i="6"/>
  <c r="H63" i="6" s="1"/>
  <c r="G62" i="6"/>
  <c r="H62" i="6" s="1"/>
  <c r="G61" i="6"/>
  <c r="H61" i="6" s="1"/>
  <c r="G60" i="6"/>
  <c r="H60" i="6" s="1"/>
  <c r="G59" i="6"/>
  <c r="H59" i="6" s="1"/>
  <c r="G58" i="6"/>
  <c r="H58" i="6" s="1"/>
  <c r="G57" i="6"/>
  <c r="H57" i="6" s="1"/>
  <c r="G56" i="6"/>
  <c r="H56" i="6" s="1"/>
  <c r="G55" i="6"/>
  <c r="H55" i="6" s="1"/>
  <c r="G54" i="6"/>
  <c r="H54" i="6" s="1"/>
  <c r="G53" i="6"/>
  <c r="H53" i="6" s="1"/>
  <c r="G52" i="6"/>
  <c r="H52" i="6" s="1"/>
  <c r="G51" i="6"/>
  <c r="H51" i="6" s="1"/>
  <c r="G50" i="6"/>
  <c r="H50" i="6" s="1"/>
  <c r="G49" i="6"/>
  <c r="H49" i="6" s="1"/>
  <c r="G48" i="6"/>
  <c r="H48" i="6" s="1"/>
  <c r="G47" i="6"/>
  <c r="H47" i="6" s="1"/>
  <c r="G46" i="6"/>
  <c r="H46" i="6" s="1"/>
  <c r="G45" i="6"/>
  <c r="H45" i="6" s="1"/>
  <c r="G44" i="6"/>
  <c r="H44" i="6" s="1"/>
  <c r="G43" i="6"/>
  <c r="H43" i="6" s="1"/>
  <c r="G42" i="6"/>
  <c r="H42" i="6" s="1"/>
  <c r="G41" i="6"/>
  <c r="H41" i="6" s="1"/>
  <c r="G40" i="6"/>
  <c r="H40" i="6" s="1"/>
  <c r="G39" i="6"/>
  <c r="H39" i="6" s="1"/>
  <c r="G38" i="6"/>
  <c r="H38" i="6" s="1"/>
  <c r="G37" i="6"/>
  <c r="H37" i="6" s="1"/>
  <c r="G36" i="6"/>
  <c r="H36" i="6" s="1"/>
  <c r="G35" i="6"/>
  <c r="H35" i="6" s="1"/>
  <c r="G34" i="6"/>
  <c r="H34" i="6" s="1"/>
  <c r="G33" i="6"/>
  <c r="H33" i="6" s="1"/>
  <c r="G32" i="6"/>
  <c r="H32" i="6" s="1"/>
  <c r="G31" i="6"/>
  <c r="H31" i="6" s="1"/>
  <c r="G30" i="6"/>
  <c r="H30" i="6" s="1"/>
  <c r="G29" i="6"/>
  <c r="H29" i="6" s="1"/>
  <c r="G28" i="6"/>
  <c r="H28" i="6" s="1"/>
  <c r="G27" i="6"/>
  <c r="H27" i="6" s="1"/>
  <c r="G26" i="6"/>
  <c r="H26" i="6" s="1"/>
  <c r="F26" i="6"/>
  <c r="G25" i="6"/>
  <c r="G24" i="6"/>
  <c r="G23" i="6"/>
  <c r="G22" i="6"/>
  <c r="G21" i="6"/>
  <c r="G20" i="6"/>
  <c r="G19" i="6"/>
  <c r="G18" i="6"/>
  <c r="G17" i="6"/>
  <c r="G16" i="6"/>
  <c r="G15" i="6"/>
  <c r="G14" i="6"/>
  <c r="G13" i="6"/>
  <c r="G12" i="6"/>
  <c r="G11" i="6"/>
  <c r="G10" i="6"/>
  <c r="G9" i="6"/>
  <c r="G8" i="6"/>
  <c r="G7" i="6"/>
  <c r="B7" i="3"/>
  <c r="G105" i="5" l="1"/>
  <c r="H105" i="5" s="1"/>
  <c r="G104" i="5"/>
  <c r="H104" i="5" s="1"/>
  <c r="G103" i="5"/>
  <c r="H103" i="5" s="1"/>
  <c r="G102" i="5"/>
  <c r="H102" i="5" s="1"/>
  <c r="G101" i="5"/>
  <c r="H101" i="5" s="1"/>
  <c r="G100" i="5"/>
  <c r="H100" i="5" s="1"/>
  <c r="G99" i="5"/>
  <c r="H99" i="5" s="1"/>
  <c r="G98" i="5"/>
  <c r="H98" i="5" s="1"/>
  <c r="G97" i="5"/>
  <c r="H97" i="5" s="1"/>
  <c r="G96" i="5"/>
  <c r="H96" i="5" s="1"/>
  <c r="G95" i="5"/>
  <c r="H95" i="5" s="1"/>
  <c r="G94" i="5"/>
  <c r="H94" i="5" s="1"/>
  <c r="G93" i="5"/>
  <c r="H93" i="5" s="1"/>
  <c r="G92" i="5"/>
  <c r="H92" i="5" s="1"/>
  <c r="G91" i="5"/>
  <c r="H91" i="5" s="1"/>
  <c r="G90" i="5"/>
  <c r="H90" i="5" s="1"/>
  <c r="G89" i="5"/>
  <c r="H89" i="5" s="1"/>
  <c r="G88" i="5"/>
  <c r="H88" i="5" s="1"/>
  <c r="G87" i="5"/>
  <c r="H87" i="5" s="1"/>
  <c r="G86" i="5"/>
  <c r="H86" i="5" s="1"/>
  <c r="G85" i="5"/>
  <c r="H85" i="5" s="1"/>
  <c r="G84" i="5"/>
  <c r="H84" i="5" s="1"/>
  <c r="G83" i="5"/>
  <c r="H83" i="5" s="1"/>
  <c r="G82" i="5"/>
  <c r="H82" i="5" s="1"/>
  <c r="G81" i="5"/>
  <c r="H81" i="5" s="1"/>
  <c r="G80" i="5"/>
  <c r="H80" i="5" s="1"/>
  <c r="G79" i="5"/>
  <c r="H79" i="5" s="1"/>
  <c r="G78" i="5"/>
  <c r="H78" i="5" s="1"/>
  <c r="G77" i="5"/>
  <c r="H77" i="5" s="1"/>
  <c r="G76" i="5"/>
  <c r="H76" i="5" s="1"/>
  <c r="G75" i="5"/>
  <c r="H75" i="5" s="1"/>
  <c r="G74" i="5"/>
  <c r="H74" i="5" s="1"/>
  <c r="G73" i="5"/>
  <c r="H73" i="5" s="1"/>
  <c r="G72" i="5"/>
  <c r="H72" i="5" s="1"/>
  <c r="G71" i="5"/>
  <c r="H71" i="5" s="1"/>
  <c r="G70" i="5"/>
  <c r="H70" i="5" s="1"/>
  <c r="G69" i="5"/>
  <c r="H69" i="5" s="1"/>
  <c r="G68" i="5"/>
  <c r="H68" i="5" s="1"/>
  <c r="G67" i="5"/>
  <c r="H67" i="5" s="1"/>
  <c r="G66" i="5"/>
  <c r="H66" i="5" s="1"/>
  <c r="G65" i="5"/>
  <c r="H65" i="5" s="1"/>
  <c r="G64" i="5"/>
  <c r="H64" i="5" s="1"/>
  <c r="G63" i="5"/>
  <c r="H63" i="5" s="1"/>
  <c r="G62" i="5"/>
  <c r="H62" i="5" s="1"/>
  <c r="G61" i="5"/>
  <c r="H61" i="5" s="1"/>
  <c r="G60" i="5"/>
  <c r="H60" i="5" s="1"/>
  <c r="G59" i="5"/>
  <c r="H59" i="5" s="1"/>
  <c r="G58" i="5"/>
  <c r="H58" i="5" s="1"/>
  <c r="G57" i="5"/>
  <c r="H57" i="5" s="1"/>
  <c r="G56" i="5"/>
  <c r="H56" i="5" s="1"/>
  <c r="G55" i="5"/>
  <c r="H55" i="5" s="1"/>
  <c r="G54" i="5"/>
  <c r="H54" i="5" s="1"/>
  <c r="G53" i="5"/>
  <c r="H53" i="5" s="1"/>
  <c r="G52" i="5"/>
  <c r="H52" i="5" s="1"/>
  <c r="G51" i="5"/>
  <c r="H51" i="5" s="1"/>
  <c r="G50" i="5"/>
  <c r="H50" i="5" s="1"/>
  <c r="G49" i="5"/>
  <c r="H49" i="5" s="1"/>
  <c r="G48" i="5"/>
  <c r="H48" i="5" s="1"/>
  <c r="G47" i="5"/>
  <c r="H47" i="5" s="1"/>
  <c r="G46" i="5"/>
  <c r="H46" i="5" s="1"/>
  <c r="G45" i="5"/>
  <c r="H45" i="5" s="1"/>
  <c r="G44" i="5"/>
  <c r="H44" i="5" s="1"/>
  <c r="G43" i="5"/>
  <c r="H43" i="5" s="1"/>
  <c r="G42" i="5"/>
  <c r="H42" i="5" s="1"/>
  <c r="G41" i="5"/>
  <c r="H41" i="5" s="1"/>
  <c r="G40" i="5"/>
  <c r="H40" i="5" s="1"/>
  <c r="G39" i="5"/>
  <c r="H39" i="5" s="1"/>
  <c r="G38" i="5"/>
  <c r="H38" i="5" s="1"/>
  <c r="G37" i="5"/>
  <c r="H37" i="5" s="1"/>
  <c r="G36" i="5"/>
  <c r="H36" i="5" s="1"/>
  <c r="G35" i="5"/>
  <c r="H35" i="5" s="1"/>
  <c r="G34" i="5"/>
  <c r="H34" i="5" s="1"/>
  <c r="G33" i="5"/>
  <c r="H33" i="5" s="1"/>
  <c r="G32" i="5"/>
  <c r="H32" i="5" s="1"/>
  <c r="G31" i="5"/>
  <c r="H31" i="5" s="1"/>
  <c r="G30" i="5"/>
  <c r="H30" i="5" s="1"/>
  <c r="G29" i="5"/>
  <c r="H29" i="5" s="1"/>
  <c r="G28" i="5"/>
  <c r="H28" i="5" s="1"/>
  <c r="G27" i="5"/>
  <c r="H27" i="5" s="1"/>
  <c r="G26" i="5"/>
  <c r="H26" i="5" s="1"/>
  <c r="F26" i="5"/>
  <c r="G25" i="5"/>
  <c r="G24" i="5"/>
  <c r="G23" i="5"/>
  <c r="G22" i="5"/>
  <c r="G21" i="5"/>
  <c r="G20" i="5"/>
  <c r="G19" i="5"/>
  <c r="G18" i="5"/>
  <c r="G17" i="5"/>
  <c r="G16" i="5"/>
  <c r="G15" i="5"/>
  <c r="G14" i="5"/>
  <c r="G13" i="5"/>
  <c r="G12" i="5"/>
  <c r="G11" i="5"/>
  <c r="G10" i="5"/>
  <c r="G9" i="5"/>
  <c r="G8" i="5"/>
  <c r="G7" i="5"/>
  <c r="G105" i="4"/>
  <c r="H105" i="4" s="1"/>
  <c r="G104" i="4"/>
  <c r="H104" i="4" s="1"/>
  <c r="G103" i="4"/>
  <c r="H103" i="4" s="1"/>
  <c r="G102" i="4"/>
  <c r="H102" i="4" s="1"/>
  <c r="G101" i="4"/>
  <c r="H101" i="4" s="1"/>
  <c r="G100" i="4"/>
  <c r="H100" i="4" s="1"/>
  <c r="G99" i="4"/>
  <c r="H99" i="4" s="1"/>
  <c r="G98" i="4"/>
  <c r="H98" i="4" s="1"/>
  <c r="G97" i="4"/>
  <c r="H97" i="4" s="1"/>
  <c r="G96" i="4"/>
  <c r="H96" i="4" s="1"/>
  <c r="G95" i="4"/>
  <c r="H95" i="4" s="1"/>
  <c r="G94" i="4"/>
  <c r="H94" i="4" s="1"/>
  <c r="G93" i="4"/>
  <c r="H93" i="4" s="1"/>
  <c r="G92" i="4"/>
  <c r="H92" i="4" s="1"/>
  <c r="G91" i="4"/>
  <c r="H91" i="4" s="1"/>
  <c r="G90" i="4"/>
  <c r="H90" i="4" s="1"/>
  <c r="G89" i="4"/>
  <c r="H89" i="4" s="1"/>
  <c r="G88" i="4"/>
  <c r="H88" i="4" s="1"/>
  <c r="G87" i="4"/>
  <c r="H87" i="4" s="1"/>
  <c r="G86" i="4"/>
  <c r="H86" i="4" s="1"/>
  <c r="G85" i="4"/>
  <c r="H85" i="4" s="1"/>
  <c r="G84" i="4"/>
  <c r="H84" i="4" s="1"/>
  <c r="G83" i="4"/>
  <c r="H83" i="4" s="1"/>
  <c r="G82" i="4"/>
  <c r="H82" i="4" s="1"/>
  <c r="G81" i="4"/>
  <c r="H81" i="4" s="1"/>
  <c r="G80" i="4"/>
  <c r="H80" i="4" s="1"/>
  <c r="G79" i="4"/>
  <c r="H79" i="4" s="1"/>
  <c r="G78" i="4"/>
  <c r="H78" i="4" s="1"/>
  <c r="G77" i="4"/>
  <c r="H77" i="4" s="1"/>
  <c r="G76" i="4"/>
  <c r="H76" i="4" s="1"/>
  <c r="G75" i="4"/>
  <c r="H75" i="4" s="1"/>
  <c r="G74" i="4"/>
  <c r="H74" i="4" s="1"/>
  <c r="G73" i="4"/>
  <c r="H73" i="4" s="1"/>
  <c r="G72" i="4"/>
  <c r="H72" i="4" s="1"/>
  <c r="G71" i="4"/>
  <c r="H71" i="4" s="1"/>
  <c r="G70" i="4"/>
  <c r="H70" i="4" s="1"/>
  <c r="G69" i="4"/>
  <c r="H69" i="4" s="1"/>
  <c r="G68" i="4"/>
  <c r="H68" i="4" s="1"/>
  <c r="G67" i="4"/>
  <c r="H67" i="4" s="1"/>
  <c r="G66" i="4"/>
  <c r="H66" i="4" s="1"/>
  <c r="G65" i="4"/>
  <c r="H65" i="4" s="1"/>
  <c r="G64" i="4"/>
  <c r="H64" i="4" s="1"/>
  <c r="G63" i="4"/>
  <c r="H63" i="4" s="1"/>
  <c r="G62" i="4"/>
  <c r="H62" i="4" s="1"/>
  <c r="G61" i="4"/>
  <c r="H61" i="4" s="1"/>
  <c r="G60" i="4"/>
  <c r="H60" i="4" s="1"/>
  <c r="G59" i="4"/>
  <c r="H59" i="4" s="1"/>
  <c r="G58" i="4"/>
  <c r="H58" i="4" s="1"/>
  <c r="G57" i="4"/>
  <c r="H57" i="4" s="1"/>
  <c r="G56" i="4"/>
  <c r="H56" i="4" s="1"/>
  <c r="G55" i="4"/>
  <c r="H55" i="4" s="1"/>
  <c r="G54" i="4"/>
  <c r="H54" i="4" s="1"/>
  <c r="G53" i="4"/>
  <c r="H53" i="4" s="1"/>
  <c r="G52" i="4"/>
  <c r="H52" i="4" s="1"/>
  <c r="G51" i="4"/>
  <c r="H51" i="4" s="1"/>
  <c r="G50" i="4"/>
  <c r="H50" i="4" s="1"/>
  <c r="G49" i="4"/>
  <c r="H49" i="4" s="1"/>
  <c r="G48" i="4"/>
  <c r="H48" i="4" s="1"/>
  <c r="G47" i="4"/>
  <c r="H47" i="4" s="1"/>
  <c r="G46" i="4"/>
  <c r="H46" i="4" s="1"/>
  <c r="G45" i="4"/>
  <c r="H45" i="4" s="1"/>
  <c r="G44" i="4"/>
  <c r="H44" i="4" s="1"/>
  <c r="G43" i="4"/>
  <c r="H43" i="4" s="1"/>
  <c r="G42" i="4"/>
  <c r="H42" i="4" s="1"/>
  <c r="G41" i="4"/>
  <c r="H41" i="4" s="1"/>
  <c r="G40" i="4"/>
  <c r="H40" i="4" s="1"/>
  <c r="G39" i="4"/>
  <c r="H39" i="4" s="1"/>
  <c r="G38" i="4"/>
  <c r="H38" i="4" s="1"/>
  <c r="G37" i="4"/>
  <c r="H37" i="4" s="1"/>
  <c r="G36" i="4"/>
  <c r="H36" i="4" s="1"/>
  <c r="G35" i="4"/>
  <c r="H35" i="4" s="1"/>
  <c r="G34" i="4"/>
  <c r="H34" i="4" s="1"/>
  <c r="G33" i="4"/>
  <c r="H33" i="4" s="1"/>
  <c r="G32" i="4"/>
  <c r="H32" i="4" s="1"/>
  <c r="G31" i="4"/>
  <c r="H31" i="4" s="1"/>
  <c r="G30" i="4"/>
  <c r="H30" i="4" s="1"/>
  <c r="G29" i="4"/>
  <c r="H29" i="4" s="1"/>
  <c r="G28" i="4"/>
  <c r="H28" i="4" s="1"/>
  <c r="G27" i="4"/>
  <c r="H27" i="4" s="1"/>
  <c r="G26" i="4"/>
  <c r="H26" i="4" s="1"/>
  <c r="F26" i="4"/>
  <c r="G25" i="4"/>
  <c r="G24" i="4"/>
  <c r="G23" i="4"/>
  <c r="G22" i="4"/>
  <c r="G21" i="4"/>
  <c r="G20" i="4"/>
  <c r="G19" i="4"/>
  <c r="G18" i="4"/>
  <c r="G17" i="4"/>
  <c r="G16" i="4"/>
  <c r="G15" i="4"/>
  <c r="G14" i="4"/>
  <c r="G9" i="4"/>
  <c r="G8" i="4"/>
  <c r="G7" i="4"/>
  <c r="G8" i="3" l="1"/>
  <c r="G9" i="3"/>
  <c r="G10" i="3"/>
  <c r="G11" i="3"/>
  <c r="G12" i="3"/>
  <c r="G13" i="3"/>
  <c r="G14" i="3"/>
  <c r="F26" i="3"/>
  <c r="G7"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H26" i="3" l="1"/>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4" i="7" l="1"/>
  <c r="H17" i="7"/>
  <c r="H22" i="5" l="1"/>
  <c r="H21" i="5"/>
  <c r="H25" i="5"/>
  <c r="H20" i="5"/>
  <c r="H17" i="5"/>
  <c r="H16" i="5"/>
  <c r="H19" i="5"/>
  <c r="H23" i="5"/>
  <c r="H24" i="5"/>
  <c r="H18" i="5"/>
  <c r="H24" i="6"/>
  <c r="H18" i="6"/>
  <c r="H19" i="6"/>
  <c r="H17" i="9"/>
  <c r="H25" i="6"/>
  <c r="H24" i="8"/>
  <c r="H21" i="6"/>
  <c r="H22" i="8"/>
  <c r="H11" i="8"/>
  <c r="H22" i="6"/>
  <c r="H10" i="8"/>
  <c r="H12" i="8"/>
  <c r="H16" i="9"/>
  <c r="H16" i="6"/>
  <c r="H25" i="8"/>
  <c r="H15" i="8"/>
  <c r="H23" i="9"/>
  <c r="H20" i="8"/>
  <c r="H23" i="8"/>
  <c r="H24" i="9"/>
  <c r="H20" i="6"/>
  <c r="H19" i="8"/>
  <c r="H17" i="6"/>
  <c r="H25" i="9"/>
  <c r="H19" i="9"/>
  <c r="H21" i="8"/>
  <c r="H20" i="9"/>
  <c r="H17" i="8"/>
  <c r="H18" i="9"/>
  <c r="H18" i="8"/>
  <c r="H16" i="8"/>
  <c r="H22" i="9"/>
  <c r="H14" i="8"/>
  <c r="H23" i="6"/>
  <c r="H21" i="9"/>
  <c r="H13" i="8"/>
  <c r="B19" i="14"/>
  <c r="D10" i="19"/>
  <c r="D17" i="13"/>
  <c r="D23" i="7"/>
  <c r="D8" i="14"/>
  <c r="B24" i="9"/>
  <c r="B16" i="15"/>
  <c r="D20" i="25"/>
  <c r="B19" i="7"/>
  <c r="B16" i="5"/>
  <c r="C14" i="12"/>
  <c r="D9" i="24"/>
  <c r="B15" i="8"/>
  <c r="B12" i="5"/>
  <c r="D20" i="15"/>
  <c r="D15" i="20"/>
  <c r="D24" i="10"/>
  <c r="C6" i="16"/>
  <c r="B13" i="8"/>
  <c r="C21" i="8"/>
  <c r="B15" i="12"/>
  <c r="D21" i="14"/>
  <c r="B25" i="7"/>
  <c r="B18" i="10"/>
  <c r="B13" i="24"/>
  <c r="B13" i="15"/>
  <c r="C25" i="24"/>
  <c r="B25" i="5"/>
  <c r="D15" i="6"/>
  <c r="D22" i="4"/>
  <c r="C18" i="11"/>
  <c r="C11" i="7"/>
  <c r="D23" i="14"/>
  <c r="A12" i="16"/>
  <c r="C18" i="16"/>
  <c r="D11" i="7"/>
  <c r="C11" i="5"/>
  <c r="B22" i="26"/>
  <c r="C21" i="11"/>
  <c r="D24" i="26"/>
  <c r="C25" i="13"/>
  <c r="D12" i="6"/>
  <c r="C8" i="14"/>
  <c r="C9" i="19"/>
  <c r="B21" i="26"/>
  <c r="D23" i="24"/>
  <c r="D15" i="5"/>
  <c r="C12" i="3"/>
  <c r="D13" i="10"/>
  <c r="B16" i="9"/>
  <c r="D17" i="25"/>
  <c r="C14" i="9"/>
  <c r="D15" i="19"/>
  <c r="C15" i="12"/>
  <c r="C13" i="14"/>
  <c r="D16" i="11"/>
  <c r="C24" i="13"/>
  <c r="D10" i="12"/>
  <c r="D8" i="19"/>
  <c r="D9" i="9"/>
  <c r="C24" i="25"/>
  <c r="C20" i="15"/>
  <c r="C7" i="10"/>
  <c r="C25" i="26"/>
  <c r="D12" i="19"/>
  <c r="D8" i="24"/>
  <c r="B20" i="26"/>
  <c r="B7" i="14"/>
  <c r="D21" i="20"/>
  <c r="D9" i="10"/>
  <c r="C11" i="3"/>
  <c r="D19" i="25"/>
  <c r="B22" i="25"/>
  <c r="C14" i="26"/>
  <c r="D22" i="19"/>
  <c r="B8" i="25"/>
  <c r="D23" i="3"/>
  <c r="A15" i="16"/>
  <c r="B15" i="15"/>
  <c r="B19" i="6"/>
  <c r="B9" i="14"/>
  <c r="B19" i="3"/>
  <c r="B17" i="6"/>
  <c r="A5" i="16"/>
  <c r="D10" i="26"/>
  <c r="B11" i="10"/>
  <c r="D10" i="24"/>
  <c r="B23" i="11"/>
  <c r="D25" i="7"/>
  <c r="B13" i="20"/>
  <c r="D18" i="10"/>
  <c r="D19" i="3"/>
  <c r="C25" i="19"/>
  <c r="B11" i="5"/>
  <c r="C22" i="14"/>
  <c r="D14" i="10"/>
  <c r="B19" i="9"/>
  <c r="B20" i="3"/>
  <c r="B24" i="8"/>
  <c r="D19" i="14"/>
  <c r="D23" i="4"/>
  <c r="B21" i="19"/>
  <c r="C12" i="19"/>
  <c r="C9" i="26"/>
  <c r="B19" i="19"/>
  <c r="B12" i="15"/>
  <c r="C25" i="10"/>
  <c r="D16" i="3"/>
  <c r="D12" i="5"/>
  <c r="C9" i="24"/>
  <c r="B23" i="10"/>
  <c r="B25" i="20"/>
  <c r="C7" i="12"/>
  <c r="D17" i="26"/>
  <c r="C11" i="19"/>
  <c r="B11" i="15"/>
  <c r="B7" i="26"/>
  <c r="B24" i="20"/>
  <c r="D7" i="10"/>
  <c r="C16" i="5"/>
  <c r="C14" i="25"/>
  <c r="D15" i="15"/>
  <c r="C7" i="24"/>
  <c r="D9" i="15"/>
  <c r="B22" i="4"/>
  <c r="C13" i="24"/>
  <c r="C23" i="25"/>
  <c r="C15" i="4"/>
  <c r="B24" i="5"/>
  <c r="B18" i="15"/>
  <c r="B17" i="19"/>
  <c r="B10" i="26"/>
  <c r="C16" i="3"/>
  <c r="D12" i="24"/>
  <c r="B7" i="8"/>
  <c r="D16" i="7"/>
  <c r="B24" i="19"/>
  <c r="D20" i="10"/>
  <c r="B21" i="6"/>
  <c r="D13" i="16"/>
  <c r="B10" i="15"/>
  <c r="B24" i="11"/>
  <c r="D10" i="3"/>
  <c r="C19" i="8"/>
  <c r="C23" i="14"/>
  <c r="D5" i="16"/>
  <c r="D14" i="25"/>
  <c r="C13" i="3"/>
  <c r="B21" i="3"/>
  <c r="C18" i="20"/>
  <c r="C21" i="5"/>
  <c r="C17" i="13"/>
  <c r="D13" i="25"/>
  <c r="D19" i="19"/>
  <c r="D21" i="24"/>
  <c r="B14" i="14"/>
  <c r="C12" i="12"/>
  <c r="D16" i="25"/>
  <c r="D9" i="6"/>
  <c r="B21" i="10"/>
  <c r="C7" i="14"/>
  <c r="C10" i="26"/>
  <c r="B23" i="9"/>
  <c r="B22" i="10"/>
  <c r="D21" i="12"/>
  <c r="D14" i="12"/>
  <c r="B24" i="24"/>
  <c r="B18" i="26"/>
  <c r="D11" i="15"/>
  <c r="D7" i="16"/>
  <c r="B25" i="19"/>
  <c r="C19" i="5"/>
  <c r="D12" i="20"/>
  <c r="C8" i="7"/>
  <c r="B14" i="5"/>
  <c r="B22" i="15"/>
  <c r="B15" i="5"/>
  <c r="C19" i="26"/>
  <c r="C25" i="14"/>
  <c r="C22" i="15"/>
  <c r="B16" i="10"/>
  <c r="D16" i="26"/>
  <c r="D23" i="11"/>
  <c r="B10" i="9"/>
  <c r="D8" i="8"/>
  <c r="B22" i="12"/>
  <c r="B10" i="4"/>
  <c r="B10" i="24"/>
  <c r="D9" i="11"/>
  <c r="C21" i="7"/>
  <c r="D15" i="10"/>
  <c r="B17" i="24"/>
  <c r="C10" i="16"/>
  <c r="D9" i="5"/>
  <c r="C20" i="3"/>
  <c r="B18" i="20"/>
  <c r="D6" i="16"/>
  <c r="D9" i="7"/>
  <c r="D21" i="3"/>
  <c r="D24" i="19"/>
  <c r="D11" i="26"/>
  <c r="D12" i="14"/>
  <c r="D20" i="20"/>
  <c r="B24" i="12"/>
  <c r="C24" i="8"/>
  <c r="B12" i="3"/>
  <c r="B12" i="12"/>
  <c r="C8" i="6"/>
  <c r="C25" i="20"/>
  <c r="D25" i="4"/>
  <c r="B17" i="12"/>
  <c r="C15" i="10"/>
  <c r="D19" i="10"/>
  <c r="C12" i="8"/>
  <c r="B24" i="14"/>
  <c r="C23" i="13"/>
  <c r="B15" i="13"/>
  <c r="C8" i="24"/>
  <c r="C9" i="12"/>
  <c r="D18" i="3"/>
  <c r="C17" i="12"/>
  <c r="C17" i="14"/>
  <c r="C20" i="4"/>
  <c r="C21" i="10"/>
  <c r="B7" i="6"/>
  <c r="B8" i="11"/>
  <c r="C20" i="20"/>
  <c r="D18" i="13"/>
  <c r="D7" i="19"/>
  <c r="D14" i="26"/>
  <c r="D8" i="15"/>
  <c r="C17" i="4"/>
  <c r="B15" i="26"/>
  <c r="A18" i="16"/>
  <c r="C11" i="10"/>
  <c r="C11" i="20"/>
  <c r="B9" i="3"/>
  <c r="B17" i="26"/>
  <c r="C10" i="6"/>
  <c r="C22" i="9"/>
  <c r="B23" i="15"/>
  <c r="D19" i="16"/>
  <c r="B15" i="9"/>
  <c r="D13" i="9"/>
  <c r="C14" i="3"/>
  <c r="D25" i="24"/>
  <c r="D25" i="26"/>
  <c r="C10" i="5"/>
  <c r="B8" i="20"/>
  <c r="B12" i="19"/>
  <c r="D7" i="13"/>
  <c r="B7" i="13"/>
  <c r="C8" i="15"/>
  <c r="D13" i="11"/>
  <c r="D21" i="19"/>
  <c r="C10" i="13"/>
  <c r="D24" i="4"/>
  <c r="C8" i="11"/>
  <c r="B19" i="13"/>
  <c r="B20" i="24"/>
  <c r="D11" i="6"/>
  <c r="B17" i="20"/>
  <c r="D20" i="14"/>
  <c r="C16" i="4"/>
  <c r="C23" i="19"/>
  <c r="D24" i="3"/>
  <c r="B8" i="13"/>
  <c r="D18" i="11"/>
  <c r="B11" i="4"/>
  <c r="A8" i="16"/>
  <c r="D15" i="24"/>
  <c r="B22" i="19"/>
  <c r="C16" i="8"/>
  <c r="C12" i="14"/>
  <c r="B25" i="26"/>
  <c r="B10" i="25"/>
  <c r="B25" i="12"/>
  <c r="D9" i="3"/>
  <c r="D14" i="4"/>
  <c r="B24" i="26"/>
  <c r="B22" i="11"/>
  <c r="C8" i="12"/>
  <c r="A13" i="16"/>
  <c r="C25" i="12"/>
  <c r="C10" i="14"/>
  <c r="C12" i="11"/>
  <c r="C23" i="12"/>
  <c r="B8" i="9"/>
  <c r="B25" i="4"/>
  <c r="B25" i="10"/>
  <c r="C24" i="20"/>
  <c r="B12" i="14"/>
  <c r="B8" i="3"/>
  <c r="C24" i="5"/>
  <c r="D13" i="5"/>
  <c r="B18" i="24"/>
  <c r="C11" i="15"/>
  <c r="B25" i="8"/>
  <c r="D11" i="5"/>
  <c r="A6" i="16"/>
  <c r="C20" i="6"/>
  <c r="C7" i="19"/>
  <c r="C16" i="13"/>
  <c r="C14" i="5"/>
  <c r="B8" i="12"/>
  <c r="B17" i="7"/>
  <c r="C15" i="19"/>
  <c r="D4" i="16"/>
  <c r="B7" i="11"/>
  <c r="C9" i="16"/>
  <c r="C20" i="14"/>
  <c r="C19" i="24"/>
  <c r="C19" i="13"/>
  <c r="D14" i="19"/>
  <c r="C16" i="7"/>
  <c r="D7" i="14"/>
  <c r="B18" i="9"/>
  <c r="C19" i="10"/>
  <c r="B21" i="4"/>
  <c r="C19" i="15"/>
  <c r="C25" i="3"/>
  <c r="D10" i="14"/>
  <c r="C9" i="3"/>
  <c r="C13" i="12"/>
  <c r="D25" i="10"/>
  <c r="B8" i="5"/>
  <c r="B12" i="11"/>
  <c r="B9" i="7"/>
  <c r="D9" i="14"/>
  <c r="C8" i="26"/>
  <c r="D7" i="8"/>
  <c r="B14" i="3"/>
  <c r="B25" i="25"/>
  <c r="C13" i="6"/>
  <c r="C18" i="15"/>
  <c r="D21" i="4"/>
  <c r="C13" i="5"/>
  <c r="B8" i="24"/>
  <c r="B25" i="11"/>
  <c r="B19" i="15"/>
  <c r="B10" i="19"/>
  <c r="B13" i="10"/>
  <c r="B9" i="6"/>
  <c r="B11" i="3"/>
  <c r="D10" i="4"/>
  <c r="C13" i="10"/>
  <c r="D18" i="25"/>
  <c r="C20" i="5"/>
  <c r="B8" i="10"/>
  <c r="D7" i="9"/>
  <c r="D19" i="11"/>
  <c r="D21" i="11"/>
  <c r="B12" i="20"/>
  <c r="B11" i="20"/>
  <c r="C14" i="8"/>
  <c r="B19" i="11"/>
  <c r="D24" i="12"/>
  <c r="B9" i="12"/>
  <c r="B21" i="11"/>
  <c r="C17" i="7"/>
  <c r="D12" i="26"/>
  <c r="B18" i="3"/>
  <c r="C21" i="6"/>
  <c r="C13" i="16"/>
  <c r="C13" i="25"/>
  <c r="C12" i="10"/>
  <c r="B12" i="6"/>
  <c r="C21" i="25"/>
  <c r="B25" i="9"/>
  <c r="D24" i="20"/>
  <c r="C20" i="26"/>
  <c r="C9" i="11"/>
  <c r="C21" i="14"/>
  <c r="C14" i="10"/>
  <c r="B14" i="8"/>
  <c r="C21" i="9"/>
  <c r="D9" i="16"/>
  <c r="B17" i="15"/>
  <c r="C18" i="25"/>
  <c r="A14" i="16"/>
  <c r="B21" i="5"/>
  <c r="B9" i="4"/>
  <c r="D23" i="10"/>
  <c r="C18" i="9"/>
  <c r="B15" i="24"/>
  <c r="C13" i="9"/>
  <c r="B23" i="8"/>
  <c r="C25" i="9"/>
  <c r="C14" i="24"/>
  <c r="D12" i="9"/>
  <c r="C12" i="20"/>
  <c r="B14" i="20"/>
  <c r="C8" i="5"/>
  <c r="D12" i="3"/>
  <c r="B24" i="15"/>
  <c r="D22" i="11"/>
  <c r="C17" i="16"/>
  <c r="C23" i="6"/>
  <c r="C15" i="25"/>
  <c r="D12" i="25"/>
  <c r="B23" i="14"/>
  <c r="B21" i="15"/>
  <c r="D10" i="16"/>
  <c r="D11" i="9"/>
  <c r="B22" i="14"/>
  <c r="C20" i="8"/>
  <c r="B22" i="6"/>
  <c r="C24" i="12"/>
  <c r="B19" i="5"/>
  <c r="B8" i="7"/>
  <c r="C25" i="6"/>
  <c r="D14" i="5"/>
  <c r="D16" i="15"/>
  <c r="C14" i="19"/>
  <c r="D7" i="20"/>
  <c r="D17" i="11"/>
  <c r="B17" i="11"/>
  <c r="D24" i="14"/>
  <c r="B17" i="25"/>
  <c r="D14" i="14"/>
  <c r="C17" i="26"/>
  <c r="C23" i="5"/>
  <c r="D23" i="20"/>
  <c r="B14" i="19"/>
  <c r="D9" i="13"/>
  <c r="B25" i="6"/>
  <c r="B11" i="6"/>
  <c r="B10" i="12"/>
  <c r="C23" i="3"/>
  <c r="D8" i="5"/>
  <c r="C23" i="26"/>
  <c r="C11" i="24"/>
  <c r="B8" i="19"/>
  <c r="B24" i="13"/>
  <c r="D25" i="13"/>
  <c r="D8" i="3"/>
  <c r="C18" i="8"/>
  <c r="C12" i="16"/>
  <c r="C25" i="15"/>
  <c r="C9" i="7"/>
  <c r="C14" i="11"/>
  <c r="D21" i="15"/>
  <c r="C20" i="12"/>
  <c r="C15" i="24"/>
  <c r="D17" i="12"/>
  <c r="D8" i="9"/>
  <c r="C17" i="24"/>
  <c r="D10" i="9"/>
  <c r="C17" i="19"/>
  <c r="C18" i="19"/>
  <c r="D14" i="15"/>
  <c r="B21" i="12"/>
  <c r="C7" i="4"/>
  <c r="B9" i="15"/>
  <c r="D11" i="20"/>
  <c r="D16" i="19"/>
  <c r="C16" i="26"/>
  <c r="B22" i="13"/>
  <c r="D25" i="11"/>
  <c r="D17" i="14"/>
  <c r="C19" i="20"/>
  <c r="C8" i="9"/>
  <c r="C8" i="10"/>
  <c r="B17" i="3"/>
  <c r="C16" i="15"/>
  <c r="D11" i="11"/>
  <c r="C11" i="6"/>
  <c r="C12" i="13"/>
  <c r="D19" i="4"/>
  <c r="D10" i="11"/>
  <c r="D11" i="12"/>
  <c r="D22" i="24"/>
  <c r="C13" i="11"/>
  <c r="C24" i="6"/>
  <c r="C22" i="5"/>
  <c r="C16" i="14"/>
  <c r="C18" i="10"/>
  <c r="D7" i="26"/>
  <c r="B14" i="26"/>
  <c r="C21" i="24"/>
  <c r="C19" i="25"/>
  <c r="C17" i="3"/>
  <c r="C22" i="19"/>
  <c r="A16" i="16"/>
  <c r="C23" i="7"/>
  <c r="C23" i="8"/>
  <c r="C22" i="10"/>
  <c r="B23" i="24"/>
  <c r="B11" i="13"/>
  <c r="C15" i="13"/>
  <c r="C7" i="20"/>
  <c r="D22" i="7"/>
  <c r="C7" i="3"/>
  <c r="D12" i="16"/>
  <c r="C15" i="6"/>
  <c r="D14" i="3"/>
  <c r="C19" i="12"/>
  <c r="B20" i="15"/>
  <c r="D16" i="14"/>
  <c r="B17" i="5"/>
  <c r="D19" i="20"/>
  <c r="D11" i="3"/>
  <c r="B13" i="6"/>
  <c r="B11" i="11"/>
  <c r="B19" i="25"/>
  <c r="C19" i="14"/>
  <c r="C18" i="14"/>
  <c r="C11" i="16"/>
  <c r="B19" i="8"/>
  <c r="A10" i="16"/>
  <c r="D15" i="14"/>
  <c r="D11" i="14"/>
  <c r="B13" i="3"/>
  <c r="C25" i="5"/>
  <c r="D10" i="6"/>
  <c r="B11" i="19"/>
  <c r="C23" i="4"/>
  <c r="B9" i="8"/>
  <c r="C15" i="11"/>
  <c r="D24" i="24"/>
  <c r="D10" i="7"/>
  <c r="C25" i="4"/>
  <c r="D22" i="25"/>
  <c r="B10" i="14"/>
  <c r="D17" i="15"/>
  <c r="C15" i="26"/>
  <c r="C15" i="20"/>
  <c r="C15" i="9"/>
  <c r="C14" i="20"/>
  <c r="B12" i="26"/>
  <c r="D20" i="19"/>
  <c r="C7" i="11"/>
  <c r="D8" i="26"/>
  <c r="B24" i="6"/>
  <c r="B15" i="3"/>
  <c r="C4" i="16"/>
  <c r="D22" i="14"/>
  <c r="B7" i="15"/>
  <c r="B9" i="13"/>
  <c r="B12" i="10"/>
  <c r="B21" i="13"/>
  <c r="C16" i="16"/>
  <c r="B7" i="5"/>
  <c r="B8" i="15"/>
  <c r="B22" i="24"/>
  <c r="C20" i="13"/>
  <c r="D19" i="24"/>
  <c r="B12" i="13"/>
  <c r="A19" i="16"/>
  <c r="B21" i="9"/>
  <c r="C7" i="26"/>
  <c r="B20" i="20"/>
  <c r="C16" i="10"/>
  <c r="D25" i="3"/>
  <c r="D9" i="20"/>
  <c r="C17" i="5"/>
  <c r="D10" i="15"/>
  <c r="C8" i="8"/>
  <c r="D8" i="12"/>
  <c r="B22" i="20"/>
  <c r="C19" i="3"/>
  <c r="C13" i="19"/>
  <c r="B22" i="5"/>
  <c r="C14" i="7"/>
  <c r="B19" i="10"/>
  <c r="B23" i="5"/>
  <c r="B14" i="9"/>
  <c r="B16" i="13"/>
  <c r="C16" i="12"/>
  <c r="B18" i="11"/>
  <c r="D23" i="26"/>
  <c r="D7" i="11"/>
  <c r="C20" i="19"/>
  <c r="D13" i="26"/>
  <c r="C23" i="15"/>
  <c r="D20" i="11"/>
  <c r="C22" i="13"/>
  <c r="C14" i="16"/>
  <c r="D18" i="24"/>
  <c r="B10" i="10"/>
  <c r="C15" i="7"/>
  <c r="B20" i="6"/>
  <c r="C10" i="10"/>
  <c r="B11" i="25"/>
  <c r="D13" i="13"/>
  <c r="C11" i="12"/>
  <c r="B23" i="26"/>
  <c r="C16" i="19"/>
  <c r="C20" i="9"/>
  <c r="B20" i="4"/>
  <c r="D23" i="19"/>
  <c r="D25" i="20"/>
  <c r="C8" i="25"/>
  <c r="B25" i="13"/>
  <c r="B25" i="14"/>
  <c r="B18" i="19"/>
  <c r="D9" i="12"/>
  <c r="D12" i="13"/>
  <c r="C10" i="19"/>
  <c r="D11" i="4"/>
  <c r="D24" i="7"/>
  <c r="B22" i="9"/>
  <c r="D20" i="4"/>
  <c r="C17" i="8"/>
  <c r="C13" i="26"/>
  <c r="C25" i="25"/>
  <c r="B20" i="9"/>
  <c r="C24" i="19"/>
  <c r="D20" i="3"/>
  <c r="C9" i="10"/>
  <c r="B14" i="6"/>
  <c r="A7" i="16"/>
  <c r="B19" i="26"/>
  <c r="C18" i="5"/>
  <c r="D17" i="24"/>
  <c r="D19" i="15"/>
  <c r="C17" i="11"/>
  <c r="D16" i="13"/>
  <c r="B13" i="26"/>
  <c r="B9" i="11"/>
  <c r="D8" i="6"/>
  <c r="C15" i="15"/>
  <c r="C7" i="13"/>
  <c r="B17" i="14"/>
  <c r="B7" i="20"/>
  <c r="B14" i="15"/>
  <c r="C15" i="3"/>
  <c r="C21" i="26"/>
  <c r="C7" i="6"/>
  <c r="B10" i="3"/>
  <c r="C9" i="8"/>
  <c r="B18" i="13"/>
  <c r="B14" i="11"/>
  <c r="B7" i="12"/>
  <c r="C12" i="24"/>
  <c r="D19" i="13"/>
  <c r="C5" i="16"/>
  <c r="B17" i="10"/>
  <c r="C12" i="9"/>
  <c r="D14" i="11"/>
  <c r="B9" i="26"/>
  <c r="C12" i="26"/>
  <c r="C21" i="20"/>
  <c r="C9" i="15"/>
  <c r="B17" i="13"/>
  <c r="B14" i="12"/>
  <c r="C11" i="14"/>
  <c r="C20" i="24"/>
  <c r="C10" i="25"/>
  <c r="C9" i="6"/>
  <c r="B13" i="9"/>
  <c r="D8" i="10"/>
  <c r="B12" i="25"/>
  <c r="D18" i="26"/>
  <c r="D21" i="25"/>
  <c r="B7" i="25"/>
  <c r="B20" i="11"/>
  <c r="C19" i="9"/>
  <c r="D18" i="15"/>
  <c r="C15" i="14"/>
  <c r="C18" i="24"/>
  <c r="C8" i="19"/>
  <c r="B13" i="11"/>
  <c r="C20" i="25"/>
  <c r="C24" i="10"/>
  <c r="C11" i="11"/>
  <c r="B16" i="7"/>
  <c r="B10" i="7"/>
  <c r="B18" i="12"/>
  <c r="C18" i="12"/>
  <c r="B20" i="13"/>
  <c r="B12" i="9"/>
  <c r="D16" i="24"/>
  <c r="B15" i="20"/>
  <c r="B22" i="8"/>
  <c r="B8" i="14"/>
  <c r="D12" i="15"/>
  <c r="C17" i="20"/>
  <c r="B25" i="3"/>
  <c r="D24" i="15"/>
  <c r="D13" i="24"/>
  <c r="B15" i="19"/>
  <c r="C12" i="15"/>
  <c r="B8" i="26"/>
  <c r="C10" i="15"/>
  <c r="C13" i="13"/>
  <c r="C17" i="25"/>
  <c r="D21" i="7"/>
  <c r="C21" i="4"/>
  <c r="D23" i="12"/>
  <c r="B11" i="12"/>
  <c r="B25" i="15"/>
  <c r="D8" i="4"/>
  <c r="C10" i="8"/>
  <c r="D10" i="10"/>
  <c r="D8" i="16"/>
  <c r="B15" i="10"/>
  <c r="D19" i="12"/>
  <c r="D9" i="4"/>
  <c r="C22" i="25"/>
  <c r="B23" i="12"/>
  <c r="B18" i="4"/>
  <c r="C11" i="13"/>
  <c r="C24" i="14"/>
  <c r="C14" i="6"/>
  <c r="D9" i="8"/>
  <c r="D17" i="3"/>
  <c r="B9" i="25"/>
  <c r="B10" i="13"/>
  <c r="C13" i="8"/>
  <c r="D7" i="12"/>
  <c r="B20" i="8"/>
  <c r="C12" i="6"/>
  <c r="C19" i="16"/>
  <c r="D12" i="11"/>
  <c r="C21" i="15"/>
  <c r="C16" i="11"/>
  <c r="D8" i="25"/>
  <c r="C7" i="7"/>
  <c r="D22" i="26"/>
  <c r="D21" i="26"/>
  <c r="D13" i="19"/>
  <c r="D23" i="15"/>
  <c r="C16" i="24"/>
  <c r="C7" i="16"/>
  <c r="C11" i="9"/>
  <c r="D7" i="4"/>
  <c r="D16" i="10"/>
  <c r="D14" i="6"/>
  <c r="D15" i="4"/>
  <c r="B12" i="8"/>
  <c r="D11" i="13"/>
  <c r="D21" i="13"/>
  <c r="B21" i="14"/>
  <c r="A17" i="16"/>
  <c r="B14" i="7"/>
  <c r="C11" i="25"/>
  <c r="B16" i="11"/>
  <c r="D20" i="24"/>
  <c r="D18" i="16"/>
  <c r="C8" i="16"/>
  <c r="C7" i="25"/>
  <c r="C23" i="10"/>
  <c r="B11" i="14"/>
  <c r="C14" i="14"/>
  <c r="D8" i="20"/>
  <c r="D24" i="25"/>
  <c r="B11" i="7"/>
  <c r="C19" i="11"/>
  <c r="C8" i="13"/>
  <c r="D16" i="16"/>
  <c r="D13" i="3"/>
  <c r="C9" i="5"/>
  <c r="C17" i="6"/>
  <c r="B18" i="5"/>
  <c r="D24" i="11"/>
  <c r="D15" i="11"/>
  <c r="D25" i="19"/>
  <c r="B23" i="3"/>
  <c r="D22" i="10"/>
  <c r="D9" i="26"/>
  <c r="C21" i="19"/>
  <c r="B14" i="4"/>
  <c r="C18" i="3"/>
  <c r="B10" i="20"/>
  <c r="D22" i="20"/>
  <c r="D18" i="19"/>
  <c r="C17" i="10"/>
  <c r="B21" i="8"/>
  <c r="C9" i="20"/>
  <c r="C13" i="20"/>
  <c r="D21" i="10"/>
  <c r="A4" i="16"/>
  <c r="B22" i="3"/>
  <c r="C11" i="26"/>
  <c r="B9" i="9"/>
  <c r="B9" i="5"/>
  <c r="B10" i="6"/>
  <c r="D14" i="24"/>
  <c r="C7" i="5"/>
  <c r="B10" i="5"/>
  <c r="C22" i="24"/>
  <c r="C10" i="9"/>
  <c r="D8" i="7"/>
  <c r="D14" i="9"/>
  <c r="C7" i="8"/>
  <c r="B8" i="8"/>
  <c r="C10" i="7"/>
  <c r="C22" i="12"/>
  <c r="C16" i="25"/>
  <c r="D13" i="15"/>
  <c r="D16" i="4"/>
  <c r="C13" i="15"/>
  <c r="C18" i="4"/>
  <c r="B23" i="19"/>
  <c r="B14" i="25"/>
  <c r="C11" i="8"/>
  <c r="B23" i="13"/>
  <c r="B18" i="6"/>
  <c r="B21" i="25"/>
  <c r="B22" i="7"/>
  <c r="C9" i="9"/>
  <c r="D10" i="13"/>
  <c r="D15" i="16"/>
  <c r="D17" i="16"/>
  <c r="B18" i="14"/>
  <c r="B20" i="5"/>
  <c r="B23" i="7"/>
  <c r="D15" i="25"/>
  <c r="B18" i="25"/>
  <c r="B23" i="20"/>
  <c r="C24" i="15"/>
  <c r="B11" i="24"/>
  <c r="B13" i="25"/>
  <c r="B16" i="19"/>
  <c r="D23" i="13"/>
  <c r="B15" i="7"/>
  <c r="B16" i="14"/>
  <c r="D17" i="19"/>
  <c r="C23" i="24"/>
  <c r="C22" i="8"/>
  <c r="B7" i="10"/>
  <c r="D13" i="20"/>
  <c r="B7" i="7"/>
  <c r="B24" i="4"/>
  <c r="D7" i="15"/>
  <c r="D7" i="24"/>
  <c r="C18" i="26"/>
  <c r="C22" i="26"/>
  <c r="C15" i="16"/>
  <c r="D7" i="5"/>
  <c r="B20" i="10"/>
  <c r="B19" i="4"/>
  <c r="D7" i="3"/>
  <c r="C15" i="8"/>
  <c r="D10" i="20"/>
  <c r="D22" i="15"/>
  <c r="B23" i="4"/>
  <c r="C9" i="25"/>
  <c r="D24" i="13"/>
  <c r="C16" i="6"/>
  <c r="C23" i="9"/>
  <c r="B19" i="24"/>
  <c r="C20" i="11"/>
  <c r="C22" i="6"/>
  <c r="B8" i="4"/>
  <c r="B16" i="8"/>
  <c r="D8" i="11"/>
  <c r="D17" i="10"/>
  <c r="C24" i="26"/>
  <c r="B7" i="19"/>
  <c r="B21" i="7"/>
  <c r="B14" i="10"/>
  <c r="B7" i="9"/>
  <c r="D13" i="12"/>
  <c r="D18" i="20"/>
  <c r="B18" i="8"/>
  <c r="C24" i="24"/>
  <c r="D15" i="9"/>
  <c r="C18" i="13"/>
  <c r="D17" i="4"/>
  <c r="A11" i="16"/>
  <c r="C23" i="20"/>
  <c r="D25" i="25"/>
  <c r="C14" i="13"/>
  <c r="D8" i="13"/>
  <c r="D22" i="12"/>
  <c r="B16" i="24"/>
  <c r="B23" i="25"/>
  <c r="B15" i="11"/>
  <c r="D14" i="13"/>
  <c r="C22" i="4"/>
  <c r="B7" i="24"/>
  <c r="B19" i="12"/>
  <c r="B16" i="4"/>
  <c r="B9" i="24"/>
  <c r="C22" i="11"/>
  <c r="B17" i="9"/>
  <c r="D10" i="5"/>
  <c r="D18" i="12"/>
  <c r="B24" i="25"/>
  <c r="B24" i="3"/>
  <c r="B11" i="8"/>
  <c r="B20" i="14"/>
  <c r="D15" i="12"/>
  <c r="D25" i="15"/>
  <c r="C7" i="15"/>
  <c r="B7" i="4"/>
  <c r="C16" i="9"/>
  <c r="C9" i="14"/>
  <c r="C14" i="4"/>
  <c r="B15" i="14"/>
  <c r="C9" i="4"/>
  <c r="D11" i="24"/>
  <c r="C24" i="3"/>
  <c r="C17" i="15"/>
  <c r="B16" i="20"/>
  <c r="C10" i="4"/>
  <c r="D12" i="10"/>
  <c r="C10" i="11"/>
  <c r="C10" i="20"/>
  <c r="B13" i="12"/>
  <c r="B15" i="6"/>
  <c r="B10" i="11"/>
  <c r="B20" i="19"/>
  <c r="C9" i="13"/>
  <c r="C25" i="8"/>
  <c r="B16" i="6"/>
  <c r="B10" i="8"/>
  <c r="B24" i="10"/>
  <c r="C21" i="13"/>
  <c r="B12" i="24"/>
  <c r="D20" i="13"/>
  <c r="D18" i="4"/>
  <c r="C12" i="25"/>
  <c r="C25" i="11"/>
  <c r="C19" i="4"/>
  <c r="B16" i="26"/>
  <c r="C19" i="19"/>
  <c r="C8" i="4"/>
  <c r="B9" i="19"/>
  <c r="B21" i="20"/>
  <c r="D14" i="20"/>
  <c r="C22" i="3"/>
  <c r="B19" i="20"/>
  <c r="B16" i="12"/>
  <c r="C15" i="5"/>
  <c r="D25" i="12"/>
  <c r="D17" i="20"/>
  <c r="C20" i="10"/>
  <c r="B11" i="26"/>
  <c r="D7" i="6"/>
  <c r="D11" i="16"/>
  <c r="D20" i="26"/>
  <c r="C10" i="24"/>
  <c r="B8" i="6"/>
  <c r="B17" i="4"/>
  <c r="D16" i="12"/>
  <c r="B15" i="25"/>
  <c r="D12" i="12"/>
  <c r="D20" i="12"/>
  <c r="B15" i="4"/>
  <c r="D10" i="25"/>
  <c r="B13" i="14"/>
  <c r="D9" i="25"/>
  <c r="C24" i="11"/>
  <c r="B13" i="5"/>
  <c r="B16" i="3"/>
  <c r="C14" i="15"/>
  <c r="C25" i="7"/>
  <c r="B25" i="24"/>
  <c r="C8" i="20"/>
  <c r="C16" i="20"/>
  <c r="C24" i="9"/>
  <c r="B13" i="19"/>
  <c r="C24" i="4"/>
  <c r="B11" i="9"/>
  <c r="C8" i="3"/>
  <c r="D23" i="25"/>
  <c r="B20" i="25"/>
  <c r="C19" i="7"/>
  <c r="B21" i="24"/>
  <c r="C12" i="5"/>
  <c r="C10" i="3"/>
  <c r="C19" i="6"/>
  <c r="C10" i="12"/>
  <c r="B14" i="24"/>
  <c r="D11" i="19"/>
  <c r="D13" i="14"/>
  <c r="B14" i="13"/>
  <c r="D22" i="3"/>
  <c r="C18" i="6"/>
  <c r="D14" i="16"/>
  <c r="C22" i="7"/>
  <c r="D7" i="25"/>
  <c r="B9" i="10"/>
  <c r="D11" i="10"/>
  <c r="C21" i="3"/>
  <c r="B17" i="8"/>
  <c r="D25" i="14"/>
  <c r="D16" i="20"/>
  <c r="B16" i="25"/>
  <c r="C22" i="20"/>
  <c r="D15" i="7"/>
  <c r="B20" i="12"/>
  <c r="C23" i="11"/>
  <c r="D19" i="26"/>
  <c r="D13" i="6"/>
  <c r="B23" i="6"/>
  <c r="D15" i="26"/>
  <c r="D15" i="13"/>
  <c r="D11" i="25"/>
  <c r="C21" i="12"/>
  <c r="B9" i="20"/>
  <c r="D9" i="19"/>
  <c r="B13" i="13"/>
  <c r="D19" i="7"/>
  <c r="D18" i="14"/>
  <c r="C7" i="9"/>
  <c r="A9" i="16"/>
  <c r="C17" i="9"/>
  <c r="D22" i="13"/>
  <c r="C11" i="4"/>
  <c r="F11" i="4" l="1"/>
  <c r="H22" i="13"/>
  <c r="F17" i="9"/>
  <c r="F7" i="9"/>
  <c r="H18" i="14"/>
  <c r="H19" i="7"/>
  <c r="H9" i="19"/>
  <c r="F21" i="12"/>
  <c r="H11" i="25"/>
  <c r="H15" i="13"/>
  <c r="H15" i="26"/>
  <c r="H13" i="6"/>
  <c r="H19" i="26"/>
  <c r="F23" i="11"/>
  <c r="H15" i="7"/>
  <c r="F22" i="20"/>
  <c r="H16" i="20"/>
  <c r="H25" i="14"/>
  <c r="F21" i="3"/>
  <c r="H11" i="10"/>
  <c r="H7" i="25"/>
  <c r="F22" i="7"/>
  <c r="F18" i="6"/>
  <c r="H13" i="14"/>
  <c r="H11" i="19"/>
  <c r="F10" i="12"/>
  <c r="F19" i="6"/>
  <c r="F10" i="3"/>
  <c r="F12" i="5"/>
  <c r="F19" i="7"/>
  <c r="H23" i="25"/>
  <c r="F8" i="3"/>
  <c r="F24" i="4"/>
  <c r="F24" i="9"/>
  <c r="F16" i="20"/>
  <c r="F8" i="20"/>
  <c r="F25" i="7"/>
  <c r="F14" i="15"/>
  <c r="F24" i="11"/>
  <c r="H9" i="25"/>
  <c r="H10" i="25"/>
  <c r="H20" i="12"/>
  <c r="H12" i="12"/>
  <c r="H16" i="12"/>
  <c r="F10" i="24"/>
  <c r="H20" i="26"/>
  <c r="H7" i="6"/>
  <c r="F20" i="10"/>
  <c r="H17" i="20"/>
  <c r="H25" i="12"/>
  <c r="F15" i="5"/>
  <c r="F22" i="3"/>
  <c r="H14" i="20"/>
  <c r="F8" i="4"/>
  <c r="F19" i="19"/>
  <c r="F19" i="4"/>
  <c r="F25" i="11"/>
  <c r="F12" i="25"/>
  <c r="H20" i="13"/>
  <c r="F21" i="13"/>
  <c r="F25" i="8"/>
  <c r="F9" i="13"/>
  <c r="F10" i="20"/>
  <c r="F10" i="11"/>
  <c r="H12" i="10"/>
  <c r="F10" i="4"/>
  <c r="F17" i="15"/>
  <c r="F24" i="3"/>
  <c r="H11" i="24"/>
  <c r="F9" i="4"/>
  <c r="F14" i="4"/>
  <c r="F9" i="14"/>
  <c r="F16" i="9"/>
  <c r="F7" i="15"/>
  <c r="H25" i="15"/>
  <c r="H15" i="12"/>
  <c r="H18" i="12"/>
  <c r="H10" i="5"/>
  <c r="F22" i="11"/>
  <c r="F22" i="4"/>
  <c r="H14" i="13"/>
  <c r="H22" i="12"/>
  <c r="H8" i="13"/>
  <c r="F14" i="13"/>
  <c r="H25" i="25"/>
  <c r="F23" i="20"/>
  <c r="F18" i="13"/>
  <c r="H15" i="9"/>
  <c r="F24" i="24"/>
  <c r="H18" i="20"/>
  <c r="H13" i="12"/>
  <c r="F24" i="26"/>
  <c r="H17" i="10"/>
  <c r="H8" i="11"/>
  <c r="F22" i="6"/>
  <c r="F20" i="11"/>
  <c r="F23" i="9"/>
  <c r="F16" i="6"/>
  <c r="H24" i="13"/>
  <c r="F9" i="25"/>
  <c r="H22" i="15"/>
  <c r="H10" i="20"/>
  <c r="F15" i="8"/>
  <c r="H7" i="3"/>
  <c r="H7" i="5"/>
  <c r="F22" i="26"/>
  <c r="F18" i="26"/>
  <c r="H7" i="24"/>
  <c r="H7" i="15"/>
  <c r="H13" i="20"/>
  <c r="F22" i="8"/>
  <c r="F23" i="24"/>
  <c r="H17" i="19"/>
  <c r="H23" i="13"/>
  <c r="F24" i="15"/>
  <c r="H15" i="25"/>
  <c r="H10" i="13"/>
  <c r="F9" i="9"/>
  <c r="F11" i="8"/>
  <c r="F18" i="4"/>
  <c r="F13" i="15"/>
  <c r="H13" i="15"/>
  <c r="F16" i="25"/>
  <c r="F22" i="12"/>
  <c r="F10" i="7"/>
  <c r="F7" i="8"/>
  <c r="H14" i="9"/>
  <c r="H8" i="7"/>
  <c r="F10" i="9"/>
  <c r="F22" i="24"/>
  <c r="F7" i="5"/>
  <c r="H14" i="24"/>
  <c r="F11" i="26"/>
  <c r="H21" i="10"/>
  <c r="F13" i="20"/>
  <c r="F9" i="20"/>
  <c r="F17" i="10"/>
  <c r="H18" i="19"/>
  <c r="H22" i="20"/>
  <c r="F18" i="3"/>
  <c r="F21" i="19"/>
  <c r="H9" i="26"/>
  <c r="H22" i="10"/>
  <c r="H25" i="19"/>
  <c r="H15" i="11"/>
  <c r="H24" i="11"/>
  <c r="F17" i="6"/>
  <c r="F9" i="5"/>
  <c r="H13" i="3"/>
  <c r="F8" i="13"/>
  <c r="F19" i="11"/>
  <c r="H24" i="25"/>
  <c r="H8" i="20"/>
  <c r="F14" i="14"/>
  <c r="F23" i="10"/>
  <c r="F7" i="25"/>
  <c r="H20" i="24"/>
  <c r="F11" i="25"/>
  <c r="H21" i="13"/>
  <c r="H11" i="13"/>
  <c r="H14" i="6"/>
  <c r="H16" i="10"/>
  <c r="H7" i="4"/>
  <c r="F11" i="9"/>
  <c r="F16" i="24"/>
  <c r="H23" i="15"/>
  <c r="H13" i="19"/>
  <c r="H21" i="26"/>
  <c r="H22" i="26"/>
  <c r="F7" i="7"/>
  <c r="H8" i="25"/>
  <c r="F16" i="11"/>
  <c r="F21" i="15"/>
  <c r="H12" i="11"/>
  <c r="F12" i="6"/>
  <c r="H7" i="12"/>
  <c r="F13" i="8"/>
  <c r="H9" i="8"/>
  <c r="F14" i="6"/>
  <c r="F24" i="14"/>
  <c r="F11" i="13"/>
  <c r="F22" i="25"/>
  <c r="H9" i="4"/>
  <c r="H19" i="12"/>
  <c r="H10" i="10"/>
  <c r="F10" i="8"/>
  <c r="H8" i="4"/>
  <c r="H23" i="12"/>
  <c r="F21" i="4"/>
  <c r="H21" i="7"/>
  <c r="F17" i="25"/>
  <c r="F13" i="13"/>
  <c r="F10" i="15"/>
  <c r="F12" i="15"/>
  <c r="H13" i="24"/>
  <c r="H24" i="15"/>
  <c r="F17" i="20"/>
  <c r="H12" i="15"/>
  <c r="H16" i="24"/>
  <c r="F18" i="12"/>
  <c r="F11" i="11"/>
  <c r="F24" i="10"/>
  <c r="F20" i="25"/>
  <c r="F8" i="19"/>
  <c r="F18" i="24"/>
  <c r="F15" i="14"/>
  <c r="H18" i="15"/>
  <c r="F19" i="9"/>
  <c r="H21" i="25"/>
  <c r="H18" i="26"/>
  <c r="H8" i="10"/>
  <c r="F9" i="6"/>
  <c r="F10" i="25"/>
  <c r="F20" i="24"/>
  <c r="F11" i="14"/>
  <c r="F9" i="15"/>
  <c r="F21" i="20"/>
  <c r="F12" i="26"/>
  <c r="H14" i="11"/>
  <c r="F12" i="9"/>
  <c r="H19" i="13"/>
  <c r="F12" i="24"/>
  <c r="F9" i="8"/>
  <c r="F7" i="6"/>
  <c r="F21" i="26"/>
  <c r="F15" i="3"/>
  <c r="F7" i="13"/>
  <c r="F15" i="15"/>
  <c r="H8" i="6"/>
  <c r="H16" i="13"/>
  <c r="F17" i="11"/>
  <c r="H19" i="15"/>
  <c r="H17" i="24"/>
  <c r="F18" i="5"/>
  <c r="F9" i="10"/>
  <c r="F24" i="19"/>
  <c r="F25" i="25"/>
  <c r="F13" i="26"/>
  <c r="F17" i="8"/>
  <c r="H11" i="4"/>
  <c r="F10" i="19"/>
  <c r="H12" i="13"/>
  <c r="H9" i="12"/>
  <c r="F8" i="25"/>
  <c r="H25" i="20"/>
  <c r="H23" i="19"/>
  <c r="F20" i="9"/>
  <c r="F16" i="19"/>
  <c r="F11" i="12"/>
  <c r="H13" i="13"/>
  <c r="F10" i="10"/>
  <c r="F15" i="7"/>
  <c r="H18" i="24"/>
  <c r="F22" i="13"/>
  <c r="H20" i="11"/>
  <c r="F23" i="15"/>
  <c r="H13" i="26"/>
  <c r="F20" i="19"/>
  <c r="H7" i="11"/>
  <c r="H23" i="26"/>
  <c r="F16" i="12"/>
  <c r="F14" i="7"/>
  <c r="F13" i="19"/>
  <c r="F19" i="3"/>
  <c r="H8" i="12"/>
  <c r="F8" i="8"/>
  <c r="H10" i="15"/>
  <c r="F17" i="5"/>
  <c r="H9" i="20"/>
  <c r="F16" i="10"/>
  <c r="F7" i="26"/>
  <c r="H19" i="24"/>
  <c r="F20" i="13"/>
  <c r="H22" i="14"/>
  <c r="H8" i="26"/>
  <c r="F7" i="11"/>
  <c r="H20" i="19"/>
  <c r="F14" i="20"/>
  <c r="F15" i="9"/>
  <c r="F15" i="20"/>
  <c r="F15" i="26"/>
  <c r="H17" i="15"/>
  <c r="H22" i="25"/>
  <c r="F25" i="4"/>
  <c r="H10" i="7"/>
  <c r="H24" i="24"/>
  <c r="F15" i="11"/>
  <c r="F23" i="4"/>
  <c r="H10" i="6"/>
  <c r="F25" i="5"/>
  <c r="H11" i="14"/>
  <c r="H15" i="14"/>
  <c r="F18" i="14"/>
  <c r="F19" i="14"/>
  <c r="H11" i="3"/>
  <c r="H19" i="20"/>
  <c r="H16" i="14"/>
  <c r="F19" i="12"/>
  <c r="H14" i="3"/>
  <c r="F15" i="6"/>
  <c r="F7" i="3"/>
  <c r="H22" i="7"/>
  <c r="F7" i="20"/>
  <c r="F15" i="13"/>
  <c r="F22" i="10"/>
  <c r="F23" i="8"/>
  <c r="F23" i="7"/>
  <c r="F22" i="19"/>
  <c r="F17" i="3"/>
  <c r="F19" i="25"/>
  <c r="F21" i="24"/>
  <c r="H7" i="26"/>
  <c r="F18" i="10"/>
  <c r="F16" i="14"/>
  <c r="F22" i="5"/>
  <c r="F24" i="6"/>
  <c r="F13" i="11"/>
  <c r="H22" i="24"/>
  <c r="H11" i="12"/>
  <c r="H10" i="11"/>
  <c r="F12" i="13"/>
  <c r="F11" i="6"/>
  <c r="H11" i="11"/>
  <c r="F16" i="15"/>
  <c r="F8" i="10"/>
  <c r="F8" i="9"/>
  <c r="F19" i="20"/>
  <c r="H17" i="14"/>
  <c r="H25" i="11"/>
  <c r="F16" i="26"/>
  <c r="H16" i="19"/>
  <c r="H11" i="20"/>
  <c r="F7" i="4"/>
  <c r="H14" i="15"/>
  <c r="F18" i="19"/>
  <c r="F17" i="19"/>
  <c r="H10" i="9"/>
  <c r="F17" i="24"/>
  <c r="H8" i="9"/>
  <c r="H17" i="12"/>
  <c r="F15" i="24"/>
  <c r="F20" i="12"/>
  <c r="H21" i="15"/>
  <c r="F14" i="11"/>
  <c r="F9" i="7"/>
  <c r="F25" i="15"/>
  <c r="F18" i="8"/>
  <c r="H8" i="3"/>
  <c r="H25" i="13"/>
  <c r="F11" i="24"/>
  <c r="F23" i="26"/>
  <c r="H8" i="5"/>
  <c r="F23" i="3"/>
  <c r="H9" i="13"/>
  <c r="H23" i="20"/>
  <c r="F23" i="5"/>
  <c r="F17" i="26"/>
  <c r="H14" i="14"/>
  <c r="H24" i="14"/>
  <c r="H17" i="11"/>
  <c r="H7" i="20"/>
  <c r="F14" i="19"/>
  <c r="H16" i="15"/>
  <c r="H14" i="5"/>
  <c r="F25" i="6"/>
  <c r="F24" i="12"/>
  <c r="F20" i="8"/>
  <c r="H11" i="9"/>
  <c r="H12" i="25"/>
  <c r="F15" i="25"/>
  <c r="F23" i="6"/>
  <c r="H22" i="11"/>
  <c r="H12" i="3"/>
  <c r="F8" i="5"/>
  <c r="F12" i="20"/>
  <c r="H12" i="9"/>
  <c r="F14" i="24"/>
  <c r="F25" i="9"/>
  <c r="F13" i="9"/>
  <c r="F18" i="9"/>
  <c r="H23" i="10"/>
  <c r="F18" i="25"/>
  <c r="F21" i="9"/>
  <c r="F14" i="10"/>
  <c r="F21" i="14"/>
  <c r="F9" i="11"/>
  <c r="F20" i="26"/>
  <c r="H24" i="20"/>
  <c r="F21" i="25"/>
  <c r="F12" i="10"/>
  <c r="F13" i="25"/>
  <c r="F21" i="6"/>
  <c r="H12" i="26"/>
  <c r="F17" i="7"/>
  <c r="H24" i="12"/>
  <c r="F14" i="8"/>
  <c r="H21" i="11"/>
  <c r="H19" i="11"/>
  <c r="H7" i="9"/>
  <c r="F20" i="5"/>
  <c r="H18" i="25"/>
  <c r="F13" i="10"/>
  <c r="H10" i="4"/>
  <c r="F13" i="5"/>
  <c r="F18" i="15"/>
  <c r="F13" i="6"/>
  <c r="H7" i="8"/>
  <c r="F8" i="26"/>
  <c r="H9" i="14"/>
  <c r="H25" i="10"/>
  <c r="F13" i="12"/>
  <c r="F9" i="3"/>
  <c r="H10" i="14"/>
  <c r="F25" i="3"/>
  <c r="F19" i="15"/>
  <c r="F19" i="10"/>
  <c r="H7" i="14"/>
  <c r="F16" i="7"/>
  <c r="H14" i="19"/>
  <c r="F19" i="13"/>
  <c r="F19" i="24"/>
  <c r="F20" i="14"/>
  <c r="F15" i="19"/>
  <c r="F14" i="5"/>
  <c r="F16" i="13"/>
  <c r="F7" i="19"/>
  <c r="F20" i="6"/>
  <c r="H11" i="5"/>
  <c r="F11" i="15"/>
  <c r="H13" i="5"/>
  <c r="F24" i="5"/>
  <c r="F24" i="20"/>
  <c r="F23" i="12"/>
  <c r="F12" i="11"/>
  <c r="F10" i="14"/>
  <c r="F25" i="12"/>
  <c r="F8" i="12"/>
  <c r="H9" i="3"/>
  <c r="F12" i="14"/>
  <c r="F16" i="8"/>
  <c r="H15" i="24"/>
  <c r="H18" i="11"/>
  <c r="F23" i="19"/>
  <c r="F16" i="4"/>
  <c r="H20" i="14"/>
  <c r="H11" i="6"/>
  <c r="F8" i="11"/>
  <c r="F10" i="13"/>
  <c r="H21" i="19"/>
  <c r="H13" i="11"/>
  <c r="F8" i="15"/>
  <c r="H7" i="13"/>
  <c r="F10" i="5"/>
  <c r="H25" i="26"/>
  <c r="H25" i="24"/>
  <c r="F14" i="3"/>
  <c r="H13" i="9"/>
  <c r="F22" i="9"/>
  <c r="F10" i="6"/>
  <c r="F11" i="20"/>
  <c r="F11" i="10"/>
  <c r="F17" i="4"/>
  <c r="H8" i="15"/>
  <c r="H14" i="26"/>
  <c r="H7" i="19"/>
  <c r="H18" i="13"/>
  <c r="F20" i="20"/>
  <c r="F21" i="10"/>
  <c r="F20" i="4"/>
  <c r="F17" i="14"/>
  <c r="F17" i="12"/>
  <c r="F9" i="12"/>
  <c r="F8" i="24"/>
  <c r="F23" i="13"/>
  <c r="F12" i="8"/>
  <c r="H19" i="10"/>
  <c r="F15" i="10"/>
  <c r="F25" i="20"/>
  <c r="F8" i="6"/>
  <c r="F24" i="8"/>
  <c r="H20" i="20"/>
  <c r="H12" i="14"/>
  <c r="H11" i="26"/>
  <c r="H24" i="19"/>
  <c r="H9" i="7"/>
  <c r="F20" i="3"/>
  <c r="H9" i="5"/>
  <c r="H15" i="10"/>
  <c r="F21" i="7"/>
  <c r="H9" i="11"/>
  <c r="H8" i="8"/>
  <c r="H23" i="11"/>
  <c r="H16" i="26"/>
  <c r="F22" i="15"/>
  <c r="F25" i="14"/>
  <c r="F19" i="26"/>
  <c r="F8" i="7"/>
  <c r="H12" i="20"/>
  <c r="F19" i="5"/>
  <c r="H11" i="15"/>
  <c r="H14" i="12"/>
  <c r="H21" i="12"/>
  <c r="F10" i="26"/>
  <c r="F7" i="14"/>
  <c r="H9" i="6"/>
  <c r="H16" i="25"/>
  <c r="F12" i="12"/>
  <c r="H21" i="24"/>
  <c r="H19" i="19"/>
  <c r="H13" i="25"/>
  <c r="F17" i="13"/>
  <c r="F21" i="5"/>
  <c r="F18" i="20"/>
  <c r="F13" i="3"/>
  <c r="H14" i="25"/>
  <c r="F23" i="14"/>
  <c r="F19" i="8"/>
  <c r="H10" i="3"/>
  <c r="H20" i="10"/>
  <c r="H16" i="7"/>
  <c r="H12" i="24"/>
  <c r="F16" i="3"/>
  <c r="F15" i="4"/>
  <c r="F23" i="25"/>
  <c r="F13" i="24"/>
  <c r="H9" i="15"/>
  <c r="F7" i="24"/>
  <c r="H15" i="15"/>
  <c r="F14" i="25"/>
  <c r="F16" i="5"/>
  <c r="H7" i="10"/>
  <c r="D4" i="10" s="1"/>
  <c r="F11" i="19"/>
  <c r="H17" i="26"/>
  <c r="F7" i="12"/>
  <c r="F9" i="24"/>
  <c r="H12" i="5"/>
  <c r="F25" i="10"/>
  <c r="F9" i="26"/>
  <c r="F12" i="19"/>
  <c r="H19" i="14"/>
  <c r="H14" i="10"/>
  <c r="F22" i="14"/>
  <c r="F25" i="19"/>
  <c r="H18" i="10"/>
  <c r="H10" i="24"/>
  <c r="H10" i="26"/>
  <c r="H22" i="19"/>
  <c r="F14" i="26"/>
  <c r="H19" i="25"/>
  <c r="F11" i="3"/>
  <c r="H9" i="10"/>
  <c r="H21" i="20"/>
  <c r="H8" i="24"/>
  <c r="H12" i="19"/>
  <c r="F25" i="26"/>
  <c r="F7" i="10"/>
  <c r="F20" i="15"/>
  <c r="F24" i="25"/>
  <c r="H9" i="9"/>
  <c r="H8" i="19"/>
  <c r="H10" i="12"/>
  <c r="F24" i="13"/>
  <c r="H16" i="11"/>
  <c r="F13" i="14"/>
  <c r="F15" i="12"/>
  <c r="H15" i="19"/>
  <c r="F14" i="9"/>
  <c r="H17" i="25"/>
  <c r="H13" i="10"/>
  <c r="F12" i="3"/>
  <c r="H15" i="5"/>
  <c r="H23" i="24"/>
  <c r="F9" i="19"/>
  <c r="F8" i="14"/>
  <c r="H12" i="6"/>
  <c r="F25" i="13"/>
  <c r="H24" i="26"/>
  <c r="F21" i="11"/>
  <c r="F11" i="5"/>
  <c r="H11" i="7"/>
  <c r="H23" i="14"/>
  <c r="F11" i="7"/>
  <c r="F18" i="11"/>
  <c r="H15" i="6"/>
  <c r="F25" i="24"/>
  <c r="H21" i="14"/>
  <c r="F21" i="8"/>
  <c r="H24" i="10"/>
  <c r="H15" i="20"/>
  <c r="H20" i="15"/>
  <c r="H9" i="24"/>
  <c r="F14" i="12"/>
  <c r="H20" i="25"/>
  <c r="H8" i="14"/>
  <c r="H17" i="13"/>
  <c r="H10" i="19"/>
  <c r="E11" i="16"/>
  <c r="D4" i="24" l="1"/>
  <c r="E19" i="16" s="1"/>
  <c r="D4" i="25"/>
  <c r="D4" i="8"/>
  <c r="D4" i="19"/>
  <c r="D4" i="9"/>
  <c r="D4" i="4"/>
  <c r="D4" i="6"/>
  <c r="D4" i="12"/>
  <c r="D4" i="7"/>
  <c r="D4" i="3"/>
  <c r="D4" i="26"/>
  <c r="D4" i="15"/>
  <c r="D4" i="5"/>
  <c r="D4" i="11"/>
  <c r="D4" i="14"/>
  <c r="D4" i="20"/>
  <c r="D4" i="13"/>
  <c r="E20" i="16"/>
  <c r="E9" i="16"/>
  <c r="E17" i="16"/>
  <c r="E7" i="16"/>
  <c r="E10" i="16"/>
  <c r="E5" i="16"/>
  <c r="E13" i="16"/>
  <c r="E18" i="16"/>
  <c r="E4" i="16"/>
  <c r="E21" i="16"/>
  <c r="E12" i="16"/>
  <c r="E8" i="16"/>
  <c r="E6" i="16"/>
  <c r="E16" i="16"/>
  <c r="E15" i="16"/>
  <c r="E14" i="16"/>
</calcChain>
</file>

<file path=xl/sharedStrings.xml><?xml version="1.0" encoding="utf-8"?>
<sst xmlns="http://schemas.openxmlformats.org/spreadsheetml/2006/main" count="1538" uniqueCount="553">
  <si>
    <t>Projectnr.:</t>
  </si>
  <si>
    <t>IPC 1-05-2024 tot 01-05-2028 (4 jaar)</t>
  </si>
  <si>
    <t>datum raming:</t>
  </si>
  <si>
    <t>Projectnaam:</t>
  </si>
  <si>
    <t>IVRI Prestatie Contract 2024 tot en met 2028</t>
  </si>
  <si>
    <t>prijspeil:</t>
  </si>
  <si>
    <t>post</t>
  </si>
  <si>
    <t>omschrijving maatregel</t>
  </si>
  <si>
    <t>hoeveelheid</t>
  </si>
  <si>
    <t>eenheid</t>
  </si>
  <si>
    <t>p.p.e.</t>
  </si>
  <si>
    <t>bedrag</t>
  </si>
  <si>
    <t>Opmerkingen</t>
  </si>
  <si>
    <t>Abonnementsgeld en vervagingsinvesteringen IPC aannemer (Prijspeil 2022)</t>
  </si>
  <si>
    <t>Programering 2024-2028 Vervanging volledige VRI</t>
  </si>
  <si>
    <t>stuks</t>
  </si>
  <si>
    <t>60% voor rekening PNB, ca. 40% inkomsten vanuit wegvakken theorie. Middelen uit K(O)PI Vervangingen</t>
  </si>
  <si>
    <t>Programering 2024-2028 VervangingVRA's + Verkeerslantaarns</t>
  </si>
  <si>
    <t>Langdurige jaarlijkse i-VRI (Thema)beheerkosten (KOPI Exploitatie)</t>
  </si>
  <si>
    <t>jaar</t>
  </si>
  <si>
    <r>
      <t xml:space="preserve">60% voor rekening PNB, ca. 40% inkomsten vanuit wegvakken theorie, </t>
    </r>
    <r>
      <rPr>
        <b/>
        <sz val="10"/>
        <color theme="1"/>
        <rFont val="Baskerville MT"/>
        <family val="1"/>
      </rPr>
      <t>Middelen uit K(O)PI Exploitatie</t>
    </r>
  </si>
  <si>
    <t>Langdurige jaarlijkse i-VRI (Thema)beheerkosten (Reserve Verkeer en Vervoer)</t>
  </si>
  <si>
    <r>
      <t xml:space="preserve">60% voor rekening PNB, ca. 40% inkomsten vanuit wegvakken theorie. </t>
    </r>
    <r>
      <rPr>
        <b/>
        <sz val="10"/>
        <color theme="1"/>
        <rFont val="Baskerville MT"/>
        <family val="1"/>
      </rPr>
      <t>Middelen uit Reserve Verkeer &amp; Vervoer</t>
    </r>
  </si>
  <si>
    <t>Storingen contracten uit voormalig EPC contract</t>
  </si>
  <si>
    <t>Meerjarig Onderhoud buiteninstallatie VRI</t>
  </si>
  <si>
    <r>
      <t xml:space="preserve">Ruwe inschatting, </t>
    </r>
    <r>
      <rPr>
        <b/>
        <sz val="10"/>
        <color theme="1"/>
        <rFont val="Baskerville MT"/>
        <family val="1"/>
      </rPr>
      <t>Middelen uit K(O)PI Exploitatie</t>
    </r>
  </si>
  <si>
    <t>Meerjarig Onderhoud verkeersregelautomaten
(zie ook CW007)</t>
  </si>
  <si>
    <t>Uitbreiding Storingscontracten ivm areaal uitbreiding (10 stuks)</t>
  </si>
  <si>
    <t>Technisch onderhoud iVRI</t>
  </si>
  <si>
    <t>schade verhaling, technische reparaties, schouwen, jaarlijks preventief onderhoud van leveranciers, veiligheidsinspecties.</t>
  </si>
  <si>
    <r>
      <t>Ruwe inschatting</t>
    </r>
    <r>
      <rPr>
        <b/>
        <sz val="10"/>
        <color theme="1"/>
        <rFont val="Baskerville MT"/>
        <family val="1"/>
      </rPr>
      <t>, Middelen uit K(O)PI Exploitatie</t>
    </r>
  </si>
  <si>
    <t>Dienstenkosten</t>
  </si>
  <si>
    <t>De dienstkosten bestaat uit de additionele diensten/services vraag in het IPC contract, maar niet gelimiteerd tot: zelfstandigheid IPC, ontwikkeling van dashboards, innovaties, vertaling doelstellingen, ontzorgen, scopewijzigingen door voortschrijdend inzicht</t>
  </si>
  <si>
    <r>
      <t xml:space="preserve">Geintegreerd invulling huidige werkzaamheden door toekomstige IPC Partner. </t>
    </r>
    <r>
      <rPr>
        <b/>
        <sz val="10"/>
        <color theme="1"/>
        <rFont val="Baskerville MT"/>
        <family val="1"/>
      </rPr>
      <t>Middelen uit K(O)PI Exploitatie</t>
    </r>
  </si>
  <si>
    <t>Areaal uitbreiding iVRI's</t>
  </si>
  <si>
    <t>Vervanging</t>
  </si>
  <si>
    <t>Jaarlijkse areaalvergroting 2,5 stuks per jaar, a (€ 400.000,-/stuk, Wegvaktheorie verdeling: 60% provincie vs 40% derde wegbeheerder.</t>
  </si>
  <si>
    <r>
      <t>De 4 jaar areaal vergroting verwachting is 2,5 iVRI per jaar, gebaseerd op rotonde-naar-iVRI trend en de verschillende projecten waar dit tot uiting komt. Voor de stikstof problematiek en provinciale bezuinigen lag de inschatting op dit op 5 iVRI per jaar. 6</t>
    </r>
    <r>
      <rPr>
        <b/>
        <sz val="10"/>
        <color theme="1"/>
        <rFont val="Baskerville MT"/>
        <family val="1"/>
      </rPr>
      <t>0% voor rekening PNB, ca. 40% inkomsten vanuit wegvakken theorie</t>
    </r>
    <r>
      <rPr>
        <sz val="10"/>
        <color theme="1"/>
        <rFont val="Baskerville MT"/>
        <family val="2"/>
      </rPr>
      <t>.</t>
    </r>
    <r>
      <rPr>
        <b/>
        <sz val="10"/>
        <color theme="1"/>
        <rFont val="Baskerville MT"/>
        <family val="1"/>
      </rPr>
      <t xml:space="preserve"> Middelen uit Reserve, Verkeer &amp; Vervoer</t>
    </r>
  </si>
  <si>
    <t>Cyber security</t>
  </si>
  <si>
    <t>Opwaardering / eenmalige kosten aanpassingen Cybersecurity voor alle VRI's</t>
  </si>
  <si>
    <r>
      <t xml:space="preserve">Inschatting, gebaseerd op Frontpaper security by VRI's d.d. Augustus 2022.  </t>
    </r>
    <r>
      <rPr>
        <b/>
        <sz val="10"/>
        <color theme="1"/>
        <rFont val="Baskerville MT"/>
        <family val="1"/>
      </rPr>
      <t>Middelen uit Reserve, Verkeer &amp; Vervoer</t>
    </r>
  </si>
  <si>
    <t>iVRI Cybersecurity (BIO - NIB2 - CER -) Jaarlijkse kosten (Extra kosten onderhoudscontracten om alles up-to-date te houden)</t>
  </si>
  <si>
    <r>
      <t>93 stuks a €1.250,-/st (Inschatting, gebaseerd op Frontpaper security by VRI's d.d. Augustus 2022).</t>
    </r>
    <r>
      <rPr>
        <b/>
        <sz val="10"/>
        <color theme="1"/>
        <rFont val="Baskerville MT"/>
        <family val="1"/>
      </rPr>
      <t xml:space="preserve"> Middelen uit K(O)PI Exploitatie</t>
    </r>
  </si>
  <si>
    <t>Benoemde directe bouwkosten</t>
  </si>
  <si>
    <t>Bruto kosten realiseren en onderhoudscontract IPC</t>
  </si>
  <si>
    <t>Nader te detailleren bouwkosten (%)</t>
  </si>
  <si>
    <t>%</t>
  </si>
  <si>
    <t>Directe bouwkosten</t>
  </si>
  <si>
    <t>Eenmalige kosten (%)</t>
  </si>
  <si>
    <t>Algemene bouwplaatskosten (%)</t>
  </si>
  <si>
    <t>Uitvoeringskosten (%)</t>
  </si>
  <si>
    <t>Algemene kosten (%)</t>
  </si>
  <si>
    <t>Winst (%)</t>
  </si>
  <si>
    <t>Risico (%)</t>
  </si>
  <si>
    <t>Indirecte bouwkosten</t>
  </si>
  <si>
    <t>t.o.v. directe bouwkosten</t>
  </si>
  <si>
    <t>Opslagpercentages aannemer zit al verwerkt in het abbonementsgeld en de vervangingsinvesteringen</t>
  </si>
  <si>
    <t>Niet benoemd objectrisico bouwkosten (%)</t>
  </si>
  <si>
    <t>Risico's bouwkosten</t>
  </si>
  <si>
    <t>t.o.v. voorziene bouwkosten</t>
  </si>
  <si>
    <t>Vermogensschade</t>
  </si>
  <si>
    <t>ehd</t>
  </si>
  <si>
    <t>Inkomensschade</t>
  </si>
  <si>
    <t>Bijkomende schade</t>
  </si>
  <si>
    <t>Belastingsschade</t>
  </si>
  <si>
    <t>Aankoop grond</t>
  </si>
  <si>
    <t>Aankoop opstallen</t>
  </si>
  <si>
    <t>Post benoemde directe vastgoedkosten</t>
  </si>
  <si>
    <t>Benoemde directe vastgoedkosten</t>
  </si>
  <si>
    <t>Nader te detailleren vastgoedkosten (%)</t>
  </si>
  <si>
    <t>Directe vastgoedkosten</t>
  </si>
  <si>
    <t>Notaris- en kadasterkosten</t>
  </si>
  <si>
    <t>dossier</t>
  </si>
  <si>
    <t>Taxatiekosten van taxateurs en/of adviseurs</t>
  </si>
  <si>
    <t>Kosten gerechtelijke onteigeningsprocedure (advocaat- en rechtbankkosten)</t>
  </si>
  <si>
    <t>zaak</t>
  </si>
  <si>
    <t>Bijdrage kosten deskundige bijstand rechthebbende (%)</t>
  </si>
  <si>
    <t>Kosten planschade en/of nadeelcompensatie (%)</t>
  </si>
  <si>
    <t>Overdrachtsbelasting bij verandering juridisch of economisch eigenaar (%)</t>
  </si>
  <si>
    <t>Indirecte vastgoedkosten</t>
  </si>
  <si>
    <t>t.o.v. directe vastgoedkosten</t>
  </si>
  <si>
    <t>Niet benoemd objectrisico vastgoedkosten (%)</t>
  </si>
  <si>
    <t>Risico's vastgoedkosten</t>
  </si>
  <si>
    <t>t.o.v. voorziene vastgoedkosten</t>
  </si>
  <si>
    <t>N.v.t.</t>
  </si>
  <si>
    <t>Engineeringskosten aannemer t.b.v. uitvoering (%)</t>
  </si>
  <si>
    <t>EUR</t>
  </si>
  <si>
    <t>Opstellen Contact en begeleiden aanbestedingsprocedure</t>
  </si>
  <si>
    <t>Engineeringskosten adviesbureau's t.b.v. uitvoering(%)</t>
  </si>
  <si>
    <t>Post benoemde directe engineeringskosten (%)</t>
  </si>
  <si>
    <t>Engineeringskosten opdrachtgever t.b.v. uitvoering (%)</t>
  </si>
  <si>
    <t>Benoemde directe engineeringskosten</t>
  </si>
  <si>
    <t>Nader te detailleren engineeringskosten (%)</t>
  </si>
  <si>
    <t>Directe engineeringskosten</t>
  </si>
  <si>
    <t>Indirecte engineeringskosten</t>
  </si>
  <si>
    <t>t.o.v. directe engineeringskosten</t>
  </si>
  <si>
    <t>Niet benoemd objectrisico engineeringskosten (%)</t>
  </si>
  <si>
    <t>Risico's engineeringskosten</t>
  </si>
  <si>
    <t>t.o.v. voorz. engineeringskosten</t>
  </si>
  <si>
    <t>Leges &amp; heffingen voortvloeiend uit vergunningaanvragen opdrachtnemer (%)</t>
  </si>
  <si>
    <t>Verzekeringspremies (CAR, ontwerp, aanspakelijkheid, e.d) opdrachtnemer (%)</t>
  </si>
  <si>
    <t>Kosten kabels &amp; leidingen niet via contract (%)</t>
  </si>
  <si>
    <t>Communicatiekosten niet via contract (%)</t>
  </si>
  <si>
    <t>Compenserende maatregelen niet via contract (%)</t>
  </si>
  <si>
    <t>Mitigerende maatregelen niet via contract (%)</t>
  </si>
  <si>
    <t>Ruimen niet gesprongen explosieven niet via contract (%)</t>
  </si>
  <si>
    <t>Archeologische opgravingen niet via contract (%)</t>
  </si>
  <si>
    <t>Planschade (%)</t>
  </si>
  <si>
    <t>Verkeersmaatregelen</t>
  </si>
  <si>
    <t>Benoemde directe overige bijkomende kosten</t>
  </si>
  <si>
    <t>Nader te detailleren overige bijkomende kosten (%)</t>
  </si>
  <si>
    <t>Directe overige bijkomende kosten</t>
  </si>
  <si>
    <t>Indirecte overige bijkomende kosten</t>
  </si>
  <si>
    <t>t.o.v. directe overige bijk.kosten</t>
  </si>
  <si>
    <t>Niet benoemd objectrisico overige bijkomende kosten (%)</t>
  </si>
  <si>
    <t>Risico's overige bijkomende kosten</t>
  </si>
  <si>
    <t>t.o.v. voorz. overige bijk. kosten</t>
  </si>
  <si>
    <t>Totaal investeringskosten inclusief opslagen conform SSK systematiek</t>
  </si>
  <si>
    <t>Objectoverstijgende risicoreserveringen</t>
  </si>
  <si>
    <t>Ivm eventueel hoger uitvallende indexering (dan de ingeschatte 3,52%) ivm schaarste op de markt van personeel en materiaal (verdeling materiaalkosten en personeelskosten is ca. 50% - 50%)</t>
  </si>
  <si>
    <t>Totaal projectkosten inclusief opslagen conform SSK systematiek</t>
  </si>
  <si>
    <t>Budgetvaststelling investeringskosten:</t>
  </si>
  <si>
    <t>Organisatiegebonden kosten (organisatie project in uitvoering)</t>
  </si>
  <si>
    <t>Personeelskosten PNB zit reeds verwerkt in het OKB</t>
  </si>
  <si>
    <t>Onzekerheidsreserve Q3 2022 t/m Q3 2027 (indexering 5 jaar,conform richtlijn Provincie totaal ca. 3,52% per jaar)</t>
  </si>
  <si>
    <t>Indexering 3,52% per jaar (50% Loon en 50% Materiaal)</t>
  </si>
  <si>
    <t>Reservering scope wijzigingen (in te vullen door financier)</t>
  </si>
  <si>
    <t>Reservering voor Contractwijzigingen vanuit een wezenlijk nieuwe en innovatieve realisatie en onderhoudscontractvorm</t>
  </si>
  <si>
    <t>Bandbreedte : met 70% zekerheid liggen de projectkosten exclusief BTW tussen</t>
  </si>
  <si>
    <t>en</t>
  </si>
  <si>
    <t>Variatiecoëfficiënt</t>
  </si>
  <si>
    <t>Voorstel ten behoeve van vaststelling BMIT</t>
  </si>
  <si>
    <t>*</t>
  </si>
  <si>
    <t xml:space="preserve">Totaal organisatiegebonden kosten </t>
  </si>
  <si>
    <t>Begeleiding en voorbereiding realisatie</t>
  </si>
  <si>
    <t>Totaal bouwkosten realisatiefase</t>
  </si>
  <si>
    <t>•   Totaal voorziene bouwkosten</t>
  </si>
  <si>
    <t>Realisatiekosten</t>
  </si>
  <si>
    <t>Engineering realisatie</t>
  </si>
  <si>
    <t>•   Risicoreserveringen</t>
  </si>
  <si>
    <r>
      <t xml:space="preserve">* </t>
    </r>
    <r>
      <rPr>
        <sz val="8"/>
        <color theme="1"/>
        <rFont val="Baskerville MT"/>
        <family val="1"/>
      </rPr>
      <t>Genoemde bedragen zijn afgerond en vallen binnen een geaccepteerde bandbreedte van betrouwbaarheid</t>
    </r>
  </si>
  <si>
    <t>Uitgangspunten:</t>
  </si>
  <si>
    <t>-</t>
  </si>
  <si>
    <t xml:space="preserve">Prijspeil 1-07-2022 </t>
  </si>
  <si>
    <t>Investeringskosten voor nieuwe VRI's bedragen ongeveer 3,5 mln euro + 1,37 mln euro (opslagen en indexering) = 4,87 mln euro</t>
  </si>
  <si>
    <t>Bedragen in het bovenstaande budget raming zijn de bruto kosten, hier staan nog opbrengsten van overige wegbeheerders ivm de wegvakkentheorie tbv kruisingsvlakken  (tbv de posten 10 abonnementsgeld en 50 areaaluitbreiding). Voor de Provincie Noord-Brabant is 66% in het slechtste scenario, gemiddeld zal dit uitkomen tussen de 50% en 66% afhankelijk van een t-splitsing of kruispunt. Als je uitgaat van ca. 60% van de kosten voor PNB zou je een bedrag van ca. 4,2 - 5,15 mln euro terug krijgen van andere wegbeheerders.</t>
  </si>
  <si>
    <t>Incl. indexering van 3,52% per jaar ( 50% Loon en 50% Materiaal (onderhoudsvervangingen en uitbreiding areaal)) voor de komende 4 jaar met een totaal bedrag van ca. 3,22 mln euro per jaar</t>
  </si>
  <si>
    <t>Incl. budgetruimte voor VTW's  5% , met een totaalbedrag van ca. 0,9 mln euro voor Contractwijzigingen vanuit een wezenlijk nieuwe en innovatieve realisatie en onderhoudscontractvorm.</t>
  </si>
  <si>
    <t>Incl. een areaal uitbreiding van 2,5 iVRI per jaar (Totaal 10 VRI's voor 4 jaar), gebaseerd op rotonde-naar-iVRI trend en de verschillende projecten waar dit tot uiting komt. Vóór de stikstof problematiek en provinciale bezuinigen lag de inschatting op dit op 5 iVRI per jaar.</t>
  </si>
  <si>
    <t>Het totaal aan onderhoud- en instandhoudingskosten bedraagt 12,9 mln euro (22,2 mln - 4,7 mln - 4,6 mln) voor 4 jaar. Dit komt neer op ca. 3,22 mln euro per jaar</t>
  </si>
  <si>
    <t>Benodigd totaal budget</t>
  </si>
  <si>
    <t>Totaal budget</t>
  </si>
  <si>
    <t>% tov subtotaal</t>
  </si>
  <si>
    <t xml:space="preserve">Subtotaal </t>
  </si>
  <si>
    <t>Totaal bijdragen overige wegbeheerders, (Gemeente of RWS) 40% volgens wegvakken theorie</t>
  </si>
  <si>
    <t>Areaal uitbreiding (Plus) uit Reserve Verkeer &amp; Vervoer</t>
  </si>
  <si>
    <t>K(O)PI Exploitatie</t>
  </si>
  <si>
    <t>K(O)PI Investeringen/vervangingen</t>
  </si>
  <si>
    <t>Totaal budget uit KOPI</t>
  </si>
  <si>
    <t xml:space="preserve">De onderverdeling in VRI’s </t>
  </si>
  <si>
    <t xml:space="preserve">92 (i)VRI’s totaal (incl. 8 reserveringen voor de N264 en de N270) </t>
  </si>
  <si>
    <t xml:space="preserve">------- </t>
  </si>
  <si>
    <t xml:space="preserve">43 VRI (hiervan worden er 7 in 2022 vernieuwd door iVRI's) </t>
  </si>
  <si>
    <t xml:space="preserve">43 iVRI (incl 8 reserveringen voor de N264 en de N270) </t>
  </si>
  <si>
    <t xml:space="preserve">6   iVRI Ready (deze worden in 2022 opgewaardeerd naar volwaardige iVRIs) </t>
  </si>
  <si>
    <t>Bijlage 8</t>
  </si>
  <si>
    <t>Ontleding van inschrijfsom</t>
  </si>
  <si>
    <t>Behorende bij de Inschrijving voor Basis Onderhoud Provinciale wegen PW.OPC.03.</t>
  </si>
  <si>
    <t xml:space="preserve">Maak hieronder een ontleding van de inschrijfsom over 4 jaar. Helemaal onderaan verwachtten we de totale aanbiedingsprijs voor 8 jaar. </t>
  </si>
  <si>
    <t>Nr.</t>
  </si>
  <si>
    <t xml:space="preserve">Werk-pakket </t>
  </si>
  <si>
    <t>Omschrijving</t>
  </si>
  <si>
    <t>Tot. bedrag</t>
  </si>
  <si>
    <t>in euro's</t>
  </si>
  <si>
    <t>I</t>
  </si>
  <si>
    <t>100          (DAGELIJKS) ONDERHOUD</t>
  </si>
  <si>
    <t>Systeem</t>
  </si>
  <si>
    <t>xxxxx</t>
  </si>
  <si>
    <t>Verhardingen</t>
  </si>
  <si>
    <t>Wegmarkering</t>
  </si>
  <si>
    <t>Geleiderail</t>
  </si>
  <si>
    <t>Bebording en bebakening</t>
  </si>
  <si>
    <t>Meubilair</t>
  </si>
  <si>
    <t xml:space="preserve">Faunavoorzieningen </t>
  </si>
  <si>
    <t>Civiele constructies</t>
  </si>
  <si>
    <t xml:space="preserve">Afwateringselementen </t>
  </si>
  <si>
    <t>Groen; Bomen</t>
  </si>
  <si>
    <t>Groen; Grassen</t>
  </si>
  <si>
    <t>Groen: Hagen en beplantingen</t>
  </si>
  <si>
    <t>Groen; Wateren en oevers</t>
  </si>
  <si>
    <t>II</t>
  </si>
  <si>
    <t>INCIDENTENMANAGEMENT &amp; CALAMITEITENAFHANDELING</t>
  </si>
  <si>
    <t>Incidentmanagement &amp; Calamiteiten afhandeling</t>
  </si>
  <si>
    <t>III</t>
  </si>
  <si>
    <t xml:space="preserve">OVERIGE BEHEERTAKEN: </t>
  </si>
  <si>
    <t>Overige beheertaken; 
bijvoorbeeld data verzamelen, omgevingsmanagement, planning, communicatie afstemming etc.</t>
  </si>
  <si>
    <t>Subtotaal directe kosten I t/m III</t>
  </si>
  <si>
    <t xml:space="preserve"> &lt;Subtotaalbedrag &gt;</t>
  </si>
  <si>
    <t>Indirecte kosten:</t>
  </si>
  <si>
    <t>Eenmalige kosten</t>
  </si>
  <si>
    <t>xx %</t>
  </si>
  <si>
    <t xml:space="preserve">  xxxxx  </t>
  </si>
  <si>
    <t>Korting</t>
  </si>
  <si>
    <t xml:space="preserve">Uitvoeringskosten </t>
  </si>
  <si>
    <t>Algemene kosten</t>
  </si>
  <si>
    <t>Winst</t>
  </si>
  <si>
    <t>Risico</t>
  </si>
  <si>
    <t>Subtotaal indirecte kosten I t/m III</t>
  </si>
  <si>
    <t xml:space="preserve">Totaal I t/m III directe en indirecte kosten </t>
  </si>
  <si>
    <t xml:space="preserve"> &lt;totaalbedrag&gt;</t>
  </si>
  <si>
    <t>IV</t>
  </si>
  <si>
    <t>Overigen</t>
  </si>
  <si>
    <t>Bijdrage CROW ProContractsystematiek</t>
  </si>
  <si>
    <t>Bijdrage Fonds Collectieve Kennis-CT</t>
  </si>
  <si>
    <t>Totaal IV Overige kosten</t>
  </si>
  <si>
    <t>&lt;Totaalbedrag&gt;</t>
  </si>
  <si>
    <t>V</t>
  </si>
  <si>
    <t xml:space="preserve">Stelposten op afroep  (tel deze op bij uw inschrijfsom) </t>
  </si>
  <si>
    <t>Uitvoeringskosten Ziekte en plagenbestrijding</t>
  </si>
  <si>
    <t>Calamiteiten boven de 1500 euro</t>
  </si>
  <si>
    <t>Extra onderhoud Groen; groot onderhoud faunavoorzieningen, aanvullende faunavoorzieningen, omvormen bosschages</t>
  </si>
  <si>
    <t>Herstel vandalisme</t>
  </si>
  <si>
    <t>Kleinschalige lokale omleidingen/specifieke verkeersmaatregelen op afroep</t>
  </si>
  <si>
    <t>Uitwegen voor derden</t>
  </si>
  <si>
    <t>Verbeterbudget</t>
  </si>
  <si>
    <t xml:space="preserve">Totaal V Totaal stelposten </t>
  </si>
  <si>
    <t>I t/m V</t>
  </si>
  <si>
    <t>AANBIEDINGSPRIJS Excl. BTW voor 4 jaar</t>
  </si>
  <si>
    <t>Aanbiedingsprijs voor volgende 4 jaar</t>
  </si>
  <si>
    <t>TOTAAL AANBIEDINGSPRIJS Excl. BTW voor 8 jaar</t>
  </si>
  <si>
    <t>Uitgangspunten:
- Areaal totaal van 80 verkeersregelinstallaties in 2020. 
- Object gemiddelde zijn gebaseerd op Obsurv object aantallen gedeeld door 80 installaties.
- Gemiddelde worden naar boven afgerond.
- Areaal ophoging t/m 2025 is een extra 5 iVRIs per jaar (N69: 3 stuks extra, N395: 2 stuks extra, N629: 2 stuks extra, N279: 7 stuks extra, N270: 4 stuks extra, N264: 4 stuks extra,,,).
- Wegvaktheorie, gemiddelde dat PNB 60% (67% aan T-splitsingen en 50% bij kruisingen) aan de iVRI bijdraagt en 40% door RWS of gemeentelijke wegbeheerder wordt afgedragen binnen overeenkomsten.</t>
  </si>
  <si>
    <t>Jaarlijkse areaal ophoging</t>
  </si>
  <si>
    <t>wegvaktheorie PNB bijdrage</t>
  </si>
  <si>
    <t>wegvaktheorie wegbeheerder bijdrage</t>
  </si>
  <si>
    <t>2020 (i)VRI areaal</t>
  </si>
  <si>
    <t>Item</t>
  </si>
  <si>
    <t>Item kosten</t>
  </si>
  <si>
    <t>Aantal</t>
  </si>
  <si>
    <t>Vervanginswaarde</t>
  </si>
  <si>
    <t>AfschrijvingsTermijn
[jaar]</t>
  </si>
  <si>
    <t>Wegvaktheorie (gemeentelijke bijdrage)</t>
  </si>
  <si>
    <t>Jaarlijkse iVRI kosten</t>
  </si>
  <si>
    <t>Jaarlijkse areaal omhoging</t>
  </si>
  <si>
    <t>Opm:</t>
  </si>
  <si>
    <t>VRA</t>
  </si>
  <si>
    <t>Vervaning kast inclusief automaat, UPS en C-ITS regelapplicatie, exclusief installatie hardware (mast, lantaarns, kabels,,,)</t>
  </si>
  <si>
    <t xml:space="preserve"> KOPI  Investering</t>
  </si>
  <si>
    <t xml:space="preserve">Lantaarn LED Modules </t>
  </si>
  <si>
    <t>Obsurv als databron.</t>
  </si>
  <si>
    <t>Lantaarns</t>
  </si>
  <si>
    <t>Accu (onderhoud)</t>
  </si>
  <si>
    <t xml:space="preserve">Vervanging van de UPS accu's na 7.5 jaar is volgens voorschrift fabrikant. </t>
  </si>
  <si>
    <t>Bekabeling</t>
  </si>
  <si>
    <t>Bekabeling per installatie, raming van 4000 m á €10,-/m, tussen VRA en masten, en tussen VRA en detectielussen.</t>
  </si>
  <si>
    <t xml:space="preserve">Mast universeel </t>
  </si>
  <si>
    <t>Obsurv als databron, Voorwaarschuwingmasten (x31) + Universeelmasten (493x) + Flespaal (12x) + Lichtmast verzwaard (32) .</t>
  </si>
  <si>
    <t>Mast portaal</t>
  </si>
  <si>
    <t>Mast zweep</t>
  </si>
  <si>
    <t>Detectielussen</t>
  </si>
  <si>
    <t>Gemiddeld per nieuwe iVRI (€10,-/m1 lus  + aanleggen + aansluiten + mofboxen), geen periodieke vervangen, worden integraal vervangen met asfalt werkzaamheden.</t>
  </si>
  <si>
    <t>Nader detaillering en risico toeslag</t>
  </si>
  <si>
    <t>Detaillering en risico toeslag van 10% voor alle het kleine extra zaken die nodig zijn: mantelbuizen, rateltikkers, stikkers, markeringen, etc.)</t>
  </si>
  <si>
    <t>X</t>
  </si>
  <si>
    <t>Aannemer algemene kosten, winst en risico</t>
  </si>
  <si>
    <t>Aanemer kosten met betrekking tot de algemene aannemer project kosten, winst en risico project uplift.</t>
  </si>
  <si>
    <t>TT standaard onderhoud</t>
  </si>
  <si>
    <t>Noodzakelijke kosten om de C-ITS regelapplicatie jaarlijks op te waarderen om te blijven voldoen aan de de Talking Traffic standaard.</t>
  </si>
  <si>
    <t>Reserve verkeer&amp; vervoer</t>
  </si>
  <si>
    <t>VRA Storingen contract</t>
  </si>
  <si>
    <t>Onder EPC contract, hier niet opgenomen.</t>
  </si>
  <si>
    <t>Kopi Exploitatie</t>
  </si>
  <si>
    <t>VRA Onderhoudscontract</t>
  </si>
  <si>
    <t>Onder EPC contract, hier niet opgenomen, preventief onderhoud Kast, automaat, installatie, schoonmaak en kleine reperaties.</t>
  </si>
  <si>
    <t>Dataverbindingen beheer &amp; onderhoud</t>
  </si>
  <si>
    <t>Jaarlijkse kosten voor het volledige beheer &amp; onderhoud van alle dataverbindingen. 49k per kwartaal onder huidig Vialis contract.</t>
  </si>
  <si>
    <t>Dataverbinding aanleggen (koper-glas)</t>
  </si>
  <si>
    <t>Gemiddeld € 15.000 per nieuwe VRI zonder dataverbinding. Raming dat 3 VRI's per jaar nog geen dataverbinding heeft of geüpgraded dient te worden.</t>
  </si>
  <si>
    <t>Dataverbinding aanleggen (modem)</t>
  </si>
  <si>
    <t>4k per modem onder het huidige Vialis contract. Raming jaarlijks 6 nieuwe iVRI.</t>
  </si>
  <si>
    <t>Dataverbindingen verwijderen</t>
  </si>
  <si>
    <t>2k per dataverbinding verwijdering onder het huidige Vialis contract. Raming jaarlijks 2 verwijderingen.</t>
  </si>
  <si>
    <t>Functionele ondersteuning</t>
  </si>
  <si>
    <t>Opdracht aan DTV 01-2021 t/m 01-2024 voor Functioneel iVRI Werkzaamheden, 20x iVRI werkzaamheden + interne integratie en beheer proces verbeteringen.</t>
  </si>
  <si>
    <t>Werk voor de aannemer</t>
  </si>
  <si>
    <t>Quickscan aanpassingen</t>
  </si>
  <si>
    <t>Na uitvoeren Quickscan kleine aanpassingen doorvoeren aan de installaties &amp; regelapplicaties.</t>
  </si>
  <si>
    <t>Technische innovatieve upgrades</t>
  </si>
  <si>
    <t>Technische innovatieve aanpassingen, strategische onderzoeken en landelijke kennis ontwikkeling zoals: iVRI ready upgrades, iVRI Lease plan, Apps tbv end2end tests, nieuwe detectie mogelijkheden, electronische sloten, electronische kastpakket, data API's,,,</t>
  </si>
  <si>
    <t>Duurzaamheidm, energie transitie &amp; verkeersveiligheid</t>
  </si>
  <si>
    <t>Duurzaamheid &amp; energie transitie aanpasingen zoals: energie neutraalheid onderzoek, vernieuwend materiaal gebruik, SPI tooling aanschaf, verkeersveiligheid verbetering onderzoek, extra voetgangers detectie, technische aanpassingen, data gedraeven analayse,,,</t>
  </si>
  <si>
    <t>Splitsen in RV&amp;V, vervanging</t>
  </si>
  <si>
    <t>CROW afdracht</t>
  </si>
  <si>
    <t>Landelijke CROW afdracht per nieuwe iVRI.</t>
  </si>
  <si>
    <t>CROW IVER</t>
  </si>
  <si>
    <t>Jaarlijkse bijdrage tbv markt kennis ontwikkeling, normeringen, gremia participatie.</t>
  </si>
  <si>
    <t>Tactisch beheer??</t>
  </si>
  <si>
    <t>VerkeersInformatie</t>
  </si>
  <si>
    <t>Contract met Vialis 2019 t/m 05-2025 voor levering van Mgt dashboard, functioneel beheer dashboard en het onderhoud hieraan.</t>
  </si>
  <si>
    <t>Info.mobiliteit??</t>
  </si>
  <si>
    <t>VerkeersInformatie aanpassingen</t>
  </si>
  <si>
    <t>Contractuele meerkosten vanwege toevoegen, verwijderen en wijzigingen van iVRIs. Raaming op 800,-- per aanpassing, Jaarlijks 6 nieuwe iVRA, 2 verwijderingen en 2 wijzigingen.</t>
  </si>
  <si>
    <t>PvE, Eisen, Bestek</t>
  </si>
  <si>
    <t>Opdracht aan DTV 2020 t/m 2023 voor doorlopende ondersteuning PvE-Eisen-bestek aanpassingen .</t>
  </si>
  <si>
    <t>PvE Website</t>
  </si>
  <si>
    <t>Opdracht aan DTV 2018 t/m 2023 om PNB PvE website actief en up-to-date te houden.</t>
  </si>
  <si>
    <t>OKB of tactisch beheer</t>
  </si>
  <si>
    <t>Topoportal</t>
  </si>
  <si>
    <t>Voor iedere nieuwe of gewijzigde iVRI dient een FCB + ITF gemaakt te worden via het TopoPortal. Jaarlijks 6 nieuwe iVRA en 2 wijzigingen.</t>
  </si>
  <si>
    <t>Meridian administratie assistentie</t>
  </si>
  <si>
    <t>Jaarlijkse functionele ondersteuning bij Meridian administratie (database opzet, documenten structuur architectuur, in-depth technische tool assistentie,,,) schatting 10u per jaar.</t>
  </si>
  <si>
    <t>Info.mobiliteit</t>
  </si>
  <si>
    <t>Lisette??</t>
  </si>
  <si>
    <t>Verkeersmaatregelen bij werkzaamheden</t>
  </si>
  <si>
    <t>Bij werkzaamheden waar de werking van de VRI tijdelijk komt te vervallen zullen verkeersmaatregelen getroffen. Deze komen voor rekening van de wegbeheerder. Alleen bij bestaande instalaltie, niet bij infraprojecten.</t>
  </si>
  <si>
    <t>Up-to-date blijven van Talking Traffic innovaties</t>
  </si>
  <si>
    <t>Bijwonen technische training, webinars, bijeenkomsten, congressen,
cursussen.</t>
  </si>
  <si>
    <t>OKB</t>
  </si>
  <si>
    <t>RWS/Gemeentelijke bijdrage
vanuit wegvaktheorie:</t>
  </si>
  <si>
    <t>PNB Jaarlijkse bestaande iVRI kosten:</t>
  </si>
  <si>
    <t>Jaarlijkse PNB areaal omhoging:</t>
  </si>
  <si>
    <t>Jaarlijkse PNB iVRI totaalkosten:</t>
  </si>
  <si>
    <t xml:space="preserve"> (2021 - 2025)</t>
  </si>
  <si>
    <t>Uitgangspunten:
- Areaal totaal van 85 verkeersregelinstallaties in jan 2023. 
- Object gemiddelde zijn gebaseerd op Obsurv object aantallen gedeeld door 85 installaties.
- Gemiddelde worden naar boven afgerond.
- Areaal ophoging t/m 2025 is een extra 5 iVRIs per jaar (N629: 2 stuks extra, N279: 7 stuks extra, N270: 5 stuks extra, N264: 5 stuks extra,,,).
- Wegvaktheorie, gemiddelde dat PNB 60% (67% aan T-splitsingen en 50% bij kruisingen) aan de iVRI bijdraagt en 40% door RWS of gemeentelijke wegbeheerder wordt afgedragen binnen overeenkomsten.</t>
  </si>
  <si>
    <t>Jan 2023 pijldatum (i)VRI areaal</t>
  </si>
  <si>
    <t>Vervaning kast inclusief automaat, UPS, C-ITS regelapplicatie, CROW afdracht, Topologie check, exclusief installatie hardware (mast, lantaarns, kabels,,,)</t>
  </si>
  <si>
    <t>Obsurv als databron, alle 3 en 2 lantaarns.</t>
  </si>
  <si>
    <t>Lantaarn Led Modules + Afteller</t>
  </si>
  <si>
    <t>LedModules plus nieuwe afteller in nieuwe projecten</t>
  </si>
  <si>
    <t>Vervanging (de werkzaamheden + verwijderingbijdrag + vernieuwing) van de UPS accu's na 7.5 jaar is volgens voorschrift fabrikant. 
Obsurv als databron, Noodstroomvoorziening = True</t>
  </si>
  <si>
    <t>Bekabeling per installatie, raming van 5000 m á €12,-/m, tussen VRA en masten, en tussen VRA en detectielussen. Inclusief additionele kabels tbv Aftellers.</t>
  </si>
  <si>
    <t>Obsurv als databron, Voorwaarschuwingmasten (34x) + Universeelmasten (535x) + Lichtmast verzwaard (39x).</t>
  </si>
  <si>
    <t>Drukknopmast</t>
  </si>
  <si>
    <t>Obsurv als databron; drukknopmast.</t>
  </si>
  <si>
    <t>Obsurv als databron. portaalstaanders</t>
  </si>
  <si>
    <t>Obsurv als databron. zweepmast</t>
  </si>
  <si>
    <t>Gemiddeld per nieuwe iVRI (2000m á €12,-/m1 lus  + aanleggen + aansluiten + mofboxen), geen periodieke vervangen, worden integraal vervangen met asfalt werkzaamheden.</t>
  </si>
  <si>
    <t>Vervallen</t>
  </si>
  <si>
    <t>Landelijke iVRI standaard onderhoud</t>
  </si>
  <si>
    <t>Noodzakelijke kosten om de C-ITS regelapplicatie jaarlijks op te waarderen om te blijven voldoen aan de de Landelijke iVRI standaard. Jan 2023 zijn er 50 iVRI's</t>
  </si>
  <si>
    <t>Reserve Verkeer &amp; Vervoer</t>
  </si>
  <si>
    <t>VRA 2de Lijns stroringen contract</t>
  </si>
  <si>
    <t>2de lijns stroingen contracten met VRA leveranciers. Genomen vanuit 2021 EPC-Heijmans contract waardes.</t>
  </si>
  <si>
    <t>KOPI Exploitatie</t>
  </si>
  <si>
    <t>Verplaatst naar Post 40 Dienstenkosten</t>
  </si>
  <si>
    <t>Contractuele meerkosten vanwege toevoegen, verwijderen en wijzigingen van iVRIs. Raaming op 1.000,-- per aanpassing, Jaarlijks 6 nieuwe iVRA, 2 verwijderingen en 2 wijzigingen.</t>
  </si>
  <si>
    <t xml:space="preserve">RWS/Gemeentelijke bijdrage vanuit wegvaktheorie: </t>
  </si>
  <si>
    <t>RWS/Gemeentelijke bijdrage vanuit wegvaktheorie:</t>
  </si>
  <si>
    <t xml:space="preserve"> (2023 - 2028)</t>
  </si>
  <si>
    <t>Afgeronde Jaarlijkse iVRI Kosten</t>
  </si>
  <si>
    <t>Onderverdeling naar budgetpotje</t>
  </si>
  <si>
    <t>nummer</t>
  </si>
  <si>
    <t>tarief</t>
  </si>
  <si>
    <t>Prijspeil September 2020</t>
  </si>
  <si>
    <t>Opmerking</t>
  </si>
  <si>
    <t>Prijsspeil september 2018</t>
  </si>
  <si>
    <t>arbeider/grondwerker/stratenmaker</t>
  </si>
  <si>
    <t>uur</t>
  </si>
  <si>
    <t>Hoogste tarief, stratenmaker aangehouden</t>
  </si>
  <si>
    <t>uitvoerder</t>
  </si>
  <si>
    <t>tarief GWW kosten vind ik laag, voorstel 70,-</t>
  </si>
  <si>
    <t>machinist/chauffeur</t>
  </si>
  <si>
    <t xml:space="preserve">Fundering van zand verwijderen (0,50m) </t>
  </si>
  <si>
    <t>m2</t>
  </si>
  <si>
    <t>Breed 5-10 m , incl. vervoeren 10-15 km , incl. storten</t>
  </si>
  <si>
    <t>Fundering van puin (200mm) en straatzand (50mm) verwijderen</t>
  </si>
  <si>
    <t>Fundering van puin (200mm) verwijderen</t>
  </si>
  <si>
    <t>Fundering van puin (250mm) verwijderen</t>
  </si>
  <si>
    <t>Asfaltfrees klein 500-1000mm</t>
  </si>
  <si>
    <t>dag</t>
  </si>
  <si>
    <t>Inzet voor frezen aanzetten</t>
  </si>
  <si>
    <t>Asfaltfrees klein 1000mm</t>
  </si>
  <si>
    <t>Inzet voor kleinschalig freeswerk rondom middengeleiders</t>
  </si>
  <si>
    <t>Asfaltfrees groot 2100mm</t>
  </si>
  <si>
    <t>Productie ca. 1.000 ton / dag</t>
  </si>
  <si>
    <t>Asfaltzagen, sloopzagen 25 cm</t>
  </si>
  <si>
    <t>m1</t>
  </si>
  <si>
    <t>per m1 asfalt</t>
  </si>
  <si>
    <t>per meter 2-12 euro afhankelijk van de diepte en verharding</t>
  </si>
  <si>
    <r>
      <t xml:space="preserve">Betonzaag, sloopzagen, prijs/cm diepte/ m1, </t>
    </r>
    <r>
      <rPr>
        <sz val="11"/>
        <color theme="1"/>
        <rFont val="Futura Book"/>
        <family val="2"/>
      </rPr>
      <t>€</t>
    </r>
    <r>
      <rPr>
        <sz val="11"/>
        <color theme="1"/>
        <rFont val="Baskerville MT"/>
        <family val="2"/>
      </rPr>
      <t xml:space="preserve">1,60/cm/m1, </t>
    </r>
  </si>
  <si>
    <t>Sloopzagen reparatieplaat betonweg 25 cm, toegevoegd</t>
  </si>
  <si>
    <t>Frezen asfalt 30mm niet teerh. incl. afvoer en stortkosten 0,-</t>
  </si>
  <si>
    <t>Uitgangspunt, wegvak 7,2 x 450 m1, incl. stortkosten 5,-/ton</t>
  </si>
  <si>
    <t>Frezen asfalt 40mm niet teerh. incl. afvoer en stortkosten 0,-</t>
  </si>
  <si>
    <t>Frezen asfalt 50mm niet teerh. incl. afvoer en stortkosten 0,-</t>
  </si>
  <si>
    <t>Frezen asfalt 60mm niet teerh. incl. afvoer en stortkosten 0,-</t>
  </si>
  <si>
    <t>Frezen asfalt 80mm niet teerh. incl. afvoer en stortkosten 0,-</t>
  </si>
  <si>
    <t>Frezen asfalt 100mm niet teerh. incl. afvoer en stortkosten 0,-</t>
  </si>
  <si>
    <t>Schoonmaken oppervlak t.b.v. reparaties</t>
  </si>
  <si>
    <t>Veegzuigauto + stortkosten</t>
  </si>
  <si>
    <t>mobiele (rups) kraan 2.500 incl. bak en benodigdheden</t>
  </si>
  <si>
    <t>per dag kost opngeveer 255</t>
  </si>
  <si>
    <t>laadschop 2.500 liter incl</t>
  </si>
  <si>
    <t xml:space="preserve">vrachtwagen 10x 8 </t>
  </si>
  <si>
    <t>asfaltset groot met transport incl. (+ aan en afvoerkosten)</t>
  </si>
  <si>
    <t>(incl. 8 uur AK 6X6, a 76,90/uur)</t>
  </si>
  <si>
    <t>asfaltset klein met transport incl. (+ aan en afvoerkosten)</t>
  </si>
  <si>
    <t>trilwals (+ aan en afvoerkosten)</t>
  </si>
  <si>
    <t>trilplaat 50kN</t>
  </si>
  <si>
    <t xml:space="preserve">asfalt deklaag incl. </t>
  </si>
  <si>
    <t>ton</t>
  </si>
  <si>
    <t>Dubbele post, gerekend met SMA 11B</t>
  </si>
  <si>
    <t>bij kleine hoeveelheden kan het bedrag 1,5 keer hoger worden ( bijvoorbeeld bij kleine reparaties !)</t>
  </si>
  <si>
    <t>levering ZOAB asfalt 0/11 en 0/16</t>
  </si>
  <si>
    <t>asfalt transport voorstel 12,-/ ton??? (ca. 4 uur per rondje)</t>
  </si>
  <si>
    <t>Prijs af centrale</t>
  </si>
  <si>
    <t>transport</t>
  </si>
  <si>
    <t>levering asfalt deklaag geluidsreducerend incl. SMA 11B type 2</t>
  </si>
  <si>
    <t>?? Geluidreducerend?</t>
  </si>
  <si>
    <t xml:space="preserve">levering asfalt deklaag geluidsreducerend incl. SMA 8A type </t>
  </si>
  <si>
    <t>levering asfalt deklaag incl. SMA 5</t>
  </si>
  <si>
    <t>TOEGEVOEGD</t>
  </si>
  <si>
    <t>koop steenslag 15,-/ton</t>
  </si>
  <si>
    <t>levering asfalt onderlaag AC22 base OL-A</t>
  </si>
  <si>
    <t>levering asfalt onderlaag AC22 Base OL-A (50% gerecycled)</t>
  </si>
  <si>
    <t>levering asfalt tussenlaag AC16 bind TDL-B</t>
  </si>
  <si>
    <t>koop steenslag 18,80,-/ton</t>
  </si>
  <si>
    <t xml:space="preserve">levering asfalt tussenlaag AC11 bind TL-B </t>
  </si>
  <si>
    <t>levering asfalt tussenlaag AC16 bind TL-B (50% gerecycled)</t>
  </si>
  <si>
    <t>levering asfalt deklaag AC 16 surf DL-A/B (50% gerecycled)</t>
  </si>
  <si>
    <t>levering asfalt deklaag AC8 Surf DL-B (rood met zwarte bitumen)</t>
  </si>
  <si>
    <t xml:space="preserve">tbv fietspaden ivm Snelfietspaden </t>
  </si>
  <si>
    <t>levering asfalt deklaag SMA - NL 8 (Rood)</t>
  </si>
  <si>
    <t>tbv fietspaden ivm Snelfietspaden</t>
  </si>
  <si>
    <t>15m3/uur x 8 uur x 8 euro = 960</t>
  </si>
  <si>
    <t>kleeflaag 0,3kg/m2</t>
  </si>
  <si>
    <t>Inschatting</t>
  </si>
  <si>
    <t>slipformpaver fietspad machine(+ aan- en afvoerkosten)</t>
  </si>
  <si>
    <t>Lastig in te schatten, er zijn, ombouwkosten, transport kosten en evt. kosten tbv aanpassing van de mal</t>
  </si>
  <si>
    <t>Betonploeg tbv handwerk reparatieplaten (6 man 8 uur incl. materieel)</t>
  </si>
  <si>
    <t>Toegevoegd</t>
  </si>
  <si>
    <t>4,75 B.S en 7,17 straat stenen</t>
  </si>
  <si>
    <t>betonpomp 40m3/u</t>
  </si>
  <si>
    <t>Nakijken</t>
  </si>
  <si>
    <t>levering betonmortel, C28/35, CEM III, XF4, C1, grind 4-32mm</t>
  </si>
  <si>
    <t>m3</t>
  </si>
  <si>
    <t>Tussen 10,70-29,90 arbeid is duurder geworden</t>
  </si>
  <si>
    <t xml:space="preserve">levering droge betonmortel </t>
  </si>
  <si>
    <t>Reparatiemortel, per kg, opzoeken kosten</t>
  </si>
  <si>
    <t>Aanbrengen dwarsvoegen in betonverharding 1/3 dikte, fietspad 18 cm (+ opzagen en vullen)</t>
  </si>
  <si>
    <t>Opbreken open verhardingen (plaatselijk, handwerk)</t>
  </si>
  <si>
    <t>deponeren in berm</t>
  </si>
  <si>
    <t>Opbreken open verhardingen (machinaal)</t>
  </si>
  <si>
    <t>Herstraten open verhardingen (plaatselijk)</t>
  </si>
  <si>
    <t>Herstraten open verhardingen (geheel)</t>
  </si>
  <si>
    <t>Onder de hamer bestraten open verharding (bestaand materiaal)</t>
  </si>
  <si>
    <t>?? Dubbele post, zelfde als 304220 herstraten</t>
  </si>
  <si>
    <t>Machinaal bestraten open verharding (nieuw materiaal)</t>
  </si>
  <si>
    <t>Leveren BSS heidepaars, dik 8 cm 1,5-3 m, machinaal</t>
  </si>
  <si>
    <t>Aanbrengen zand in zandbed</t>
  </si>
  <si>
    <t>Aanbrengen fundering 200mm betongranulaat</t>
  </si>
  <si>
    <t>Duurder dan GWW kosten, prijs betongr. 10,-/ton</t>
  </si>
  <si>
    <t>Aanbrengen fundering 250mm betongranulaat</t>
  </si>
  <si>
    <t>Aanbrengen fundering 50mm straatzand</t>
  </si>
  <si>
    <t>zelfde gebleven</t>
  </si>
  <si>
    <t>Aanbrengen markeringen incl. materialen. Hoeveelheid t.o.v. te verwerken asfaltoppervlak</t>
  </si>
  <si>
    <t>Beheermaatregel</t>
  </si>
  <si>
    <t>Wegtype</t>
  </si>
  <si>
    <t>Wegtype 1 en 2</t>
  </si>
  <si>
    <t>ZOAB vervangen dikte 80mm</t>
  </si>
  <si>
    <t>ONDERBOUWING</t>
  </si>
  <si>
    <t>norm</t>
  </si>
  <si>
    <t>normeenheid</t>
  </si>
  <si>
    <t>toelichting</t>
  </si>
  <si>
    <t>rekenregel</t>
  </si>
  <si>
    <t>ca. 400 ton/dag</t>
  </si>
  <si>
    <t>1ste laag</t>
  </si>
  <si>
    <t xml:space="preserve">2e laag </t>
  </si>
  <si>
    <t>Dunne deklaag vervangen dikte 30-40mm</t>
  </si>
  <si>
    <t>ca. 400 ton/dag 2 machines ivm warm in warm deklaag</t>
  </si>
  <si>
    <t>Dunne deklaag vervangen dikte 30-40mm met reparaties tussenlaag 80mm (25% v.h. opp.)</t>
  </si>
  <si>
    <t>Dunne deklaag vervangen dikte 30-40mm met reparaties tussenlaag 80mm (100%)</t>
  </si>
  <si>
    <t>Vervangen asfaltconstructie (60 mm frezen, profileerlaag, + 170 mm asfalt incl deklaag)</t>
  </si>
  <si>
    <t>Productie ca. 1.000 ton/dag</t>
  </si>
  <si>
    <t>Te frezen tonnen</t>
  </si>
  <si>
    <t>Inzet Grote frees</t>
  </si>
  <si>
    <t>Kleine frees, langs banden, aansluitingen</t>
  </si>
  <si>
    <t>Transport</t>
  </si>
  <si>
    <t>Totaal</t>
  </si>
  <si>
    <t xml:space="preserve">Eenheids prijs aangepast ivm 47.500 m2, anders 380 k freeswerk erg veel </t>
  </si>
  <si>
    <t>profileren bestaande fundering</t>
  </si>
  <si>
    <t>Aantal setdagen</t>
  </si>
  <si>
    <t>30 mm = 75 kg/m2</t>
  </si>
  <si>
    <t>70 mm = 175 kg/m2</t>
  </si>
  <si>
    <t>65 mm = 162,5 kg/m2</t>
  </si>
  <si>
    <t>35 mm = 87,5 kg/m2</t>
  </si>
  <si>
    <t>Totaal 20 K Markering is te weinig, restant in nadere detailering</t>
  </si>
  <si>
    <t xml:space="preserve">Totaal ton  asfalt = </t>
  </si>
  <si>
    <t>Uitvoering  is ca. 3-4 weken (Dagwerk)</t>
  </si>
  <si>
    <t>Markering inschatting</t>
  </si>
  <si>
    <t xml:space="preserve">KM </t>
  </si>
  <si>
    <t>KM</t>
  </si>
  <si>
    <t>15 cm (Vol)</t>
  </si>
  <si>
    <t>15 cm (3-9)</t>
  </si>
  <si>
    <t>15 cm (3-3)</t>
  </si>
  <si>
    <t>Figuratie (m2)</t>
  </si>
  <si>
    <t>Onvoorzien</t>
  </si>
  <si>
    <t>Markering 2 x 2</t>
  </si>
  <si>
    <t>6.3</t>
  </si>
  <si>
    <t>5.4</t>
  </si>
  <si>
    <t>Uitvoegers (2 stuks)</t>
  </si>
  <si>
    <t>Figuratie, Pijlen, stopstrepen, vlakmarkering</t>
  </si>
  <si>
    <t>Markering 1 x 1</t>
  </si>
  <si>
    <t>4.5</t>
  </si>
  <si>
    <t>Uitvoegers (4 stuks)</t>
  </si>
  <si>
    <t>Markering 2 x 1</t>
  </si>
  <si>
    <t>1.0</t>
  </si>
  <si>
    <t>Figuratie, Haaientanden, vlakmarkering, 2 rotondes</t>
  </si>
  <si>
    <t>Totaal m1 / m2</t>
  </si>
  <si>
    <t>PPE (m/m2)</t>
  </si>
  <si>
    <t>Totaalprijs</t>
  </si>
  <si>
    <t>Totaal markering</t>
  </si>
  <si>
    <t>m3/m2</t>
  </si>
  <si>
    <t>Eh prijs</t>
  </si>
  <si>
    <t>Grondwerk (koop)</t>
  </si>
  <si>
    <t>Frezen, aanbrengen, profileren</t>
  </si>
  <si>
    <t>Totaal Grondwerk</t>
  </si>
  <si>
    <t>Herstellen bermplanken</t>
  </si>
  <si>
    <t>Nieuwe HM borden</t>
  </si>
  <si>
    <t>Gootconstructie Beton</t>
  </si>
  <si>
    <t>Ppe</t>
  </si>
  <si>
    <t>EH. prijs aanbrengen goot</t>
  </si>
  <si>
    <t>Verwijderen</t>
  </si>
  <si>
    <t>Koop beton</t>
  </si>
  <si>
    <t>Aanbrengen goot 50x40</t>
  </si>
  <si>
    <t>Machine Incl. aanvoer ombouwen</t>
  </si>
  <si>
    <t>Aan-/afvoer</t>
  </si>
  <si>
    <t>Personeel</t>
  </si>
  <si>
    <t>Totaal verwijderen en aanbrengen goot</t>
  </si>
  <si>
    <t>Koop diversen</t>
  </si>
  <si>
    <t>Zaagwerk</t>
  </si>
  <si>
    <t>Afwerken kolken</t>
  </si>
  <si>
    <t>AK W&amp;R</t>
  </si>
  <si>
    <t>Totaal nader te detailleren (K)</t>
  </si>
  <si>
    <t>K</t>
  </si>
  <si>
    <t>Totaal goot</t>
  </si>
  <si>
    <t>Plaatselijk repareren en voegen vullen betonweg</t>
  </si>
  <si>
    <t>2 man op locatie handwerk</t>
  </si>
  <si>
    <t>(Gedeeltelijk) plaatvervanging betonverharding</t>
  </si>
  <si>
    <t>Breken beton en laden op vrachtwagen</t>
  </si>
  <si>
    <t>uitzetten en stellen</t>
  </si>
  <si>
    <t>1/2 dag inzet</t>
  </si>
  <si>
    <t>Gedeeltelijk onderhoud 30%-50% elementenverharding herstraten</t>
  </si>
  <si>
    <t>Herstraten elementenverharding (100%)</t>
  </si>
  <si>
    <t>Rehabilitatie elementenverharding (fundering vervangen en elementen herstraten)</t>
  </si>
  <si>
    <t>t.b.v. afvoer naar depot</t>
  </si>
  <si>
    <t>opnemen en straten met vrijgekomen materialen</t>
  </si>
  <si>
    <t>uitzetten etc.</t>
  </si>
  <si>
    <t>Wegtype 7</t>
  </si>
  <si>
    <t>Profileer deklaag dikte 30-40mm</t>
  </si>
  <si>
    <t>Overlagen dikte 30-40mm</t>
  </si>
  <si>
    <t>Rehabiliteren asfaltconstructie 140mm</t>
  </si>
  <si>
    <t>t.b.v. trilwals</t>
  </si>
  <si>
    <t>Bestaande fundering profileren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</si>
</sst>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0.000"/>
    <numFmt numFmtId="167" formatCode="_-* #,##0_-;_-* #,##0\-;_-* &quot;-&quot;??_-;_-@_-"/>
    <numFmt numFmtId="168" formatCode="_([$€-413]\ * #,##0_);_([$€-413]\ * \(#,##0\);_([$€-413]\ * &quot;-&quot;_);_(@_)"/>
    <numFmt numFmtId="169" formatCode="_([$€-413]\ * #,##0.00_);_([$€-413]\ * \(#,##0.00\);_([$€-413]\ * &quot;-&quot;_);_(@_)"/>
    <numFmt numFmtId="170" formatCode="0.00000000%"/>
    <numFmt numFmtId="171" formatCode="0.0000000%"/>
    <numFmt numFmtId="172" formatCode="dd/mm/yy;@"/>
    <numFmt numFmtId="173" formatCode="_-[$€]\ * #,##0.00_-;_-[$€]\ * #,##0.00\-;_-[$€]\ * &quot;-&quot;??_-;_-@_-"/>
    <numFmt numFmtId="174" formatCode="&quot;€&quot;\ #,##0.00"/>
    <numFmt numFmtId="175" formatCode="&quot;€&quot;\ #,##0"/>
    <numFmt numFmtId="176" formatCode="#,##0.0"/>
    <numFmt numFmtId="177" formatCode="_-&quot;€&quot;\ * #,##0.00_-;_-&quot;€&quot;\ * #,##0.00\-;_-&quot;€&quot;\ * &quot;-&quot;??_-;_-@_-"/>
    <numFmt numFmtId="178" formatCode="_ [$€-413]\ * #,##0_ ;_ [$€-413]\ * \-#,##0_ ;_ [$€-413]\ * &quot;-&quot;??_ ;_ @_ "/>
    <numFmt numFmtId="179" formatCode="_ [$€-413]\ * #,##0.00_ ;_ [$€-413]\ * \-#,##0.00_ ;_ [$€-413]\ * &quot;-&quot;??_ ;_ @_ "/>
    <numFmt numFmtId="180" formatCode="_-* #,##0.00_-;_-* #,##0.00\-;_-* &quot;-&quot;??_-;_-@_-"/>
    <numFmt numFmtId="181" formatCode="_([$€]* #,##0.00_);_([$€]* \(#,##0.00\);_([$€]* &quot;-&quot;??_);_(@_)"/>
  </numFmts>
  <fonts count="62">
    <font>
      <sz val="11"/>
      <color theme="1"/>
      <name val="Baskerville MT"/>
      <family val="2"/>
    </font>
    <font>
      <sz val="11"/>
      <color theme="1"/>
      <name val="Calibri"/>
      <family val="2"/>
      <scheme val="minor"/>
    </font>
    <font>
      <sz val="11"/>
      <color theme="1"/>
      <name val="Calibri"/>
      <family val="2"/>
      <scheme val="minor"/>
    </font>
    <font>
      <sz val="10"/>
      <color theme="1"/>
      <name val="Futura Book"/>
      <family val="2"/>
    </font>
    <font>
      <sz val="11"/>
      <color theme="1"/>
      <name val="Baskerville MT"/>
      <family val="2"/>
    </font>
    <font>
      <b/>
      <sz val="9"/>
      <color indexed="8"/>
      <name val="Arial"/>
      <family val="2"/>
    </font>
    <font>
      <b/>
      <sz val="9"/>
      <name val="Arial"/>
      <family val="2"/>
    </font>
    <font>
      <sz val="9"/>
      <name val="Arial"/>
      <family val="2"/>
    </font>
    <font>
      <sz val="9"/>
      <color indexed="12"/>
      <name val="Arial"/>
      <family val="2"/>
    </font>
    <font>
      <i/>
      <sz val="8"/>
      <color indexed="23"/>
      <name val="Arial"/>
      <family val="2"/>
    </font>
    <font>
      <sz val="10"/>
      <name val="Arial"/>
      <family val="2"/>
    </font>
    <font>
      <b/>
      <sz val="11"/>
      <name val="Arial"/>
      <family val="2"/>
    </font>
    <font>
      <i/>
      <sz val="8"/>
      <name val="Arial"/>
      <family val="2"/>
    </font>
    <font>
      <i/>
      <sz val="10"/>
      <name val="Arial"/>
      <family val="2"/>
    </font>
    <font>
      <i/>
      <sz val="9"/>
      <name val="Arial"/>
      <family val="2"/>
    </font>
    <font>
      <b/>
      <sz val="10"/>
      <name val="Arial"/>
      <family val="2"/>
    </font>
    <font>
      <b/>
      <sz val="12"/>
      <color theme="1"/>
      <name val="Baskerville MT"/>
      <family val="1"/>
    </font>
    <font>
      <b/>
      <sz val="10"/>
      <color theme="1"/>
      <name val="Baskerville MT"/>
      <family val="1"/>
    </font>
    <font>
      <b/>
      <sz val="8"/>
      <color theme="1"/>
      <name val="Baskerville MT"/>
      <family val="1"/>
    </font>
    <font>
      <i/>
      <sz val="8"/>
      <color theme="1"/>
      <name val="Baskerville MT"/>
      <family val="1"/>
    </font>
    <font>
      <sz val="8"/>
      <color theme="1"/>
      <name val="Baskerville MT"/>
      <family val="1"/>
    </font>
    <font>
      <sz val="9"/>
      <color theme="1"/>
      <name val="Arial"/>
      <family val="2"/>
    </font>
    <font>
      <sz val="11"/>
      <color rgb="FFFF0000"/>
      <name val="Baskerville MT"/>
      <family val="2"/>
    </font>
    <font>
      <sz val="11"/>
      <color rgb="FF00B050"/>
      <name val="Baskerville MT"/>
      <family val="2"/>
    </font>
    <font>
      <b/>
      <sz val="11"/>
      <color theme="1"/>
      <name val="Baskerville MT"/>
      <family val="1"/>
    </font>
    <font>
      <sz val="11"/>
      <color theme="1"/>
      <name val="Futura Book"/>
      <family val="2"/>
    </font>
    <font>
      <b/>
      <u/>
      <sz val="11"/>
      <color theme="1"/>
      <name val="Baskerville MT"/>
      <family val="1"/>
    </font>
    <font>
      <sz val="10"/>
      <color theme="1"/>
      <name val="Baskerville MT"/>
      <family val="2"/>
    </font>
    <font>
      <b/>
      <u/>
      <sz val="10"/>
      <color theme="1"/>
      <name val="Baskerville MT"/>
      <family val="1"/>
    </font>
    <font>
      <b/>
      <sz val="10"/>
      <color theme="0"/>
      <name val="Futura Book"/>
      <family val="2"/>
    </font>
    <font>
      <b/>
      <sz val="10"/>
      <color theme="1"/>
      <name val="Futura Book"/>
      <family val="2"/>
    </font>
    <font>
      <sz val="10"/>
      <color theme="0"/>
      <name val="Futura Book"/>
      <family val="2"/>
    </font>
    <font>
      <b/>
      <sz val="10"/>
      <color rgb="FFFFFFFF"/>
      <name val="Futura Book"/>
      <family val="2"/>
    </font>
    <font>
      <sz val="11"/>
      <color theme="1"/>
      <name val="Calibri"/>
      <family val="2"/>
      <scheme val="minor"/>
    </font>
    <font>
      <sz val="10"/>
      <name val="Futura Book"/>
      <family val="2"/>
    </font>
    <font>
      <b/>
      <sz val="10"/>
      <name val="Futura Book"/>
      <family val="2"/>
    </font>
    <font>
      <sz val="11"/>
      <color rgb="FF006100"/>
      <name val="Calibri"/>
      <family val="2"/>
      <scheme val="minor"/>
    </font>
    <font>
      <sz val="11"/>
      <color theme="0"/>
      <name val="Calibri"/>
      <family val="2"/>
      <scheme val="minor"/>
    </font>
    <font>
      <b/>
      <sz val="11"/>
      <color indexed="52"/>
      <name val="Calibri"/>
      <family val="2"/>
    </font>
    <font>
      <sz val="10"/>
      <name val="Times New Roman"/>
      <family val="1"/>
    </font>
    <font>
      <b/>
      <sz val="11"/>
      <color indexed="9"/>
      <name val="Calibri"/>
      <family val="2"/>
    </font>
    <font>
      <sz val="11"/>
      <color indexed="5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Baskerville MT"/>
      <family val="1"/>
    </font>
    <font>
      <sz val="10"/>
      <color rgb="FFFF0000"/>
      <name val="Baskerville MT"/>
      <family val="2"/>
    </font>
    <font>
      <b/>
      <sz val="11"/>
      <color theme="1"/>
      <name val="Futura Book"/>
      <family val="2"/>
    </font>
    <font>
      <sz val="11"/>
      <color rgb="FF000000"/>
      <name val="Futura Book"/>
      <family val="2"/>
    </font>
    <font>
      <sz val="10"/>
      <color theme="1"/>
      <name val="Times New Roman"/>
      <family val="1"/>
    </font>
    <font>
      <b/>
      <sz val="8"/>
      <color rgb="FF000000"/>
      <name val="Futura Book"/>
      <family val="2"/>
    </font>
    <font>
      <sz val="8"/>
      <color rgb="FF000000"/>
      <name val="Futura Book"/>
      <family val="2"/>
    </font>
    <font>
      <sz val="8"/>
      <color theme="1"/>
      <name val="Baskerville MT"/>
      <family val="2"/>
    </font>
    <font>
      <i/>
      <sz val="9"/>
      <color rgb="FF000000"/>
      <name val="Futura Book"/>
      <family val="2"/>
    </font>
  </fonts>
  <fills count="26">
    <fill>
      <patternFill patternType="none"/>
    </fill>
    <fill>
      <patternFill patternType="gray125"/>
    </fill>
    <fill>
      <patternFill patternType="solid">
        <fgColor indexed="43"/>
        <bgColor indexed="64"/>
      </patternFill>
    </fill>
    <fill>
      <patternFill patternType="solid">
        <fgColor rgb="FFFFC000"/>
        <bgColor indexed="22"/>
      </patternFill>
    </fill>
    <fill>
      <patternFill patternType="solid">
        <fgColor rgb="FFFFFFCC"/>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rgb="FFC6EFCE"/>
      </patternFill>
    </fill>
    <fill>
      <patternFill patternType="solid">
        <fgColor theme="4"/>
      </patternFill>
    </fill>
    <fill>
      <patternFill patternType="solid">
        <fgColor theme="7"/>
      </patternFill>
    </fill>
    <fill>
      <patternFill patternType="solid">
        <fgColor rgb="FFAFCA0B"/>
        <bgColor indexed="64"/>
      </patternFill>
    </fill>
    <fill>
      <patternFill patternType="solid">
        <fgColor rgb="FFE9F88E"/>
        <bgColor indexed="64"/>
      </patternFill>
    </fill>
    <fill>
      <patternFill patternType="solid">
        <fgColor rgb="FFF4FCC6"/>
        <bgColor indexed="64"/>
      </patternFill>
    </fill>
    <fill>
      <patternFill patternType="solid">
        <fgColor indexed="22"/>
      </patternFill>
    </fill>
    <fill>
      <patternFill patternType="solid">
        <fgColor indexed="55"/>
      </patternFill>
    </fill>
    <fill>
      <patternFill patternType="solid">
        <fgColor indexed="47"/>
      </patternFill>
    </fill>
    <fill>
      <patternFill patternType="solid">
        <fgColor indexed="43"/>
      </patternFill>
    </fill>
    <fill>
      <patternFill patternType="solid">
        <fgColor indexed="26"/>
      </patternFill>
    </fill>
    <fill>
      <patternFill patternType="solid">
        <fgColor indexed="45"/>
      </patternFill>
    </fill>
    <fill>
      <patternFill patternType="solid">
        <fgColor rgb="FF92D050"/>
        <bgColor indexed="64"/>
      </patternFill>
    </fill>
    <fill>
      <patternFill patternType="solid">
        <fgColor theme="1" tint="0.249977111117893"/>
        <bgColor indexed="64"/>
      </patternFill>
    </fill>
    <fill>
      <patternFill patternType="solid">
        <fgColor rgb="FFD9D9D9"/>
        <bgColor indexed="64"/>
      </patternFill>
    </fill>
    <fill>
      <patternFill patternType="solid">
        <fgColor rgb="FFBFBFBF"/>
        <bgColor indexed="64"/>
      </patternFill>
    </fill>
  </fills>
  <borders count="94">
    <border>
      <left/>
      <right/>
      <top/>
      <bottom/>
      <diagonal/>
    </border>
    <border>
      <left/>
      <right/>
      <top/>
      <bottom style="double">
        <color indexed="64"/>
      </bottom>
      <diagonal/>
    </border>
    <border>
      <left style="dotted">
        <color indexed="44"/>
      </left>
      <right style="dotted">
        <color indexed="44"/>
      </right>
      <top/>
      <bottom/>
      <diagonal/>
    </border>
    <border>
      <left style="dotted">
        <color indexed="44"/>
      </left>
      <right style="dotted">
        <color indexed="44"/>
      </right>
      <top style="double">
        <color indexed="44"/>
      </top>
      <bottom/>
      <diagonal/>
    </border>
    <border>
      <left style="dotted">
        <color indexed="44"/>
      </left>
      <right style="dotted">
        <color indexed="44"/>
      </right>
      <top style="double">
        <color indexed="44"/>
      </top>
      <bottom style="dotted">
        <color indexed="44"/>
      </bottom>
      <diagonal/>
    </border>
    <border>
      <left style="dotted">
        <color indexed="44"/>
      </left>
      <right style="dotted">
        <color indexed="44"/>
      </right>
      <top style="dotted">
        <color indexed="44"/>
      </top>
      <bottom/>
      <diagonal/>
    </border>
    <border>
      <left/>
      <right/>
      <top style="dotted">
        <color indexed="44"/>
      </top>
      <bottom/>
      <diagonal/>
    </border>
    <border>
      <left style="dashed">
        <color indexed="44"/>
      </left>
      <right style="dashed">
        <color indexed="44"/>
      </right>
      <top style="dashed">
        <color indexed="44"/>
      </top>
      <bottom style="dashed">
        <color indexed="44"/>
      </bottom>
      <diagonal/>
    </border>
    <border>
      <left/>
      <right/>
      <top/>
      <bottom style="double">
        <color indexed="44"/>
      </bottom>
      <diagonal/>
    </border>
    <border>
      <left style="dashed">
        <color indexed="44"/>
      </left>
      <right style="dashed">
        <color indexed="44"/>
      </right>
      <top/>
      <bottom style="dashed">
        <color indexed="44"/>
      </bottom>
      <diagonal/>
    </border>
    <border>
      <left style="dashed">
        <color indexed="44"/>
      </left>
      <right style="dashed">
        <color theme="3" tint="0.59996337778862885"/>
      </right>
      <top style="dashed">
        <color indexed="44"/>
      </top>
      <bottom style="dashed">
        <color theme="3" tint="0.59996337778862885"/>
      </bottom>
      <diagonal/>
    </border>
    <border>
      <left/>
      <right/>
      <top style="dashed">
        <color indexed="44"/>
      </top>
      <bottom/>
      <diagonal/>
    </border>
    <border>
      <left/>
      <right style="dashed">
        <color indexed="44"/>
      </right>
      <top style="dashed">
        <color indexed="44"/>
      </top>
      <bottom/>
      <diagonal/>
    </border>
    <border>
      <left style="dashed">
        <color indexed="44"/>
      </left>
      <right style="dashed">
        <color theme="3" tint="0.59996337778862885"/>
      </right>
      <top style="dashed">
        <color theme="3" tint="0.59996337778862885"/>
      </top>
      <bottom style="dashed">
        <color theme="3" tint="0.59996337778862885"/>
      </bottom>
      <diagonal/>
    </border>
    <border>
      <left/>
      <right style="dashed">
        <color indexed="44"/>
      </right>
      <top/>
      <bottom/>
      <diagonal/>
    </border>
    <border>
      <left style="dashed">
        <color indexed="44"/>
      </left>
      <right/>
      <top/>
      <bottom style="double">
        <color indexed="44"/>
      </bottom>
      <diagonal/>
    </border>
    <border>
      <left/>
      <right style="dashed">
        <color indexed="44"/>
      </right>
      <top/>
      <bottom style="double">
        <color indexed="44"/>
      </bottom>
      <diagonal/>
    </border>
    <border>
      <left style="dotted">
        <color indexed="44"/>
      </left>
      <right/>
      <top style="dotted">
        <color indexed="44"/>
      </top>
      <bottom/>
      <diagonal/>
    </border>
    <border>
      <left/>
      <right style="dotted">
        <color indexed="44"/>
      </right>
      <top style="dotted">
        <color indexed="44"/>
      </top>
      <bottom/>
      <diagonal/>
    </border>
    <border>
      <left style="dotted">
        <color indexed="44"/>
      </left>
      <right/>
      <top/>
      <bottom/>
      <diagonal/>
    </border>
    <border>
      <left/>
      <right style="dotted">
        <color indexed="44"/>
      </right>
      <top/>
      <bottom/>
      <diagonal/>
    </border>
    <border>
      <left style="dotted">
        <color indexed="44"/>
      </left>
      <right/>
      <top style="double">
        <color indexed="44"/>
      </top>
      <bottom style="dotted">
        <color indexed="44"/>
      </bottom>
      <diagonal/>
    </border>
    <border>
      <left/>
      <right/>
      <top style="double">
        <color indexed="44"/>
      </top>
      <bottom style="dotted">
        <color indexed="44"/>
      </bottom>
      <diagonal/>
    </border>
    <border>
      <left/>
      <right style="dotted">
        <color indexed="44"/>
      </right>
      <top style="double">
        <color indexed="44"/>
      </top>
      <bottom style="dotted">
        <color indexed="44"/>
      </bottom>
      <diagonal/>
    </border>
    <border>
      <left style="dashed">
        <color indexed="44"/>
      </left>
      <right style="dotted">
        <color indexed="44"/>
      </right>
      <top style="double">
        <color indexed="44"/>
      </top>
      <bottom style="dashed">
        <color indexed="44"/>
      </bottom>
      <diagonal/>
    </border>
    <border>
      <left style="dotted">
        <color indexed="44"/>
      </left>
      <right style="dotted">
        <color indexed="44"/>
      </right>
      <top style="double">
        <color indexed="44"/>
      </top>
      <bottom style="dashed">
        <color indexed="44"/>
      </bottom>
      <diagonal/>
    </border>
    <border>
      <left style="dashed">
        <color theme="3" tint="0.59996337778862885"/>
      </left>
      <right style="dashed">
        <color theme="3" tint="0.59996337778862885"/>
      </right>
      <top style="dashed">
        <color theme="3" tint="0.59996337778862885"/>
      </top>
      <bottom style="dashed">
        <color theme="3" tint="0.59996337778862885"/>
      </bottom>
      <diagonal/>
    </border>
    <border>
      <left style="dashed">
        <color indexed="44"/>
      </left>
      <right style="dashed">
        <color indexed="44"/>
      </right>
      <top style="dashed">
        <color indexed="44"/>
      </top>
      <bottom style="double">
        <color indexed="44"/>
      </bottom>
      <diagonal/>
    </border>
    <border>
      <left style="dotted">
        <color indexed="44"/>
      </left>
      <right/>
      <top/>
      <bottom style="dotted">
        <color indexed="44"/>
      </bottom>
      <diagonal/>
    </border>
    <border>
      <left/>
      <right/>
      <top/>
      <bottom style="dotted">
        <color indexed="44"/>
      </bottom>
      <diagonal/>
    </border>
    <border>
      <left/>
      <right style="dotted">
        <color indexed="44"/>
      </right>
      <top/>
      <bottom style="dotted">
        <color indexed="44"/>
      </bottom>
      <diagonal/>
    </border>
    <border>
      <left style="dotted">
        <color indexed="44"/>
      </left>
      <right style="dashed">
        <color indexed="44"/>
      </right>
      <top style="double">
        <color indexed="44"/>
      </top>
      <bottom style="dashed">
        <color indexed="44"/>
      </bottom>
      <diagonal/>
    </border>
    <border>
      <left style="dashed">
        <color indexed="44"/>
      </left>
      <right/>
      <top/>
      <bottom/>
      <diagonal/>
    </border>
    <border>
      <left style="dashed">
        <color indexed="44"/>
      </left>
      <right/>
      <top/>
      <bottom style="dashed">
        <color indexed="44"/>
      </bottom>
      <diagonal/>
    </border>
    <border>
      <left/>
      <right/>
      <top/>
      <bottom style="dashed">
        <color indexed="4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rgb="FFFFFFFF"/>
      </top>
      <bottom/>
      <diagonal/>
    </border>
    <border>
      <left style="medium">
        <color rgb="FFFFFFFF"/>
      </left>
      <right/>
      <top style="medium">
        <color rgb="FFFFFFFF"/>
      </top>
      <bottom/>
      <diagonal/>
    </border>
    <border>
      <left style="medium">
        <color rgb="FFFFFFFF"/>
      </left>
      <right/>
      <top/>
      <bottom/>
      <diagonal/>
    </border>
    <border>
      <left/>
      <right style="medium">
        <color rgb="FFFFFFFF"/>
      </right>
      <top style="medium">
        <color rgb="FFFFFFFF"/>
      </top>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44"/>
      </left>
      <right style="dotted">
        <color indexed="44"/>
      </right>
      <top style="thin">
        <color indexed="44"/>
      </top>
      <bottom/>
      <diagonal/>
    </border>
    <border>
      <left style="dotted">
        <color indexed="44"/>
      </left>
      <right/>
      <top style="thin">
        <color indexed="44"/>
      </top>
      <bottom/>
      <diagonal/>
    </border>
    <border>
      <left/>
      <right style="dotted">
        <color indexed="44"/>
      </right>
      <top style="thin">
        <color indexed="4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74">
    <xf numFmtId="0" fontId="0" fillId="0" borderId="0"/>
    <xf numFmtId="164"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73" fontId="10" fillId="0" borderId="0" applyFont="0" applyFill="0" applyBorder="0" applyAlignment="0" applyProtection="0"/>
    <xf numFmtId="0" fontId="31" fillId="11" borderId="0" applyNumberFormat="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7" fillId="12" borderId="0" applyNumberFormat="0" applyBorder="0" applyAlignment="0" applyProtection="0"/>
    <xf numFmtId="0" fontId="38" fillId="16" borderId="63" applyNumberFormat="0" applyAlignment="0" applyProtection="0"/>
    <xf numFmtId="18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0" fontId="39" fillId="0" borderId="0" applyFont="0" applyFill="0" applyBorder="0" applyAlignment="0" applyProtection="0"/>
    <xf numFmtId="0" fontId="40" fillId="17" borderId="64" applyNumberFormat="0" applyAlignment="0" applyProtection="0"/>
    <xf numFmtId="177" fontId="10"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77" fontId="39" fillId="0" borderId="0" applyFont="0" applyFill="0" applyBorder="0" applyAlignment="0" applyProtection="0"/>
    <xf numFmtId="177" fontId="10" fillId="0" borderId="0" applyFont="0" applyFill="0" applyBorder="0" applyAlignment="0" applyProtection="0"/>
    <xf numFmtId="181" fontId="10" fillId="0" borderId="0" applyFont="0" applyFill="0" applyBorder="0" applyAlignment="0" applyProtection="0"/>
    <xf numFmtId="177" fontId="39" fillId="0" borderId="0" applyFont="0" applyFill="0" applyBorder="0" applyAlignment="0" applyProtection="0"/>
    <xf numFmtId="0" fontId="41" fillId="0" borderId="65" applyNumberFormat="0" applyFill="0" applyAlignment="0" applyProtection="0"/>
    <xf numFmtId="0" fontId="36" fillId="10" borderId="0" applyNumberFormat="0" applyBorder="0" applyAlignment="0" applyProtection="0"/>
    <xf numFmtId="0" fontId="42" fillId="18" borderId="63" applyNumberFormat="0" applyAlignment="0" applyProtection="0"/>
    <xf numFmtId="43" fontId="33" fillId="0" borderId="0" applyFont="0" applyFill="0" applyBorder="0" applyAlignment="0" applyProtection="0"/>
    <xf numFmtId="43" fontId="33" fillId="0" borderId="0" applyFont="0" applyFill="0" applyBorder="0" applyAlignment="0" applyProtection="0"/>
    <xf numFmtId="0" fontId="43" fillId="0" borderId="66" applyNumberFormat="0" applyFill="0" applyAlignment="0" applyProtection="0"/>
    <xf numFmtId="0" fontId="44" fillId="0" borderId="67" applyNumberFormat="0" applyFill="0" applyAlignment="0" applyProtection="0"/>
    <xf numFmtId="0" fontId="45" fillId="0" borderId="68" applyNumberFormat="0" applyFill="0" applyAlignment="0" applyProtection="0"/>
    <xf numFmtId="0" fontId="45" fillId="0" borderId="0" applyNumberFormat="0" applyFill="0" applyBorder="0" applyAlignment="0" applyProtection="0"/>
    <xf numFmtId="0" fontId="46" fillId="19" borderId="0" applyNumberFormat="0" applyBorder="0" applyAlignment="0" applyProtection="0"/>
    <xf numFmtId="0" fontId="39" fillId="0" borderId="0"/>
    <xf numFmtId="0" fontId="33"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39" fillId="0" borderId="0"/>
    <xf numFmtId="0" fontId="39" fillId="0" borderId="0"/>
    <xf numFmtId="0" fontId="39" fillId="0" borderId="0"/>
    <xf numFmtId="0" fontId="10" fillId="20" borderId="69" applyNumberFormat="0" applyFont="0" applyAlignment="0" applyProtection="0"/>
    <xf numFmtId="0" fontId="10" fillId="20" borderId="69" applyNumberFormat="0" applyFont="0" applyAlignment="0" applyProtection="0"/>
    <xf numFmtId="0" fontId="47" fillId="21" borderId="0" applyNumberFormat="0" applyBorder="0" applyAlignment="0" applyProtection="0"/>
    <xf numFmtId="9" fontId="33"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3" fillId="0" borderId="0"/>
    <xf numFmtId="0" fontId="3" fillId="0" borderId="0"/>
    <xf numFmtId="0" fontId="48" fillId="0" borderId="0" applyNumberFormat="0" applyFill="0" applyBorder="0" applyAlignment="0" applyProtection="0"/>
    <xf numFmtId="0" fontId="49" fillId="0" borderId="70" applyNumberFormat="0" applyFill="0" applyAlignment="0" applyProtection="0"/>
    <xf numFmtId="0" fontId="50" fillId="16" borderId="71"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2" fillId="0" borderId="0"/>
    <xf numFmtId="165" fontId="10" fillId="0" borderId="0" applyFont="0" applyFill="0" applyBorder="0" applyAlignment="0" applyProtection="0"/>
    <xf numFmtId="164" fontId="1" fillId="0" borderId="0" applyFont="0" applyFill="0" applyBorder="0" applyAlignment="0" applyProtection="0"/>
    <xf numFmtId="177" fontId="39" fillId="0" borderId="0" applyFont="0" applyFill="0" applyBorder="0" applyAlignment="0" applyProtection="0"/>
    <xf numFmtId="0" fontId="1" fillId="0" borderId="0"/>
    <xf numFmtId="0" fontId="10" fillId="0" borderId="0"/>
  </cellStyleXfs>
  <cellXfs count="421">
    <xf numFmtId="0" fontId="0" fillId="0" borderId="0" xfId="0"/>
    <xf numFmtId="0" fontId="0" fillId="0" borderId="0" xfId="0" applyAlignment="1">
      <alignment vertical="top"/>
    </xf>
    <xf numFmtId="164" fontId="0" fillId="0" borderId="0" xfId="1" applyFont="1" applyAlignment="1">
      <alignment vertical="top"/>
    </xf>
    <xf numFmtId="164" fontId="0" fillId="0" borderId="0" xfId="1" applyFont="1"/>
    <xf numFmtId="0" fontId="0" fillId="0" borderId="1" xfId="0" applyBorder="1"/>
    <xf numFmtId="164" fontId="0" fillId="0" borderId="1" xfId="1" applyFont="1" applyBorder="1"/>
    <xf numFmtId="2" fontId="0" fillId="0" borderId="0" xfId="1" applyNumberFormat="1" applyFont="1" applyAlignment="1">
      <alignment vertical="top"/>
    </xf>
    <xf numFmtId="2" fontId="0" fillId="0" borderId="0" xfId="0" applyNumberFormat="1"/>
    <xf numFmtId="2" fontId="0" fillId="0" borderId="0" xfId="1" applyNumberFormat="1" applyFont="1" applyBorder="1"/>
    <xf numFmtId="2" fontId="0" fillId="0" borderId="0" xfId="1" applyNumberFormat="1" applyFont="1"/>
    <xf numFmtId="166" fontId="0" fillId="0" borderId="0" xfId="0" applyNumberFormat="1"/>
    <xf numFmtId="167" fontId="7" fillId="0" borderId="2" xfId="2" applyNumberFormat="1" applyFont="1" applyFill="1" applyBorder="1" applyAlignment="1" applyProtection="1">
      <alignment horizontal="center" vertical="top" wrapText="1"/>
    </xf>
    <xf numFmtId="168" fontId="7" fillId="0" borderId="2" xfId="2" applyNumberFormat="1" applyFont="1" applyFill="1" applyBorder="1" applyAlignment="1" applyProtection="1">
      <alignment vertical="top" wrapText="1"/>
    </xf>
    <xf numFmtId="167" fontId="7" fillId="0" borderId="2" xfId="2" applyNumberFormat="1" applyFont="1" applyFill="1" applyBorder="1" applyAlignment="1" applyProtection="1">
      <alignment horizontal="left" vertical="top" indent="3"/>
    </xf>
    <xf numFmtId="167" fontId="7" fillId="0" borderId="2" xfId="2" applyNumberFormat="1" applyFont="1" applyFill="1" applyBorder="1" applyAlignment="1" applyProtection="1">
      <alignment horizontal="left" vertical="top" indent="5"/>
    </xf>
    <xf numFmtId="167" fontId="6" fillId="0" borderId="3" xfId="2" applyNumberFormat="1" applyFont="1" applyFill="1" applyBorder="1" applyAlignment="1" applyProtection="1">
      <alignment horizontal="left" vertical="top" indent="1"/>
    </xf>
    <xf numFmtId="167" fontId="6" fillId="0" borderId="3" xfId="2" applyNumberFormat="1" applyFont="1" applyFill="1" applyBorder="1" applyAlignment="1" applyProtection="1">
      <alignment horizontal="left" vertical="top" wrapText="1"/>
    </xf>
    <xf numFmtId="168" fontId="6" fillId="0" borderId="3" xfId="2" applyNumberFormat="1" applyFont="1" applyFill="1" applyBorder="1" applyAlignment="1" applyProtection="1">
      <alignment horizontal="left" vertical="top" wrapText="1"/>
    </xf>
    <xf numFmtId="167" fontId="7" fillId="0" borderId="2" xfId="2" applyNumberFormat="1" applyFont="1" applyFill="1" applyBorder="1" applyAlignment="1" applyProtection="1">
      <alignment horizontal="left" vertical="top" indent="2"/>
    </xf>
    <xf numFmtId="167" fontId="6" fillId="2" borderId="4" xfId="2" applyNumberFormat="1" applyFont="1" applyFill="1" applyBorder="1" applyAlignment="1" applyProtection="1">
      <alignment horizontal="left" vertical="top"/>
    </xf>
    <xf numFmtId="167" fontId="6" fillId="2" borderId="4" xfId="2" applyNumberFormat="1" applyFont="1" applyFill="1" applyBorder="1" applyAlignment="1" applyProtection="1">
      <alignment horizontal="left" vertical="top" wrapText="1"/>
    </xf>
    <xf numFmtId="168" fontId="6" fillId="2" borderId="4" xfId="2" applyNumberFormat="1" applyFont="1" applyFill="1" applyBorder="1" applyAlignment="1" applyProtection="1">
      <alignment horizontal="left" vertical="top" wrapText="1"/>
    </xf>
    <xf numFmtId="167" fontId="7" fillId="0" borderId="0" xfId="2" applyNumberFormat="1" applyFont="1" applyFill="1" applyBorder="1" applyAlignment="1" applyProtection="1">
      <alignment horizontal="left" vertical="top"/>
    </xf>
    <xf numFmtId="170" fontId="7" fillId="0" borderId="0" xfId="3" applyNumberFormat="1" applyFont="1" applyFill="1" applyBorder="1" applyAlignment="1" applyProtection="1">
      <alignment vertical="top" wrapText="1"/>
    </xf>
    <xf numFmtId="171" fontId="7" fillId="0" borderId="0" xfId="3" applyNumberFormat="1" applyFont="1" applyFill="1" applyBorder="1" applyAlignment="1" applyProtection="1">
      <alignment vertical="top" wrapText="1"/>
    </xf>
    <xf numFmtId="168" fontId="7" fillId="0" borderId="0" xfId="2" applyNumberFormat="1" applyFont="1" applyFill="1" applyBorder="1" applyAlignment="1" applyProtection="1">
      <alignment vertical="top" wrapText="1"/>
    </xf>
    <xf numFmtId="167" fontId="7" fillId="0" borderId="5" xfId="2" applyNumberFormat="1" applyFont="1" applyFill="1" applyBorder="1" applyAlignment="1" applyProtection="1">
      <alignment horizontal="center" vertical="top" wrapText="1"/>
    </xf>
    <xf numFmtId="168" fontId="7" fillId="0" borderId="5" xfId="2" applyNumberFormat="1" applyFont="1" applyFill="1" applyBorder="1" applyAlignment="1" applyProtection="1">
      <alignment vertical="top" wrapText="1"/>
    </xf>
    <xf numFmtId="168" fontId="6" fillId="2" borderId="4" xfId="1" applyNumberFormat="1" applyFont="1" applyFill="1" applyBorder="1" applyAlignment="1" applyProtection="1">
      <alignment horizontal="left" vertical="top" wrapText="1"/>
    </xf>
    <xf numFmtId="167" fontId="7" fillId="0" borderId="6" xfId="2" applyNumberFormat="1" applyFont="1" applyFill="1" applyBorder="1" applyAlignment="1" applyProtection="1">
      <alignment horizontal="left" vertical="top"/>
    </xf>
    <xf numFmtId="167" fontId="7" fillId="0" borderId="6" xfId="2" applyNumberFormat="1" applyFont="1" applyFill="1" applyBorder="1" applyAlignment="1" applyProtection="1">
      <alignment vertical="top" wrapText="1"/>
    </xf>
    <xf numFmtId="167" fontId="7" fillId="0" borderId="6" xfId="2" applyNumberFormat="1" applyFont="1" applyFill="1" applyBorder="1" applyAlignment="1" applyProtection="1">
      <alignment horizontal="center" vertical="top" wrapText="1"/>
    </xf>
    <xf numFmtId="168" fontId="7" fillId="0" borderId="6" xfId="2" applyNumberFormat="1" applyFont="1" applyFill="1" applyBorder="1" applyAlignment="1" applyProtection="1">
      <alignment vertical="top" wrapText="1"/>
    </xf>
    <xf numFmtId="167" fontId="7" fillId="0" borderId="5" xfId="2" applyNumberFormat="1" applyFont="1" applyFill="1" applyBorder="1" applyAlignment="1" applyProtection="1">
      <alignment horizontal="left" vertical="top" indent="4"/>
    </xf>
    <xf numFmtId="167" fontId="7" fillId="0" borderId="2" xfId="2" applyNumberFormat="1" applyFont="1" applyFill="1" applyBorder="1" applyAlignment="1" applyProtection="1">
      <alignment horizontal="left" vertical="top" indent="4"/>
    </xf>
    <xf numFmtId="167" fontId="6" fillId="2" borderId="3" xfId="2" applyNumberFormat="1" applyFont="1" applyFill="1" applyBorder="1" applyAlignment="1" applyProtection="1">
      <alignment horizontal="left" vertical="top"/>
    </xf>
    <xf numFmtId="167" fontId="6" fillId="2" borderId="3" xfId="2" applyNumberFormat="1" applyFont="1" applyFill="1" applyBorder="1" applyAlignment="1" applyProtection="1">
      <alignment horizontal="left" vertical="top" wrapText="1"/>
    </xf>
    <xf numFmtId="168" fontId="6" fillId="2" borderId="3" xfId="2" applyNumberFormat="1" applyFont="1" applyFill="1" applyBorder="1" applyAlignment="1" applyProtection="1">
      <alignment horizontal="left" vertical="top" wrapText="1"/>
    </xf>
    <xf numFmtId="168" fontId="6" fillId="2" borderId="3" xfId="1" applyNumberFormat="1" applyFont="1" applyFill="1" applyBorder="1" applyAlignment="1" applyProtection="1">
      <alignment horizontal="left" vertical="top" wrapText="1"/>
    </xf>
    <xf numFmtId="10" fontId="8" fillId="3" borderId="2" xfId="3" applyNumberFormat="1" applyFont="1" applyFill="1" applyBorder="1" applyAlignment="1" applyProtection="1">
      <alignment vertical="top" wrapText="1"/>
      <protection locked="0"/>
    </xf>
    <xf numFmtId="167" fontId="8" fillId="0" borderId="5" xfId="2" applyNumberFormat="1" applyFont="1" applyFill="1" applyBorder="1" applyAlignment="1" applyProtection="1">
      <alignment horizontal="left" vertical="top" indent="4"/>
      <protection locked="0"/>
    </xf>
    <xf numFmtId="165" fontId="8" fillId="0" borderId="5" xfId="2" applyFont="1" applyFill="1" applyBorder="1" applyAlignment="1" applyProtection="1">
      <alignment vertical="top" wrapText="1"/>
      <protection locked="0"/>
    </xf>
    <xf numFmtId="167" fontId="8" fillId="0" borderId="5" xfId="2" applyNumberFormat="1" applyFont="1" applyFill="1" applyBorder="1" applyAlignment="1" applyProtection="1">
      <alignment horizontal="center" vertical="top" wrapText="1"/>
      <protection locked="0"/>
    </xf>
    <xf numFmtId="169" fontId="8" fillId="0" borderId="5" xfId="2" applyNumberFormat="1" applyFont="1" applyFill="1" applyBorder="1" applyAlignment="1" applyProtection="1">
      <alignment vertical="top" wrapText="1"/>
      <protection locked="0"/>
    </xf>
    <xf numFmtId="167" fontId="8" fillId="0" borderId="2" xfId="2" applyNumberFormat="1" applyFont="1" applyFill="1" applyBorder="1" applyAlignment="1" applyProtection="1">
      <alignment horizontal="left" vertical="top" indent="4"/>
      <protection locked="0"/>
    </xf>
    <xf numFmtId="165" fontId="8" fillId="0" borderId="2" xfId="2" applyFont="1" applyFill="1" applyBorder="1" applyAlignment="1" applyProtection="1">
      <alignment vertical="top" wrapText="1"/>
      <protection locked="0"/>
    </xf>
    <xf numFmtId="167" fontId="8" fillId="0" borderId="2" xfId="2" applyNumberFormat="1" applyFont="1" applyFill="1" applyBorder="1" applyAlignment="1" applyProtection="1">
      <alignment horizontal="center" vertical="top" wrapText="1"/>
      <protection locked="0"/>
    </xf>
    <xf numFmtId="169" fontId="8" fillId="0" borderId="2" xfId="2" applyNumberFormat="1" applyFont="1" applyFill="1" applyBorder="1" applyAlignment="1" applyProtection="1">
      <alignment vertical="top" wrapText="1"/>
      <protection locked="0"/>
    </xf>
    <xf numFmtId="168" fontId="8" fillId="0" borderId="2" xfId="2" applyNumberFormat="1" applyFont="1" applyFill="1" applyBorder="1" applyAlignment="1" applyProtection="1">
      <alignment vertical="top" wrapText="1"/>
      <protection locked="0"/>
    </xf>
    <xf numFmtId="10" fontId="8" fillId="0" borderId="2" xfId="3" applyNumberFormat="1" applyFont="1" applyFill="1" applyBorder="1" applyAlignment="1" applyProtection="1">
      <alignment vertical="top" wrapText="1"/>
      <protection locked="0"/>
    </xf>
    <xf numFmtId="10" fontId="8" fillId="3" borderId="5" xfId="3" applyNumberFormat="1" applyFont="1" applyFill="1" applyBorder="1" applyAlignment="1" applyProtection="1">
      <alignment vertical="top" wrapText="1"/>
      <protection locked="0"/>
    </xf>
    <xf numFmtId="0" fontId="0" fillId="0" borderId="0" xfId="0" applyAlignment="1">
      <alignment horizontal="right" vertical="top"/>
    </xf>
    <xf numFmtId="0" fontId="0" fillId="0" borderId="0" xfId="0" applyAlignment="1">
      <alignment vertical="top" wrapText="1"/>
    </xf>
    <xf numFmtId="2" fontId="0" fillId="0" borderId="0" xfId="0" applyNumberFormat="1" applyAlignment="1">
      <alignment vertical="top"/>
    </xf>
    <xf numFmtId="0" fontId="0" fillId="0" borderId="1" xfId="0" applyBorder="1" applyAlignment="1">
      <alignment vertical="top"/>
    </xf>
    <xf numFmtId="0" fontId="0" fillId="0" borderId="1" xfId="0" applyBorder="1" applyAlignment="1">
      <alignment vertical="top" wrapText="1"/>
    </xf>
    <xf numFmtId="164" fontId="0" fillId="0" borderId="1" xfId="1" applyFont="1" applyBorder="1" applyAlignment="1">
      <alignment vertical="top"/>
    </xf>
    <xf numFmtId="2" fontId="0" fillId="0" borderId="0" xfId="1" applyNumberFormat="1" applyFont="1" applyBorder="1" applyAlignment="1">
      <alignment vertical="top"/>
    </xf>
    <xf numFmtId="166" fontId="0" fillId="0" borderId="0" xfId="0" applyNumberFormat="1" applyAlignment="1">
      <alignment vertical="top"/>
    </xf>
    <xf numFmtId="164" fontId="0" fillId="0" borderId="0" xfId="0" applyNumberFormat="1" applyAlignment="1">
      <alignment vertical="top"/>
    </xf>
    <xf numFmtId="167" fontId="5" fillId="0" borderId="2" xfId="2" applyNumberFormat="1" applyFont="1" applyFill="1" applyBorder="1" applyAlignment="1" applyProtection="1">
      <alignment horizontal="left" vertical="top" indent="3"/>
    </xf>
    <xf numFmtId="167" fontId="7" fillId="0" borderId="2" xfId="2" applyNumberFormat="1" applyFont="1" applyFill="1" applyBorder="1" applyAlignment="1" applyProtection="1">
      <alignment horizontal="left" vertical="top" wrapText="1"/>
    </xf>
    <xf numFmtId="168" fontId="7" fillId="0" borderId="2" xfId="2" applyNumberFormat="1" applyFont="1" applyFill="1" applyBorder="1" applyAlignment="1" applyProtection="1">
      <alignment horizontal="left" vertical="top" wrapText="1"/>
    </xf>
    <xf numFmtId="168" fontId="6" fillId="0" borderId="2" xfId="2" applyNumberFormat="1" applyFont="1" applyFill="1" applyBorder="1" applyAlignment="1" applyProtection="1">
      <alignment horizontal="left" vertical="top" wrapText="1"/>
    </xf>
    <xf numFmtId="49" fontId="0" fillId="0" borderId="7" xfId="1" applyNumberFormat="1" applyFont="1" applyBorder="1" applyAlignment="1">
      <alignment vertical="top"/>
    </xf>
    <xf numFmtId="164" fontId="0" fillId="0" borderId="7" xfId="1" applyFont="1" applyBorder="1" applyAlignment="1">
      <alignment vertical="top"/>
    </xf>
    <xf numFmtId="0" fontId="0" fillId="0" borderId="11" xfId="0" applyBorder="1" applyAlignment="1">
      <alignment vertical="top"/>
    </xf>
    <xf numFmtId="164" fontId="0" fillId="0" borderId="11" xfId="1" applyFont="1" applyBorder="1" applyAlignment="1">
      <alignment horizontal="right" vertical="top"/>
    </xf>
    <xf numFmtId="172" fontId="0" fillId="0" borderId="12" xfId="1" applyNumberFormat="1" applyFont="1" applyBorder="1" applyAlignment="1">
      <alignment vertical="top"/>
    </xf>
    <xf numFmtId="164" fontId="0" fillId="0" borderId="0" xfId="1" applyFont="1" applyBorder="1" applyAlignment="1">
      <alignment vertical="top"/>
    </xf>
    <xf numFmtId="167" fontId="7" fillId="0" borderId="17" xfId="2" applyNumberFormat="1" applyFont="1" applyFill="1" applyBorder="1" applyAlignment="1" applyProtection="1">
      <alignment horizontal="left" indent="7"/>
    </xf>
    <xf numFmtId="168" fontId="7" fillId="0" borderId="6" xfId="4" applyNumberFormat="1" applyFont="1" applyFill="1" applyBorder="1" applyAlignment="1" applyProtection="1"/>
    <xf numFmtId="168" fontId="6" fillId="0" borderId="18" xfId="4" applyNumberFormat="1" applyFont="1" applyFill="1" applyBorder="1" applyAlignment="1" applyProtection="1"/>
    <xf numFmtId="168" fontId="6" fillId="0" borderId="5" xfId="4" applyNumberFormat="1" applyFont="1" applyFill="1" applyBorder="1" applyAlignment="1" applyProtection="1"/>
    <xf numFmtId="167" fontId="7" fillId="0" borderId="19" xfId="2" applyNumberFormat="1" applyFont="1" applyFill="1" applyBorder="1" applyAlignment="1" applyProtection="1">
      <alignment horizontal="left" indent="8"/>
    </xf>
    <xf numFmtId="168" fontId="7" fillId="0" borderId="0" xfId="4" applyNumberFormat="1" applyFont="1" applyFill="1" applyBorder="1" applyAlignment="1" applyProtection="1"/>
    <xf numFmtId="168" fontId="7" fillId="0" borderId="20" xfId="4" applyNumberFormat="1" applyFont="1" applyFill="1" applyBorder="1" applyAlignment="1" applyProtection="1"/>
    <xf numFmtId="168" fontId="7" fillId="0" borderId="2" xfId="4" applyNumberFormat="1" applyFont="1" applyFill="1" applyBorder="1" applyAlignment="1" applyProtection="1"/>
    <xf numFmtId="167" fontId="11" fillId="2" borderId="3" xfId="2" applyNumberFormat="1" applyFont="1" applyFill="1" applyBorder="1" applyAlignment="1" applyProtection="1">
      <alignment horizontal="left" vertical="center"/>
    </xf>
    <xf numFmtId="167" fontId="11" fillId="2" borderId="3" xfId="2" applyNumberFormat="1" applyFont="1" applyFill="1" applyBorder="1" applyAlignment="1" applyProtection="1">
      <alignment horizontal="left" vertical="center" wrapText="1"/>
    </xf>
    <xf numFmtId="168" fontId="11" fillId="2" borderId="3" xfId="2" applyNumberFormat="1" applyFont="1" applyFill="1" applyBorder="1" applyAlignment="1" applyProtection="1">
      <alignment horizontal="left" vertical="center" wrapText="1"/>
    </xf>
    <xf numFmtId="167" fontId="6" fillId="2" borderId="24" xfId="2" applyNumberFormat="1" applyFont="1" applyFill="1" applyBorder="1" applyAlignment="1" applyProtection="1">
      <alignment horizontal="left" vertical="center"/>
    </xf>
    <xf numFmtId="167" fontId="6" fillId="2" borderId="25" xfId="2" applyNumberFormat="1" applyFont="1" applyFill="1" applyBorder="1" applyAlignment="1" applyProtection="1">
      <alignment horizontal="left" vertical="center" wrapText="1"/>
    </xf>
    <xf numFmtId="168" fontId="6" fillId="2" borderId="25" xfId="2" applyNumberFormat="1" applyFont="1" applyFill="1" applyBorder="1" applyAlignment="1" applyProtection="1">
      <alignment horizontal="left" vertical="center" wrapText="1"/>
    </xf>
    <xf numFmtId="0" fontId="0" fillId="4" borderId="0" xfId="0" applyFill="1" applyProtection="1">
      <protection locked="0"/>
    </xf>
    <xf numFmtId="2" fontId="0" fillId="0" borderId="0" xfId="1" applyNumberFormat="1" applyFont="1" applyProtection="1">
      <protection locked="0"/>
    </xf>
    <xf numFmtId="2" fontId="0" fillId="0" borderId="0" xfId="1" applyNumberFormat="1" applyFont="1" applyAlignment="1" applyProtection="1">
      <alignment vertical="top"/>
      <protection locked="0"/>
    </xf>
    <xf numFmtId="167" fontId="11" fillId="2" borderId="2" xfId="2" applyNumberFormat="1" applyFont="1" applyFill="1" applyBorder="1" applyAlignment="1" applyProtection="1">
      <alignment horizontal="left" vertical="center" wrapText="1"/>
    </xf>
    <xf numFmtId="0" fontId="0" fillId="0" borderId="0" xfId="0" applyAlignment="1" applyProtection="1">
      <alignment vertical="top"/>
      <protection locked="0"/>
    </xf>
    <xf numFmtId="172" fontId="0" fillId="0" borderId="14" xfId="1" applyNumberFormat="1" applyFont="1" applyBorder="1" applyAlignment="1">
      <alignment vertical="top"/>
    </xf>
    <xf numFmtId="167" fontId="6" fillId="2" borderId="21" xfId="2" applyNumberFormat="1" applyFont="1" applyFill="1" applyBorder="1" applyAlignment="1" applyProtection="1">
      <alignment horizontal="left" vertical="top"/>
    </xf>
    <xf numFmtId="168" fontId="7" fillId="2" borderId="22" xfId="4" applyNumberFormat="1" applyFont="1" applyFill="1" applyBorder="1" applyAlignment="1" applyProtection="1">
      <alignment vertical="top"/>
    </xf>
    <xf numFmtId="168" fontId="7" fillId="2" borderId="23" xfId="4" applyNumberFormat="1" applyFont="1" applyFill="1" applyBorder="1" applyAlignment="1" applyProtection="1">
      <alignment vertical="top"/>
    </xf>
    <xf numFmtId="168" fontId="6" fillId="2" borderId="4" xfId="4" applyNumberFormat="1" applyFont="1" applyFill="1" applyBorder="1" applyAlignment="1" applyProtection="1">
      <alignment vertical="top"/>
    </xf>
    <xf numFmtId="0" fontId="12" fillId="0" borderId="19" xfId="2" applyNumberFormat="1" applyFont="1" applyFill="1" applyBorder="1" applyAlignment="1" applyProtection="1">
      <alignment horizontal="right" indent="1"/>
    </xf>
    <xf numFmtId="164" fontId="12" fillId="0" borderId="0" xfId="4" applyNumberFormat="1" applyFont="1" applyFill="1" applyBorder="1" applyAlignment="1" applyProtection="1"/>
    <xf numFmtId="168" fontId="12" fillId="0" borderId="0" xfId="4" applyNumberFormat="1" applyFont="1" applyFill="1" applyBorder="1" applyAlignment="1" applyProtection="1">
      <alignment horizontal="center"/>
    </xf>
    <xf numFmtId="0" fontId="12" fillId="0" borderId="28" xfId="0" applyFont="1" applyBorder="1" applyAlignment="1">
      <alignment horizontal="right" indent="1"/>
    </xf>
    <xf numFmtId="168" fontId="13" fillId="0" borderId="29" xfId="4" applyNumberFormat="1" applyFont="1" applyFill="1" applyBorder="1" applyAlignment="1" applyProtection="1"/>
    <xf numFmtId="9" fontId="12" fillId="0" borderId="29" xfId="3" applyFont="1" applyFill="1" applyBorder="1" applyAlignment="1" applyProtection="1">
      <alignment horizontal="center"/>
    </xf>
    <xf numFmtId="168" fontId="13" fillId="0" borderId="30" xfId="4" applyNumberFormat="1" applyFont="1" applyFill="1" applyBorder="1" applyProtection="1"/>
    <xf numFmtId="167" fontId="6" fillId="2" borderId="31" xfId="2" applyNumberFormat="1" applyFont="1" applyFill="1" applyBorder="1" applyAlignment="1" applyProtection="1">
      <alignment horizontal="left" vertical="top"/>
    </xf>
    <xf numFmtId="0" fontId="0" fillId="0" borderId="34" xfId="0" applyBorder="1" applyAlignment="1">
      <alignment vertical="top"/>
    </xf>
    <xf numFmtId="164" fontId="0" fillId="0" borderId="34" xfId="1" applyFont="1" applyBorder="1" applyAlignment="1">
      <alignment vertical="top"/>
    </xf>
    <xf numFmtId="167" fontId="15" fillId="0" borderId="32" xfId="2" applyNumberFormat="1" applyFont="1" applyFill="1" applyBorder="1" applyAlignment="1" applyProtection="1">
      <alignment horizontal="left"/>
    </xf>
    <xf numFmtId="164" fontId="16" fillId="0" borderId="7" xfId="1" applyFont="1" applyBorder="1" applyAlignment="1">
      <alignment vertical="top"/>
    </xf>
    <xf numFmtId="167" fontId="6" fillId="0" borderId="32" xfId="2" applyNumberFormat="1" applyFont="1" applyFill="1" applyBorder="1" applyAlignment="1" applyProtection="1">
      <alignment horizontal="left" indent="1"/>
    </xf>
    <xf numFmtId="164" fontId="16" fillId="0" borderId="7" xfId="0" applyNumberFormat="1" applyFont="1" applyBorder="1" applyAlignment="1">
      <alignment vertical="top"/>
    </xf>
    <xf numFmtId="167" fontId="6" fillId="5" borderId="32" xfId="2" applyNumberFormat="1" applyFont="1" applyFill="1" applyBorder="1" applyAlignment="1" applyProtection="1">
      <alignment horizontal="left" indent="2"/>
    </xf>
    <xf numFmtId="0" fontId="0" fillId="5" borderId="0" xfId="0" applyFill="1" applyAlignment="1">
      <alignment vertical="top"/>
    </xf>
    <xf numFmtId="164" fontId="0" fillId="5" borderId="0" xfId="1" applyFont="1" applyFill="1" applyBorder="1" applyAlignment="1">
      <alignment vertical="top"/>
    </xf>
    <xf numFmtId="164" fontId="17" fillId="5" borderId="7" xfId="1" applyFont="1" applyFill="1" applyBorder="1" applyAlignment="1">
      <alignment vertical="top"/>
    </xf>
    <xf numFmtId="167" fontId="6" fillId="5" borderId="32" xfId="2" applyNumberFormat="1" applyFont="1" applyFill="1" applyBorder="1" applyAlignment="1" applyProtection="1">
      <alignment horizontal="left" indent="1"/>
    </xf>
    <xf numFmtId="167" fontId="7" fillId="0" borderId="32" xfId="2" applyNumberFormat="1" applyFont="1" applyFill="1" applyBorder="1" applyAlignment="1" applyProtection="1">
      <alignment horizontal="left" indent="4"/>
    </xf>
    <xf numFmtId="164" fontId="18" fillId="0" borderId="7" xfId="1" applyFont="1" applyBorder="1" applyAlignment="1">
      <alignment vertical="top"/>
    </xf>
    <xf numFmtId="167" fontId="14" fillId="0" borderId="32" xfId="2" applyNumberFormat="1" applyFont="1" applyFill="1" applyBorder="1" applyAlignment="1" applyProtection="1">
      <alignment horizontal="left" indent="6"/>
    </xf>
    <xf numFmtId="164" fontId="19" fillId="0" borderId="7" xfId="1" applyFont="1" applyBorder="1" applyAlignment="1">
      <alignment vertical="top"/>
    </xf>
    <xf numFmtId="167" fontId="7" fillId="0" borderId="33" xfId="2" applyNumberFormat="1" applyFont="1" applyFill="1" applyBorder="1" applyAlignment="1" applyProtection="1">
      <alignment horizontal="left" indent="4"/>
    </xf>
    <xf numFmtId="0" fontId="22" fillId="0" borderId="0" xfId="0" applyFont="1"/>
    <xf numFmtId="0" fontId="0" fillId="0" borderId="0" xfId="0" applyAlignment="1">
      <alignment horizontal="left"/>
    </xf>
    <xf numFmtId="0" fontId="22" fillId="0" borderId="0" xfId="0" applyFont="1" applyAlignment="1">
      <alignment horizontal="left"/>
    </xf>
    <xf numFmtId="44" fontId="0" fillId="0" borderId="0" xfId="0" applyNumberFormat="1" applyAlignment="1">
      <alignment horizontal="center"/>
    </xf>
    <xf numFmtId="44" fontId="21" fillId="0" borderId="0" xfId="0" applyNumberFormat="1" applyFont="1" applyAlignment="1">
      <alignment horizontal="center"/>
    </xf>
    <xf numFmtId="44" fontId="0" fillId="6" borderId="0" xfId="0" applyNumberFormat="1" applyFill="1" applyAlignment="1">
      <alignment horizontal="center"/>
    </xf>
    <xf numFmtId="44" fontId="23" fillId="0" borderId="0" xfId="0" applyNumberFormat="1" applyFont="1" applyAlignment="1">
      <alignment horizontal="center"/>
    </xf>
    <xf numFmtId="44" fontId="0" fillId="0" borderId="0" xfId="1" applyNumberFormat="1" applyFont="1"/>
    <xf numFmtId="0" fontId="0" fillId="0" borderId="0" xfId="0" applyAlignment="1">
      <alignment wrapText="1"/>
    </xf>
    <xf numFmtId="44" fontId="0" fillId="0" borderId="0" xfId="0" applyNumberFormat="1" applyAlignment="1">
      <alignment horizontal="center" wrapText="1"/>
    </xf>
    <xf numFmtId="0" fontId="0" fillId="0" borderId="0" xfId="0" applyAlignment="1">
      <alignment horizontal="left" wrapText="1"/>
    </xf>
    <xf numFmtId="174" fontId="0" fillId="0" borderId="0" xfId="0" applyNumberFormat="1" applyAlignment="1">
      <alignment horizontal="left"/>
    </xf>
    <xf numFmtId="44" fontId="0" fillId="0" borderId="0" xfId="0" applyNumberFormat="1"/>
    <xf numFmtId="174" fontId="0" fillId="0" borderId="0" xfId="0" applyNumberFormat="1" applyAlignment="1">
      <alignment wrapText="1"/>
    </xf>
    <xf numFmtId="3" fontId="0" fillId="0" borderId="0" xfId="0" applyNumberFormat="1"/>
    <xf numFmtId="167" fontId="6" fillId="0" borderId="2" xfId="2" applyNumberFormat="1" applyFont="1" applyFill="1" applyBorder="1" applyAlignment="1" applyProtection="1">
      <alignment horizontal="left" vertical="top" indent="1"/>
    </xf>
    <xf numFmtId="167" fontId="6" fillId="0" borderId="2" xfId="2" applyNumberFormat="1" applyFont="1" applyFill="1" applyBorder="1" applyAlignment="1" applyProtection="1">
      <alignment horizontal="left" vertical="top" wrapText="1"/>
    </xf>
    <xf numFmtId="174" fontId="0" fillId="0" borderId="0" xfId="0" applyNumberFormat="1"/>
    <xf numFmtId="174" fontId="0" fillId="0" borderId="0" xfId="0" applyNumberFormat="1" applyAlignment="1">
      <alignment vertical="top" wrapText="1"/>
    </xf>
    <xf numFmtId="3" fontId="0" fillId="0" borderId="0" xfId="0" applyNumberFormat="1" applyAlignment="1">
      <alignment vertical="top" wrapText="1"/>
    </xf>
    <xf numFmtId="0" fontId="0" fillId="0" borderId="35" xfId="0" applyBorder="1" applyAlignment="1">
      <alignment vertical="top" wrapText="1"/>
    </xf>
    <xf numFmtId="0" fontId="0" fillId="0" borderId="36" xfId="0" applyBorder="1" applyAlignment="1">
      <alignment vertical="top" wrapText="1"/>
    </xf>
    <xf numFmtId="0" fontId="24" fillId="0" borderId="37" xfId="0" applyFont="1" applyBorder="1" applyAlignment="1">
      <alignment vertical="top" wrapText="1"/>
    </xf>
    <xf numFmtId="0" fontId="24" fillId="0" borderId="38" xfId="0" applyFont="1" applyBorder="1" applyAlignment="1">
      <alignment vertical="top"/>
    </xf>
    <xf numFmtId="164" fontId="24" fillId="0" borderId="38" xfId="1" applyFont="1" applyBorder="1" applyAlignment="1">
      <alignment vertical="top"/>
    </xf>
    <xf numFmtId="0" fontId="0" fillId="0" borderId="39" xfId="0" applyBorder="1" applyAlignment="1">
      <alignment vertical="top" wrapText="1"/>
    </xf>
    <xf numFmtId="0" fontId="0" fillId="0" borderId="35" xfId="0" applyBorder="1" applyAlignment="1">
      <alignment vertical="top"/>
    </xf>
    <xf numFmtId="164" fontId="0" fillId="0" borderId="35" xfId="1" applyFont="1" applyBorder="1" applyAlignment="1">
      <alignment vertical="top"/>
    </xf>
    <xf numFmtId="0" fontId="0" fillId="0" borderId="35" xfId="0" applyBorder="1"/>
    <xf numFmtId="0" fontId="0" fillId="0" borderId="36" xfId="0" applyBorder="1" applyAlignment="1">
      <alignment vertical="top"/>
    </xf>
    <xf numFmtId="164" fontId="0" fillId="0" borderId="36" xfId="1" applyFont="1" applyBorder="1" applyAlignment="1">
      <alignment vertical="top"/>
    </xf>
    <xf numFmtId="3" fontId="0" fillId="0" borderId="36" xfId="0" applyNumberFormat="1" applyBorder="1" applyAlignment="1">
      <alignment vertical="top" wrapText="1"/>
    </xf>
    <xf numFmtId="3" fontId="0" fillId="0" borderId="36" xfId="0" applyNumberFormat="1" applyBorder="1"/>
    <xf numFmtId="0" fontId="0" fillId="0" borderId="36" xfId="0" applyBorder="1"/>
    <xf numFmtId="3" fontId="0" fillId="0" borderId="35" xfId="0" applyNumberFormat="1" applyBorder="1"/>
    <xf numFmtId="0" fontId="0" fillId="0" borderId="39" xfId="0" applyBorder="1"/>
    <xf numFmtId="174" fontId="0" fillId="0" borderId="39" xfId="0" applyNumberFormat="1" applyBorder="1"/>
    <xf numFmtId="174" fontId="0" fillId="0" borderId="35" xfId="0" applyNumberFormat="1" applyBorder="1" applyAlignment="1">
      <alignment vertical="top" wrapText="1"/>
    </xf>
    <xf numFmtId="174" fontId="0" fillId="0" borderId="35" xfId="0" applyNumberFormat="1" applyBorder="1" applyAlignment="1">
      <alignment horizontal="left" vertical="top" wrapText="1"/>
    </xf>
    <xf numFmtId="174" fontId="0" fillId="0" borderId="0" xfId="1" applyNumberFormat="1" applyFont="1" applyAlignment="1">
      <alignment vertical="top"/>
    </xf>
    <xf numFmtId="2" fontId="0" fillId="0" borderId="35" xfId="1" applyNumberFormat="1" applyFont="1" applyBorder="1" applyAlignment="1">
      <alignment vertical="top"/>
    </xf>
    <xf numFmtId="175" fontId="24" fillId="0" borderId="35" xfId="1" applyNumberFormat="1" applyFont="1" applyBorder="1" applyAlignment="1">
      <alignment vertical="top"/>
    </xf>
    <xf numFmtId="0" fontId="24" fillId="0" borderId="0" xfId="0" applyFont="1"/>
    <xf numFmtId="0" fontId="24" fillId="0" borderId="0" xfId="0" applyFont="1" applyAlignment="1">
      <alignment wrapText="1"/>
    </xf>
    <xf numFmtId="0" fontId="24" fillId="0" borderId="0" xfId="0" applyFont="1" applyAlignment="1">
      <alignment vertical="top" wrapText="1"/>
    </xf>
    <xf numFmtId="0" fontId="24" fillId="0" borderId="0" xfId="0" applyFont="1" applyAlignment="1">
      <alignment vertical="top"/>
    </xf>
    <xf numFmtId="164" fontId="24" fillId="0" borderId="0" xfId="1" applyFont="1" applyAlignment="1">
      <alignment vertical="top"/>
    </xf>
    <xf numFmtId="0" fontId="24" fillId="0" borderId="0" xfId="0" applyFont="1" applyAlignment="1">
      <alignment horizontal="right"/>
    </xf>
    <xf numFmtId="3" fontId="24" fillId="0" borderId="0" xfId="0" applyNumberFormat="1" applyFont="1"/>
    <xf numFmtId="166" fontId="24" fillId="0" borderId="0" xfId="0" applyNumberFormat="1" applyFont="1" applyAlignment="1">
      <alignment vertical="top"/>
    </xf>
    <xf numFmtId="0" fontId="24" fillId="0" borderId="40" xfId="0" applyFont="1" applyBorder="1" applyAlignment="1">
      <alignment vertical="top" wrapText="1"/>
    </xf>
    <xf numFmtId="0" fontId="24" fillId="0" borderId="41" xfId="0" applyFont="1" applyBorder="1" applyAlignment="1">
      <alignment vertical="top"/>
    </xf>
    <xf numFmtId="164" fontId="24" fillId="0" borderId="41" xfId="1" applyFont="1" applyBorder="1" applyAlignment="1">
      <alignment vertical="top"/>
    </xf>
    <xf numFmtId="174" fontId="24" fillId="0" borderId="42" xfId="1" applyNumberFormat="1" applyFont="1" applyBorder="1" applyAlignment="1">
      <alignment vertical="top"/>
    </xf>
    <xf numFmtId="164" fontId="0" fillId="0" borderId="44" xfId="1" applyFont="1" applyBorder="1" applyAlignment="1">
      <alignment vertical="top"/>
    </xf>
    <xf numFmtId="164" fontId="0" fillId="0" borderId="45" xfId="1" applyFont="1" applyBorder="1" applyAlignment="1">
      <alignment vertical="top"/>
    </xf>
    <xf numFmtId="164" fontId="24" fillId="0" borderId="47" xfId="1" applyFont="1" applyBorder="1" applyAlignment="1">
      <alignment vertical="top"/>
    </xf>
    <xf numFmtId="164" fontId="24" fillId="0" borderId="48" xfId="1" applyFont="1" applyBorder="1" applyAlignment="1">
      <alignment vertical="top"/>
    </xf>
    <xf numFmtId="174" fontId="24" fillId="0" borderId="47" xfId="1" applyNumberFormat="1" applyFont="1" applyBorder="1" applyAlignment="1">
      <alignment vertical="top"/>
    </xf>
    <xf numFmtId="174" fontId="24" fillId="0" borderId="48" xfId="1" applyNumberFormat="1" applyFont="1" applyBorder="1" applyAlignment="1">
      <alignment vertical="top"/>
    </xf>
    <xf numFmtId="0" fontId="0" fillId="0" borderId="49" xfId="0" applyBorder="1" applyAlignment="1">
      <alignment vertical="top" wrapText="1"/>
    </xf>
    <xf numFmtId="0" fontId="24" fillId="0" borderId="46" xfId="0" applyFont="1" applyBorder="1" applyAlignment="1">
      <alignment vertical="top"/>
    </xf>
    <xf numFmtId="0" fontId="0" fillId="0" borderId="43" xfId="0" applyBorder="1" applyAlignment="1">
      <alignment vertical="top"/>
    </xf>
    <xf numFmtId="174" fontId="0" fillId="0" borderId="0" xfId="0" applyNumberFormat="1" applyAlignment="1">
      <alignment horizontal="center"/>
    </xf>
    <xf numFmtId="174" fontId="0" fillId="7" borderId="0" xfId="0" applyNumberFormat="1" applyFill="1"/>
    <xf numFmtId="174" fontId="0" fillId="8" borderId="0" xfId="0" applyNumberFormat="1" applyFill="1"/>
    <xf numFmtId="0" fontId="0" fillId="0" borderId="0" xfId="0" applyAlignment="1">
      <alignment horizontal="center"/>
    </xf>
    <xf numFmtId="0" fontId="0" fillId="7" borderId="0" xfId="0" applyFill="1"/>
    <xf numFmtId="0" fontId="0" fillId="7" borderId="0" xfId="0" applyFill="1" applyAlignment="1">
      <alignment wrapText="1"/>
    </xf>
    <xf numFmtId="0" fontId="0" fillId="8" borderId="0" xfId="0" applyFill="1"/>
    <xf numFmtId="0" fontId="0" fillId="9" borderId="0" xfId="0" applyFill="1" applyAlignment="1">
      <alignment vertical="top"/>
    </xf>
    <xf numFmtId="0" fontId="0" fillId="9" borderId="32" xfId="0" applyFill="1" applyBorder="1" applyAlignment="1">
      <alignment vertical="top"/>
    </xf>
    <xf numFmtId="164" fontId="0" fillId="9" borderId="0" xfId="1" applyFont="1" applyFill="1" applyBorder="1" applyAlignment="1">
      <alignment vertical="top"/>
    </xf>
    <xf numFmtId="164" fontId="0" fillId="9" borderId="14" xfId="1" applyFont="1" applyFill="1" applyBorder="1" applyAlignment="1">
      <alignment vertical="top"/>
    </xf>
    <xf numFmtId="0" fontId="0" fillId="0" borderId="7" xfId="0" applyBorder="1" applyAlignment="1" applyProtection="1">
      <alignment vertical="top"/>
      <protection locked="0"/>
    </xf>
    <xf numFmtId="176" fontId="0" fillId="0" borderId="7" xfId="0" applyNumberFormat="1" applyBorder="1" applyAlignment="1" applyProtection="1">
      <alignment vertical="top"/>
      <protection locked="0"/>
    </xf>
    <xf numFmtId="0" fontId="26" fillId="0" borderId="0" xfId="0" applyFont="1" applyAlignment="1">
      <alignment vertical="top"/>
    </xf>
    <xf numFmtId="0" fontId="24" fillId="0" borderId="15" xfId="0" applyFont="1" applyBorder="1" applyAlignment="1">
      <alignment vertical="top"/>
    </xf>
    <xf numFmtId="0" fontId="24" fillId="0" borderId="8" xfId="0" applyFont="1" applyBorder="1" applyAlignment="1">
      <alignment vertical="top"/>
    </xf>
    <xf numFmtId="164" fontId="24" fillId="0" borderId="8" xfId="1" applyFont="1" applyBorder="1" applyAlignment="1">
      <alignment vertical="top"/>
    </xf>
    <xf numFmtId="164" fontId="24" fillId="0" borderId="16" xfId="1" applyFont="1" applyBorder="1" applyAlignment="1">
      <alignment vertical="top"/>
    </xf>
    <xf numFmtId="0" fontId="27" fillId="0" borderId="7" xfId="0" applyFont="1" applyBorder="1" applyAlignment="1" applyProtection="1">
      <alignment vertical="top"/>
      <protection locked="0"/>
    </xf>
    <xf numFmtId="3" fontId="27" fillId="0" borderId="9" xfId="0" applyNumberFormat="1" applyFont="1" applyBorder="1" applyAlignment="1" applyProtection="1">
      <alignment vertical="top"/>
      <protection locked="0"/>
    </xf>
    <xf numFmtId="49" fontId="27" fillId="0" borderId="7" xfId="1" applyNumberFormat="1" applyFont="1" applyBorder="1" applyAlignment="1">
      <alignment vertical="top"/>
    </xf>
    <xf numFmtId="164" fontId="27" fillId="0" borderId="7" xfId="1" applyFont="1" applyBorder="1" applyAlignment="1">
      <alignment vertical="top"/>
    </xf>
    <xf numFmtId="0" fontId="27" fillId="0" borderId="0" xfId="0" applyFont="1" applyAlignment="1" applyProtection="1">
      <alignment vertical="top"/>
      <protection locked="0"/>
    </xf>
    <xf numFmtId="3" fontId="27" fillId="0" borderId="7" xfId="0" applyNumberFormat="1" applyFont="1" applyBorder="1" applyAlignment="1" applyProtection="1">
      <alignment vertical="top"/>
      <protection locked="0"/>
    </xf>
    <xf numFmtId="0" fontId="27" fillId="0" borderId="7" xfId="0" applyFont="1" applyBorder="1" applyAlignment="1" applyProtection="1">
      <alignment vertical="top" wrapText="1"/>
      <protection locked="0"/>
    </xf>
    <xf numFmtId="0" fontId="28" fillId="0" borderId="7" xfId="0" applyFont="1" applyBorder="1" applyAlignment="1" applyProtection="1">
      <alignment vertical="top"/>
      <protection locked="0"/>
    </xf>
    <xf numFmtId="0" fontId="27" fillId="0" borderId="0" xfId="0" applyFont="1" applyAlignment="1" applyProtection="1">
      <alignment vertical="top" wrapText="1"/>
      <protection locked="0"/>
    </xf>
    <xf numFmtId="0" fontId="0" fillId="0" borderId="51" xfId="0" applyBorder="1"/>
    <xf numFmtId="0" fontId="27" fillId="0" borderId="0" xfId="0" applyFont="1" applyAlignment="1">
      <alignment horizontal="right" vertical="top"/>
    </xf>
    <xf numFmtId="0" fontId="27" fillId="0" borderId="0" xfId="0" applyFont="1" applyAlignment="1">
      <alignment vertical="top"/>
    </xf>
    <xf numFmtId="167" fontId="6" fillId="0" borderId="6" xfId="2" applyNumberFormat="1" applyFont="1" applyFill="1" applyBorder="1" applyAlignment="1" applyProtection="1">
      <alignment horizontal="left" vertical="center"/>
    </xf>
    <xf numFmtId="167" fontId="7" fillId="0" borderId="6" xfId="2" applyNumberFormat="1" applyFont="1" applyFill="1" applyBorder="1" applyAlignment="1" applyProtection="1">
      <alignment vertical="center" wrapText="1"/>
    </xf>
    <xf numFmtId="9" fontId="7" fillId="4" borderId="27" xfId="2" applyNumberFormat="1" applyFont="1" applyFill="1" applyBorder="1" applyAlignment="1" applyProtection="1">
      <alignment horizontal="right" vertical="center" wrapText="1"/>
      <protection locked="0"/>
    </xf>
    <xf numFmtId="168" fontId="7" fillId="0" borderId="6" xfId="2" applyNumberFormat="1" applyFont="1" applyFill="1" applyBorder="1" applyAlignment="1" applyProtection="1">
      <alignment vertical="center" wrapText="1"/>
    </xf>
    <xf numFmtId="167" fontId="7" fillId="0" borderId="19" xfId="2" applyNumberFormat="1" applyFont="1" applyFill="1" applyBorder="1" applyAlignment="1" applyProtection="1">
      <alignment horizontal="left" vertical="center"/>
    </xf>
    <xf numFmtId="168" fontId="7" fillId="0" borderId="0" xfId="4" applyNumberFormat="1" applyFont="1" applyFill="1" applyBorder="1" applyAlignment="1" applyProtection="1">
      <alignment vertical="center"/>
    </xf>
    <xf numFmtId="9" fontId="7" fillId="4" borderId="26" xfId="3" applyFont="1" applyFill="1" applyBorder="1" applyAlignment="1" applyProtection="1">
      <alignment vertical="center"/>
      <protection locked="0"/>
    </xf>
    <xf numFmtId="168" fontId="7" fillId="0" borderId="20" xfId="4" applyNumberFormat="1" applyFont="1" applyFill="1" applyBorder="1" applyAlignment="1" applyProtection="1">
      <alignment vertical="center"/>
    </xf>
    <xf numFmtId="168" fontId="7" fillId="0" borderId="2" xfId="4" applyNumberFormat="1" applyFont="1" applyFill="1" applyBorder="1" applyAlignment="1" applyProtection="1">
      <alignment vertical="center"/>
    </xf>
    <xf numFmtId="167" fontId="7" fillId="0" borderId="19" xfId="2" applyNumberFormat="1" applyFont="1" applyFill="1" applyBorder="1" applyAlignment="1" applyProtection="1">
      <alignment horizontal="left" vertical="center" wrapText="1"/>
    </xf>
    <xf numFmtId="0" fontId="0" fillId="4" borderId="10" xfId="0" applyFill="1" applyBorder="1" applyAlignment="1" applyProtection="1">
      <alignment vertical="top"/>
      <protection locked="0"/>
    </xf>
    <xf numFmtId="0" fontId="0" fillId="4" borderId="13" xfId="0" applyFill="1" applyBorder="1" applyAlignment="1" applyProtection="1">
      <alignment vertical="top"/>
      <protection locked="0"/>
    </xf>
    <xf numFmtId="44" fontId="27" fillId="0" borderId="0" xfId="0" applyNumberFormat="1" applyFont="1" applyAlignment="1" applyProtection="1">
      <alignment vertical="top" wrapText="1"/>
      <protection locked="0"/>
    </xf>
    <xf numFmtId="10" fontId="7" fillId="4" borderId="26" xfId="3" applyNumberFormat="1" applyFont="1" applyFill="1" applyBorder="1" applyAlignment="1" applyProtection="1">
      <alignment vertical="center"/>
      <protection locked="0"/>
    </xf>
    <xf numFmtId="44" fontId="0" fillId="0" borderId="0" xfId="0" applyNumberFormat="1" applyAlignment="1">
      <alignment vertical="top"/>
    </xf>
    <xf numFmtId="0" fontId="26" fillId="0" borderId="0" xfId="0" applyFont="1" applyAlignment="1">
      <alignment horizontal="right" vertical="top"/>
    </xf>
    <xf numFmtId="1" fontId="8" fillId="3" borderId="2" xfId="3" applyNumberFormat="1" applyFont="1" applyFill="1" applyBorder="1" applyAlignment="1" applyProtection="1">
      <alignment vertical="top" wrapText="1"/>
      <protection locked="0"/>
    </xf>
    <xf numFmtId="0" fontId="0" fillId="0" borderId="0" xfId="0" applyAlignment="1">
      <alignment horizontal="right" vertical="top" wrapText="1"/>
    </xf>
    <xf numFmtId="0" fontId="0" fillId="0" borderId="0" xfId="0" applyAlignment="1">
      <alignment horizontal="left" indent="1"/>
    </xf>
    <xf numFmtId="0" fontId="32" fillId="13" borderId="53" xfId="0" applyFont="1" applyFill="1" applyBorder="1" applyAlignment="1">
      <alignment horizontal="center" vertical="center" wrapText="1"/>
    </xf>
    <xf numFmtId="0" fontId="32" fillId="13" borderId="52" xfId="0" applyFont="1" applyFill="1" applyBorder="1" applyAlignment="1">
      <alignment vertical="center" wrapText="1"/>
    </xf>
    <xf numFmtId="0" fontId="32" fillId="13" borderId="54" xfId="0" applyFont="1" applyFill="1" applyBorder="1" applyAlignment="1">
      <alignment horizontal="center" vertical="center" wrapText="1"/>
    </xf>
    <xf numFmtId="0" fontId="32" fillId="13" borderId="0" xfId="0" applyFont="1" applyFill="1" applyAlignment="1">
      <alignment vertical="center" wrapText="1"/>
    </xf>
    <xf numFmtId="0" fontId="32" fillId="13" borderId="53" xfId="0" applyFont="1" applyFill="1" applyBorder="1" applyAlignment="1">
      <alignment vertical="top" wrapText="1"/>
    </xf>
    <xf numFmtId="0" fontId="32" fillId="13" borderId="52" xfId="0" applyFont="1" applyFill="1" applyBorder="1" applyAlignment="1">
      <alignment horizontal="right" vertical="top" wrapText="1"/>
    </xf>
    <xf numFmtId="0" fontId="32" fillId="13" borderId="55" xfId="0" applyFont="1" applyFill="1" applyBorder="1" applyAlignment="1">
      <alignment horizontal="right" vertical="top" wrapText="1"/>
    </xf>
    <xf numFmtId="0" fontId="32" fillId="13" borderId="52" xfId="0" applyFont="1" applyFill="1" applyBorder="1" applyAlignment="1">
      <alignment horizontal="left" vertical="top" wrapText="1"/>
    </xf>
    <xf numFmtId="0" fontId="32" fillId="13" borderId="56" xfId="0" applyFont="1" applyFill="1" applyBorder="1" applyAlignment="1">
      <alignment vertical="center" wrapText="1"/>
    </xf>
    <xf numFmtId="179" fontId="3" fillId="14" borderId="57" xfId="0" applyNumberFormat="1" applyFont="1" applyFill="1" applyBorder="1" applyAlignment="1">
      <alignment horizontal="right" vertical="center" wrapText="1"/>
    </xf>
    <xf numFmtId="3" fontId="3" fillId="14" borderId="57" xfId="0" applyNumberFormat="1" applyFont="1" applyFill="1" applyBorder="1" applyAlignment="1">
      <alignment horizontal="right" vertical="center" wrapText="1"/>
    </xf>
    <xf numFmtId="164" fontId="3" fillId="14" borderId="57" xfId="1" applyFont="1" applyFill="1" applyBorder="1" applyAlignment="1">
      <alignment horizontal="right" vertical="center" wrapText="1"/>
    </xf>
    <xf numFmtId="0" fontId="3" fillId="14" borderId="57" xfId="0" applyFont="1" applyFill="1" applyBorder="1" applyAlignment="1">
      <alignment horizontal="right" vertical="center" wrapText="1"/>
    </xf>
    <xf numFmtId="179" fontId="0" fillId="14" borderId="57" xfId="0" applyNumberFormat="1" applyFill="1" applyBorder="1" applyAlignment="1">
      <alignment horizontal="center" vertical="center" wrapText="1"/>
    </xf>
    <xf numFmtId="0" fontId="0" fillId="14" borderId="57" xfId="0" applyFill="1" applyBorder="1" applyAlignment="1">
      <alignment horizontal="left" vertical="center" wrapText="1" indent="1"/>
    </xf>
    <xf numFmtId="0" fontId="32" fillId="13" borderId="58" xfId="0" applyFont="1" applyFill="1" applyBorder="1" applyAlignment="1">
      <alignment vertical="center" wrapText="1"/>
    </xf>
    <xf numFmtId="179" fontId="3" fillId="15" borderId="59" xfId="0" applyNumberFormat="1" applyFont="1" applyFill="1" applyBorder="1" applyAlignment="1">
      <alignment horizontal="right" vertical="center" wrapText="1"/>
    </xf>
    <xf numFmtId="3" fontId="3" fillId="15" borderId="59" xfId="0" applyNumberFormat="1" applyFont="1" applyFill="1" applyBorder="1" applyAlignment="1">
      <alignment horizontal="right" vertical="center" wrapText="1"/>
    </xf>
    <xf numFmtId="0" fontId="3" fillId="15" borderId="59" xfId="0" applyFont="1" applyFill="1" applyBorder="1" applyAlignment="1">
      <alignment horizontal="right" vertical="center" wrapText="1"/>
    </xf>
    <xf numFmtId="179" fontId="0" fillId="15" borderId="59" xfId="0" applyNumberFormat="1" applyFill="1" applyBorder="1" applyAlignment="1">
      <alignment horizontal="right" vertical="center" wrapText="1"/>
    </xf>
    <xf numFmtId="179" fontId="3" fillId="15" borderId="59" xfId="0" applyNumberFormat="1" applyFont="1" applyFill="1" applyBorder="1" applyAlignment="1">
      <alignment horizontal="center" vertical="center" wrapText="1"/>
    </xf>
    <xf numFmtId="0" fontId="0" fillId="15" borderId="59" xfId="0" applyFill="1" applyBorder="1" applyAlignment="1">
      <alignment horizontal="left" vertical="center" wrapText="1" indent="1"/>
    </xf>
    <xf numFmtId="179" fontId="3" fillId="14" borderId="59" xfId="0" applyNumberFormat="1" applyFont="1" applyFill="1" applyBorder="1" applyAlignment="1">
      <alignment horizontal="right" vertical="center" wrapText="1"/>
    </xf>
    <xf numFmtId="3" fontId="3" fillId="14" borderId="59" xfId="0" applyNumberFormat="1" applyFont="1" applyFill="1" applyBorder="1" applyAlignment="1">
      <alignment horizontal="right" vertical="center" wrapText="1"/>
    </xf>
    <xf numFmtId="0" fontId="3" fillId="14" borderId="59" xfId="0" applyFont="1" applyFill="1" applyBorder="1" applyAlignment="1">
      <alignment horizontal="right" vertical="center" wrapText="1"/>
    </xf>
    <xf numFmtId="0" fontId="0" fillId="14" borderId="59" xfId="0" applyFill="1" applyBorder="1" applyAlignment="1">
      <alignment horizontal="left" vertical="center" wrapText="1" indent="1"/>
    </xf>
    <xf numFmtId="9" fontId="3" fillId="15" borderId="59" xfId="3" applyFont="1" applyFill="1" applyBorder="1" applyAlignment="1">
      <alignment horizontal="right" vertical="center" wrapText="1"/>
    </xf>
    <xf numFmtId="3" fontId="0" fillId="15" borderId="59" xfId="0" applyNumberFormat="1" applyFill="1" applyBorder="1" applyAlignment="1">
      <alignment horizontal="right" vertical="center" wrapText="1"/>
    </xf>
    <xf numFmtId="0" fontId="0" fillId="15" borderId="59" xfId="0" applyFill="1" applyBorder="1" applyAlignment="1">
      <alignment horizontal="right" vertical="center" wrapText="1"/>
    </xf>
    <xf numFmtId="0" fontId="0" fillId="14" borderId="59" xfId="0" applyFill="1" applyBorder="1" applyAlignment="1">
      <alignment horizontal="right" vertical="center" wrapText="1"/>
    </xf>
    <xf numFmtId="179" fontId="0" fillId="14" borderId="59" xfId="0" applyNumberFormat="1" applyFill="1" applyBorder="1" applyAlignment="1">
      <alignment horizontal="right" vertical="center" wrapText="1"/>
    </xf>
    <xf numFmtId="178" fontId="30" fillId="0" borderId="0" xfId="2" applyNumberFormat="1" applyFont="1" applyAlignment="1">
      <alignment wrapText="1"/>
    </xf>
    <xf numFmtId="0" fontId="0" fillId="14" borderId="59" xfId="0" applyFill="1" applyBorder="1" applyAlignment="1">
      <alignment horizontal="right" vertical="top" wrapText="1"/>
    </xf>
    <xf numFmtId="0" fontId="0" fillId="15" borderId="59" xfId="0" applyFill="1" applyBorder="1" applyAlignment="1">
      <alignment horizontal="right" vertical="top" wrapText="1"/>
    </xf>
    <xf numFmtId="179" fontId="0" fillId="14" borderId="59" xfId="0" applyNumberFormat="1" applyFill="1" applyBorder="1" applyAlignment="1">
      <alignment horizontal="center" vertical="center" wrapText="1"/>
    </xf>
    <xf numFmtId="0" fontId="32" fillId="13" borderId="60" xfId="0" applyFont="1" applyFill="1" applyBorder="1" applyAlignment="1">
      <alignment vertical="center" wrapText="1"/>
    </xf>
    <xf numFmtId="3" fontId="0" fillId="14" borderId="59" xfId="0" applyNumberFormat="1" applyFill="1" applyBorder="1" applyAlignment="1">
      <alignment horizontal="right" vertical="center" wrapText="1"/>
    </xf>
    <xf numFmtId="0" fontId="32" fillId="13" borderId="61" xfId="0" applyFont="1" applyFill="1" applyBorder="1" applyAlignment="1">
      <alignment vertical="center" wrapText="1"/>
    </xf>
    <xf numFmtId="0" fontId="32" fillId="13" borderId="62" xfId="0" applyFont="1" applyFill="1" applyBorder="1" applyAlignment="1">
      <alignment vertical="center" wrapText="1"/>
    </xf>
    <xf numFmtId="179" fontId="32" fillId="13" borderId="62" xfId="0" applyNumberFormat="1" applyFont="1" applyFill="1" applyBorder="1" applyAlignment="1">
      <alignment horizontal="right" vertical="center" wrapText="1"/>
    </xf>
    <xf numFmtId="0" fontId="32" fillId="13" borderId="61" xfId="0" applyFont="1" applyFill="1" applyBorder="1" applyAlignment="1">
      <alignment horizontal="right" vertical="center" wrapText="1"/>
    </xf>
    <xf numFmtId="0" fontId="32" fillId="13" borderId="62" xfId="0" applyFont="1" applyFill="1" applyBorder="1" applyAlignment="1">
      <alignment horizontal="right" vertical="center" wrapText="1"/>
    </xf>
    <xf numFmtId="179" fontId="32" fillId="13" borderId="62" xfId="0" applyNumberFormat="1" applyFont="1" applyFill="1" applyBorder="1" applyAlignment="1">
      <alignment horizontal="center" vertical="center" wrapText="1"/>
    </xf>
    <xf numFmtId="0" fontId="32" fillId="13" borderId="62" xfId="0" applyFont="1" applyFill="1" applyBorder="1" applyAlignment="1">
      <alignment horizontal="center" vertical="center" wrapText="1"/>
    </xf>
    <xf numFmtId="0" fontId="32" fillId="13" borderId="59" xfId="0" applyFont="1" applyFill="1" applyBorder="1" applyAlignment="1">
      <alignment horizontal="center" vertical="center" wrapText="1"/>
    </xf>
    <xf numFmtId="0" fontId="32" fillId="13" borderId="59" xfId="0" applyFont="1" applyFill="1" applyBorder="1" applyAlignment="1">
      <alignment horizontal="right" vertical="center" wrapText="1"/>
    </xf>
    <xf numFmtId="178" fontId="30" fillId="0" borderId="0" xfId="2" applyNumberFormat="1" applyFont="1" applyAlignment="1">
      <alignment vertical="top" wrapText="1"/>
    </xf>
    <xf numFmtId="164" fontId="24" fillId="0" borderId="0" xfId="1" applyFont="1" applyBorder="1" applyAlignment="1">
      <alignment vertical="top"/>
    </xf>
    <xf numFmtId="0" fontId="3" fillId="0" borderId="0" xfId="6" applyAlignment="1">
      <alignment horizontal="left" vertical="top"/>
    </xf>
    <xf numFmtId="0" fontId="35" fillId="0" borderId="0" xfId="6" applyFont="1" applyAlignment="1">
      <alignment vertical="center" wrapText="1"/>
    </xf>
    <xf numFmtId="0" fontId="35" fillId="0" borderId="0" xfId="6" applyFont="1" applyAlignment="1">
      <alignment horizontal="center" vertical="center" wrapText="1"/>
    </xf>
    <xf numFmtId="179" fontId="34" fillId="0" borderId="0" xfId="6" applyNumberFormat="1" applyFont="1" applyAlignment="1">
      <alignment horizontal="right" vertical="center" wrapText="1"/>
    </xf>
    <xf numFmtId="3" fontId="34" fillId="0" borderId="0" xfId="6" applyNumberFormat="1" applyFont="1" applyAlignment="1">
      <alignment horizontal="right" vertical="center" wrapText="1"/>
    </xf>
    <xf numFmtId="44" fontId="34" fillId="0" borderId="0" xfId="8" applyFont="1" applyFill="1" applyBorder="1" applyAlignment="1">
      <alignment horizontal="right" vertical="center" wrapText="1"/>
    </xf>
    <xf numFmtId="0" fontId="34" fillId="0" borderId="0" xfId="6" applyFont="1" applyAlignment="1">
      <alignment horizontal="right" vertical="center" wrapText="1"/>
    </xf>
    <xf numFmtId="179" fontId="34" fillId="0" borderId="0" xfId="6" applyNumberFormat="1" applyFont="1" applyAlignment="1">
      <alignment horizontal="center" vertical="center" wrapText="1"/>
    </xf>
    <xf numFmtId="0" fontId="34" fillId="0" borderId="0" xfId="6" applyFont="1" applyAlignment="1">
      <alignment horizontal="left" vertical="center" wrapText="1" indent="1"/>
    </xf>
    <xf numFmtId="9" fontId="34" fillId="0" borderId="0" xfId="9" applyFont="1" applyFill="1" applyBorder="1" applyAlignment="1">
      <alignment horizontal="right" vertical="center" wrapText="1"/>
    </xf>
    <xf numFmtId="179" fontId="35" fillId="0" borderId="0" xfId="6" applyNumberFormat="1" applyFont="1" applyAlignment="1">
      <alignment horizontal="right" vertical="center" wrapText="1"/>
    </xf>
    <xf numFmtId="0" fontId="35" fillId="0" borderId="0" xfId="6" applyFont="1" applyAlignment="1">
      <alignment horizontal="right" vertical="center" wrapText="1"/>
    </xf>
    <xf numFmtId="179" fontId="35" fillId="0" borderId="0" xfId="6" applyNumberFormat="1" applyFont="1" applyAlignment="1">
      <alignment horizontal="center" vertical="center" wrapText="1"/>
    </xf>
    <xf numFmtId="0" fontId="29" fillId="11" borderId="0" xfId="5" applyFont="1" applyBorder="1" applyAlignment="1">
      <alignment horizontal="center" vertical="center" wrapText="1"/>
    </xf>
    <xf numFmtId="0" fontId="29" fillId="11" borderId="0" xfId="5" applyFont="1" applyBorder="1" applyAlignment="1">
      <alignment vertical="center" wrapText="1"/>
    </xf>
    <xf numFmtId="0" fontId="34" fillId="0" borderId="0" xfId="6" applyFont="1" applyAlignment="1">
      <alignment horizontal="left" vertical="top" wrapText="1" indent="1"/>
    </xf>
    <xf numFmtId="0" fontId="35" fillId="0" borderId="0" xfId="6" applyFont="1" applyAlignment="1">
      <alignment horizontal="left" vertical="center" wrapText="1"/>
    </xf>
    <xf numFmtId="179" fontId="34" fillId="7" borderId="0" xfId="6" applyNumberFormat="1" applyFont="1" applyFill="1" applyAlignment="1">
      <alignment horizontal="right" vertical="center" wrapText="1"/>
    </xf>
    <xf numFmtId="176" fontId="34" fillId="0" borderId="0" xfId="6" applyNumberFormat="1" applyFont="1" applyAlignment="1">
      <alignment horizontal="right" vertical="center" wrapText="1"/>
    </xf>
    <xf numFmtId="178" fontId="35" fillId="0" borderId="0" xfId="7" applyNumberFormat="1" applyFont="1" applyFill="1" applyBorder="1" applyAlignment="1">
      <alignment horizontal="left" vertical="top"/>
    </xf>
    <xf numFmtId="0" fontId="0" fillId="0" borderId="0" xfId="0" applyAlignment="1">
      <alignment horizontal="left" vertical="top"/>
    </xf>
    <xf numFmtId="178" fontId="30" fillId="0" borderId="0" xfId="2" applyNumberFormat="1" applyFont="1" applyAlignment="1">
      <alignment horizontal="left" vertical="top" wrapText="1"/>
    </xf>
    <xf numFmtId="179" fontId="0" fillId="0" borderId="0" xfId="0" applyNumberFormat="1"/>
    <xf numFmtId="0" fontId="0" fillId="0" borderId="7" xfId="0" applyBorder="1" applyAlignment="1" applyProtection="1">
      <alignment vertical="top" wrapText="1"/>
      <protection locked="0"/>
    </xf>
    <xf numFmtId="179" fontId="34" fillId="0" borderId="51" xfId="6" applyNumberFormat="1" applyFont="1" applyBorder="1" applyAlignment="1">
      <alignment horizontal="right" vertical="center" wrapText="1"/>
    </xf>
    <xf numFmtId="179" fontId="35" fillId="0" borderId="51" xfId="6" applyNumberFormat="1" applyFont="1" applyBorder="1" applyAlignment="1">
      <alignment horizontal="right" vertical="center" wrapText="1"/>
    </xf>
    <xf numFmtId="0" fontId="35" fillId="0" borderId="39" xfId="6" applyFont="1" applyBorder="1" applyAlignment="1">
      <alignment horizontal="right" vertical="center" wrapText="1"/>
    </xf>
    <xf numFmtId="0" fontId="32" fillId="13" borderId="50" xfId="0" applyFont="1" applyFill="1" applyBorder="1" applyAlignment="1">
      <alignment horizontal="right" vertical="top" wrapText="1"/>
    </xf>
    <xf numFmtId="179" fontId="34" fillId="0" borderId="51" xfId="6" applyNumberFormat="1" applyFont="1" applyBorder="1" applyAlignment="1">
      <alignment horizontal="center" vertical="center" wrapText="1"/>
    </xf>
    <xf numFmtId="0" fontId="34" fillId="0" borderId="51" xfId="6" applyFont="1" applyBorder="1" applyAlignment="1">
      <alignment horizontal="right" vertical="center" wrapText="1"/>
    </xf>
    <xf numFmtId="0" fontId="34" fillId="0" borderId="51" xfId="6" applyFont="1" applyBorder="1" applyAlignment="1">
      <alignment horizontal="right" vertical="top" wrapText="1"/>
    </xf>
    <xf numFmtId="0" fontId="35" fillId="0" borderId="51" xfId="6" applyFont="1" applyBorder="1" applyAlignment="1">
      <alignment horizontal="center" vertical="center" wrapText="1"/>
    </xf>
    <xf numFmtId="179" fontId="35" fillId="0" borderId="51" xfId="6" applyNumberFormat="1" applyFont="1" applyBorder="1" applyAlignment="1">
      <alignment horizontal="center" vertical="center" wrapText="1"/>
    </xf>
    <xf numFmtId="179" fontId="0" fillId="0" borderId="51" xfId="0" applyNumberFormat="1" applyBorder="1"/>
    <xf numFmtId="179" fontId="0" fillId="0" borderId="39" xfId="0" applyNumberFormat="1" applyBorder="1"/>
    <xf numFmtId="179" fontId="34" fillId="8" borderId="51" xfId="6" applyNumberFormat="1" applyFont="1" applyFill="1" applyBorder="1" applyAlignment="1">
      <alignment horizontal="right" vertical="center" wrapText="1"/>
    </xf>
    <xf numFmtId="179" fontId="34" fillId="7" borderId="51" xfId="6" applyNumberFormat="1" applyFont="1" applyFill="1" applyBorder="1" applyAlignment="1">
      <alignment horizontal="right" vertical="center" wrapText="1"/>
    </xf>
    <xf numFmtId="179" fontId="34" fillId="22" borderId="51" xfId="6" applyNumberFormat="1" applyFont="1" applyFill="1" applyBorder="1" applyAlignment="1">
      <alignment horizontal="right" vertical="center" wrapText="1"/>
    </xf>
    <xf numFmtId="179" fontId="34" fillId="8" borderId="51" xfId="6" applyNumberFormat="1" applyFont="1" applyFill="1" applyBorder="1" applyAlignment="1">
      <alignment horizontal="center" vertical="center" wrapText="1"/>
    </xf>
    <xf numFmtId="0" fontId="34" fillId="8" borderId="51" xfId="6" applyFont="1" applyFill="1" applyBorder="1" applyAlignment="1">
      <alignment horizontal="right" vertical="center" wrapText="1"/>
    </xf>
    <xf numFmtId="179" fontId="34" fillId="22" borderId="51" xfId="6" applyNumberFormat="1" applyFont="1" applyFill="1" applyBorder="1" applyAlignment="1">
      <alignment horizontal="center" vertical="center" wrapText="1"/>
    </xf>
    <xf numFmtId="179" fontId="34" fillId="7" borderId="51" xfId="6" applyNumberFormat="1" applyFont="1" applyFill="1" applyBorder="1" applyAlignment="1">
      <alignment horizontal="center" vertical="center" wrapText="1"/>
    </xf>
    <xf numFmtId="164" fontId="27" fillId="0" borderId="7" xfId="1" applyFont="1" applyFill="1" applyBorder="1" applyAlignment="1">
      <alignment vertical="top"/>
    </xf>
    <xf numFmtId="0" fontId="27" fillId="7" borderId="0" xfId="0" applyFont="1" applyFill="1" applyAlignment="1" applyProtection="1">
      <alignment vertical="top" wrapText="1"/>
      <protection locked="0"/>
    </xf>
    <xf numFmtId="0" fontId="0" fillId="0" borderId="48" xfId="0" applyBorder="1" applyAlignment="1">
      <alignment vertical="top"/>
    </xf>
    <xf numFmtId="10" fontId="0" fillId="23" borderId="73" xfId="0" applyNumberFormat="1" applyFill="1" applyBorder="1" applyAlignment="1">
      <alignment vertical="top" wrapText="1"/>
    </xf>
    <xf numFmtId="44" fontId="0" fillId="23" borderId="44" xfId="0" applyNumberFormat="1" applyFill="1" applyBorder="1" applyAlignment="1">
      <alignment vertical="top" wrapText="1"/>
    </xf>
    <xf numFmtId="175" fontId="27" fillId="0" borderId="7" xfId="1" applyNumberFormat="1" applyFont="1" applyBorder="1" applyAlignment="1">
      <alignment vertical="top"/>
    </xf>
    <xf numFmtId="0" fontId="53" fillId="0" borderId="0" xfId="0" applyFont="1" applyAlignment="1" applyProtection="1">
      <alignment vertical="top" wrapText="1"/>
      <protection locked="0"/>
    </xf>
    <xf numFmtId="0" fontId="54" fillId="0" borderId="0" xfId="0" applyFont="1" applyAlignment="1">
      <alignment vertical="top"/>
    </xf>
    <xf numFmtId="0" fontId="22" fillId="0" borderId="0" xfId="0" applyFont="1" applyAlignment="1">
      <alignment vertical="top"/>
    </xf>
    <xf numFmtId="164" fontId="22" fillId="0" borderId="0" xfId="1" applyFont="1" applyAlignment="1">
      <alignment vertical="top"/>
    </xf>
    <xf numFmtId="175" fontId="27" fillId="7" borderId="7" xfId="1" applyNumberFormat="1" applyFont="1" applyFill="1" applyBorder="1" applyAlignment="1">
      <alignment vertical="top"/>
    </xf>
    <xf numFmtId="44" fontId="27" fillId="0" borderId="0" xfId="0" applyNumberFormat="1" applyFont="1" applyAlignment="1" applyProtection="1">
      <alignment vertical="top"/>
      <protection locked="0"/>
    </xf>
    <xf numFmtId="0" fontId="3" fillId="0" borderId="0" xfId="0" applyFont="1" applyAlignment="1">
      <alignment vertical="center"/>
    </xf>
    <xf numFmtId="0" fontId="24" fillId="0" borderId="77" xfId="0" applyFont="1" applyBorder="1" applyAlignment="1">
      <alignment vertical="top"/>
    </xf>
    <xf numFmtId="10" fontId="24" fillId="23" borderId="78" xfId="1" applyNumberFormat="1" applyFont="1" applyFill="1" applyBorder="1" applyAlignment="1">
      <alignment vertical="top"/>
    </xf>
    <xf numFmtId="44" fontId="24" fillId="23" borderId="75" xfId="0" applyNumberFormat="1" applyFont="1" applyFill="1" applyBorder="1" applyAlignment="1">
      <alignment vertical="top"/>
    </xf>
    <xf numFmtId="0" fontId="0" fillId="0" borderId="79" xfId="0" applyBorder="1" applyAlignment="1">
      <alignment vertical="top" wrapText="1"/>
    </xf>
    <xf numFmtId="0" fontId="0" fillId="0" borderId="79" xfId="0" applyBorder="1" applyAlignment="1">
      <alignment vertical="top"/>
    </xf>
    <xf numFmtId="164" fontId="0" fillId="0" borderId="79" xfId="1" applyFont="1" applyBorder="1" applyAlignment="1">
      <alignment vertical="top"/>
    </xf>
    <xf numFmtId="0" fontId="55" fillId="0" borderId="0" xfId="0" applyFont="1" applyAlignment="1">
      <alignment vertical="center"/>
    </xf>
    <xf numFmtId="0" fontId="56" fillId="0" borderId="0" xfId="0" applyFont="1" applyAlignment="1">
      <alignment vertical="center"/>
    </xf>
    <xf numFmtId="0" fontId="58" fillId="24" borderId="0" xfId="0" applyFont="1" applyFill="1" applyAlignment="1">
      <alignment horizontal="center" vertical="center" wrapText="1"/>
    </xf>
    <xf numFmtId="0" fontId="57" fillId="0" borderId="0" xfId="0" applyFont="1" applyAlignment="1">
      <alignment vertical="center"/>
    </xf>
    <xf numFmtId="0" fontId="58" fillId="24" borderId="0" xfId="0" applyFont="1" applyFill="1" applyAlignment="1">
      <alignment vertical="center"/>
    </xf>
    <xf numFmtId="0" fontId="58" fillId="24" borderId="0" xfId="0" applyFont="1" applyFill="1" applyAlignment="1">
      <alignment horizontal="center" vertical="center"/>
    </xf>
    <xf numFmtId="0" fontId="59" fillId="0" borderId="0" xfId="0" applyFont="1" applyAlignment="1">
      <alignment vertical="center"/>
    </xf>
    <xf numFmtId="0" fontId="59" fillId="0" borderId="0" xfId="0" applyFont="1" applyAlignment="1">
      <alignment horizontal="center" vertical="center"/>
    </xf>
    <xf numFmtId="0" fontId="59" fillId="24" borderId="0" xfId="0" applyFont="1" applyFill="1" applyAlignment="1">
      <alignment horizontal="center" vertical="center"/>
    </xf>
    <xf numFmtId="0" fontId="57" fillId="24" borderId="0" xfId="0" applyFont="1" applyFill="1" applyAlignment="1">
      <alignment vertical="center"/>
    </xf>
    <xf numFmtId="0" fontId="58" fillId="0" borderId="0" xfId="0" applyFont="1" applyAlignment="1">
      <alignment vertical="center"/>
    </xf>
    <xf numFmtId="0" fontId="56" fillId="0" borderId="0" xfId="0" applyFont="1" applyAlignment="1">
      <alignment horizontal="center" vertical="center"/>
    </xf>
    <xf numFmtId="0" fontId="58" fillId="0" borderId="0" xfId="0" applyFont="1" applyAlignment="1">
      <alignment horizontal="center" vertical="center"/>
    </xf>
    <xf numFmtId="0" fontId="58" fillId="25" borderId="0" xfId="0" applyFont="1" applyFill="1" applyAlignment="1">
      <alignment horizontal="center" vertical="center"/>
    </xf>
    <xf numFmtId="0" fontId="58" fillId="25" borderId="0" xfId="0" applyFont="1" applyFill="1" applyAlignment="1">
      <alignment vertical="center"/>
    </xf>
    <xf numFmtId="0" fontId="59" fillId="25" borderId="0" xfId="0" applyFont="1" applyFill="1" applyAlignment="1">
      <alignment vertical="center"/>
    </xf>
    <xf numFmtId="0" fontId="59" fillId="25" borderId="0" xfId="0" applyFont="1" applyFill="1" applyAlignment="1">
      <alignment horizontal="center" vertical="center"/>
    </xf>
    <xf numFmtId="0" fontId="60" fillId="0" borderId="0" xfId="0" applyFont="1"/>
    <xf numFmtId="4" fontId="59" fillId="0" borderId="0" xfId="0" applyNumberFormat="1" applyFont="1" applyAlignment="1">
      <alignment horizontal="center" vertical="center"/>
    </xf>
    <xf numFmtId="3" fontId="59" fillId="25" borderId="0" xfId="0" applyNumberFormat="1" applyFont="1" applyFill="1" applyAlignment="1">
      <alignment horizontal="center" vertical="center"/>
    </xf>
    <xf numFmtId="3" fontId="59" fillId="0" borderId="0" xfId="0" applyNumberFormat="1" applyFont="1" applyAlignment="1">
      <alignment horizontal="center" vertical="center"/>
    </xf>
    <xf numFmtId="3" fontId="58" fillId="24" borderId="0" xfId="0" applyNumberFormat="1" applyFont="1" applyFill="1" applyAlignment="1">
      <alignment horizontal="center" vertical="center"/>
    </xf>
    <xf numFmtId="49" fontId="59" fillId="0" borderId="0" xfId="0" applyNumberFormat="1" applyFont="1" applyAlignment="1">
      <alignment vertical="center" wrapText="1"/>
    </xf>
    <xf numFmtId="0" fontId="59" fillId="0" borderId="0" xfId="0" applyFont="1" applyAlignment="1">
      <alignment vertical="center" wrapText="1"/>
    </xf>
    <xf numFmtId="0" fontId="0" fillId="0" borderId="82" xfId="0" applyBorder="1" applyAlignment="1">
      <alignment vertical="top" wrapText="1"/>
    </xf>
    <xf numFmtId="44" fontId="0" fillId="23" borderId="84" xfId="0" applyNumberFormat="1" applyFill="1" applyBorder="1" applyAlignment="1">
      <alignment vertical="top" wrapText="1"/>
    </xf>
    <xf numFmtId="164" fontId="0" fillId="0" borderId="84" xfId="1" applyFont="1" applyBorder="1" applyAlignment="1">
      <alignment vertical="top"/>
    </xf>
    <xf numFmtId="167" fontId="6" fillId="0" borderId="85" xfId="2" applyNumberFormat="1" applyFont="1" applyFill="1" applyBorder="1" applyAlignment="1" applyProtection="1">
      <alignment horizontal="left" vertical="top" indent="2"/>
    </xf>
    <xf numFmtId="167" fontId="7" fillId="0" borderId="85" xfId="2" applyNumberFormat="1" applyFont="1" applyFill="1" applyBorder="1" applyAlignment="1" applyProtection="1">
      <alignment horizontal="left" vertical="top" wrapText="1"/>
    </xf>
    <xf numFmtId="168" fontId="6" fillId="0" borderId="85" xfId="2" applyNumberFormat="1" applyFont="1" applyFill="1" applyBorder="1" applyAlignment="1" applyProtection="1">
      <alignment horizontal="left" vertical="top" wrapText="1"/>
    </xf>
    <xf numFmtId="10" fontId="9" fillId="0" borderId="85" xfId="3" applyNumberFormat="1" applyFont="1" applyFill="1" applyBorder="1" applyAlignment="1" applyProtection="1">
      <alignment horizontal="right" vertical="top" wrapText="1"/>
    </xf>
    <xf numFmtId="167" fontId="9" fillId="0" borderId="86" xfId="2" applyNumberFormat="1" applyFont="1" applyFill="1" applyBorder="1" applyAlignment="1" applyProtection="1">
      <alignment horizontal="left" vertical="top" wrapText="1"/>
    </xf>
    <xf numFmtId="167" fontId="6" fillId="0" borderId="85" xfId="2" applyNumberFormat="1" applyFont="1" applyFill="1" applyBorder="1" applyAlignment="1" applyProtection="1">
      <alignment horizontal="left" vertical="top" indent="1"/>
    </xf>
    <xf numFmtId="167" fontId="6" fillId="0" borderId="85" xfId="2" applyNumberFormat="1" applyFont="1" applyFill="1" applyBorder="1" applyAlignment="1" applyProtection="1">
      <alignment horizontal="left" vertical="top" indent="3"/>
    </xf>
    <xf numFmtId="10" fontId="0" fillId="23" borderId="88" xfId="0" applyNumberFormat="1" applyFill="1" applyBorder="1" applyAlignment="1">
      <alignment vertical="top" wrapText="1"/>
    </xf>
    <xf numFmtId="0" fontId="0" fillId="0" borderId="81" xfId="0" applyBorder="1" applyAlignment="1">
      <alignment vertical="top"/>
    </xf>
    <xf numFmtId="164" fontId="0" fillId="0" borderId="83" xfId="1" applyFont="1" applyBorder="1" applyAlignment="1">
      <alignment vertical="top"/>
    </xf>
    <xf numFmtId="164" fontId="0" fillId="0" borderId="89" xfId="1" applyFont="1" applyBorder="1" applyAlignment="1">
      <alignment vertical="top"/>
    </xf>
    <xf numFmtId="164" fontId="0" fillId="0" borderId="90" xfId="1" applyFont="1" applyBorder="1" applyAlignment="1">
      <alignment vertical="top"/>
    </xf>
    <xf numFmtId="174" fontId="0" fillId="0" borderId="89" xfId="1" applyNumberFormat="1" applyFont="1" applyBorder="1" applyAlignment="1">
      <alignment vertical="top"/>
    </xf>
    <xf numFmtId="174" fontId="0" fillId="0" borderId="90" xfId="1" applyNumberFormat="1" applyFont="1" applyBorder="1" applyAlignment="1">
      <alignment vertical="top"/>
    </xf>
    <xf numFmtId="168" fontId="7" fillId="0" borderId="85" xfId="2" applyNumberFormat="1" applyFont="1" applyFill="1" applyBorder="1" applyAlignment="1" applyProtection="1">
      <alignment horizontal="left" vertical="top" wrapText="1"/>
    </xf>
    <xf numFmtId="167" fontId="9" fillId="0" borderId="87" xfId="2" applyNumberFormat="1" applyFont="1" applyFill="1" applyBorder="1" applyAlignment="1" applyProtection="1">
      <alignment horizontal="left" vertical="top" wrapText="1"/>
    </xf>
    <xf numFmtId="0" fontId="0" fillId="0" borderId="80" xfId="0" applyBorder="1"/>
    <xf numFmtId="0" fontId="0" fillId="0" borderId="91" xfId="0" applyBorder="1" applyAlignment="1">
      <alignment vertical="top"/>
    </xf>
    <xf numFmtId="0" fontId="24" fillId="0" borderId="0" xfId="0" applyFont="1" applyAlignment="1">
      <alignment horizontal="right" vertical="top"/>
    </xf>
    <xf numFmtId="0" fontId="17" fillId="7" borderId="0" xfId="0" applyFont="1" applyFill="1" applyAlignment="1" applyProtection="1">
      <alignment vertical="top" wrapText="1"/>
      <protection locked="0"/>
    </xf>
    <xf numFmtId="0" fontId="24" fillId="0" borderId="37" xfId="0" applyFont="1" applyBorder="1" applyAlignment="1">
      <alignment vertical="top"/>
    </xf>
    <xf numFmtId="164" fontId="24" fillId="0" borderId="46" xfId="1" applyFont="1" applyBorder="1" applyAlignment="1">
      <alignment vertical="top"/>
    </xf>
    <xf numFmtId="164" fontId="24" fillId="23" borderId="72" xfId="1" applyFont="1" applyFill="1" applyBorder="1" applyAlignment="1">
      <alignment vertical="top" wrapText="1"/>
    </xf>
    <xf numFmtId="0" fontId="24" fillId="23" borderId="47" xfId="0" applyFont="1" applyFill="1" applyBorder="1" applyAlignment="1">
      <alignment vertical="top"/>
    </xf>
    <xf numFmtId="0" fontId="0" fillId="0" borderId="93" xfId="0" applyBorder="1"/>
    <xf numFmtId="179" fontId="34" fillId="0" borderId="0" xfId="6" applyNumberFormat="1" applyFont="1" applyAlignment="1">
      <alignment horizontal="left" vertical="center" wrapText="1"/>
    </xf>
    <xf numFmtId="3" fontId="34" fillId="0" borderId="0" xfId="6" applyNumberFormat="1" applyFont="1" applyAlignment="1">
      <alignment horizontal="left" vertical="center" wrapText="1"/>
    </xf>
    <xf numFmtId="0" fontId="0" fillId="0" borderId="80" xfId="0" applyBorder="1" applyAlignment="1">
      <alignment vertical="top" wrapText="1"/>
    </xf>
    <xf numFmtId="0" fontId="0" fillId="0" borderId="80" xfId="0" applyBorder="1" applyAlignment="1">
      <alignment vertical="top"/>
    </xf>
    <xf numFmtId="164" fontId="0" fillId="0" borderId="80" xfId="1" applyFont="1" applyBorder="1" applyAlignment="1">
      <alignment vertical="top"/>
    </xf>
    <xf numFmtId="3" fontId="0" fillId="0" borderId="80" xfId="0" applyNumberFormat="1" applyBorder="1"/>
    <xf numFmtId="3" fontId="0" fillId="0" borderId="93" xfId="0" applyNumberFormat="1" applyBorder="1"/>
    <xf numFmtId="0" fontId="0" fillId="0" borderId="92" xfId="0" applyBorder="1" applyAlignment="1">
      <alignment vertical="top" wrapText="1"/>
    </xf>
    <xf numFmtId="0" fontId="61" fillId="0" borderId="0" xfId="0" applyFont="1" applyAlignment="1">
      <alignment vertical="center"/>
    </xf>
    <xf numFmtId="3" fontId="58" fillId="25" borderId="0" xfId="0" applyNumberFormat="1" applyFont="1" applyFill="1" applyAlignment="1">
      <alignment horizontal="center" vertical="center"/>
    </xf>
    <xf numFmtId="0" fontId="27" fillId="0" borderId="0" xfId="0" applyFont="1" applyAlignment="1" applyProtection="1">
      <alignment vertical="top" wrapText="1"/>
      <protection locked="0"/>
    </xf>
    <xf numFmtId="0" fontId="54" fillId="0" borderId="0" xfId="0" applyFont="1" applyAlignment="1" applyProtection="1">
      <alignment vertical="top" wrapText="1"/>
      <protection locked="0"/>
    </xf>
    <xf numFmtId="0" fontId="22" fillId="0" borderId="0" xfId="0" applyFont="1" applyAlignment="1">
      <alignment vertical="top" wrapText="1"/>
    </xf>
    <xf numFmtId="164" fontId="0" fillId="7" borderId="43" xfId="1" applyFont="1" applyFill="1" applyBorder="1" applyAlignment="1">
      <alignment horizontal="center" vertical="top"/>
    </xf>
    <xf numFmtId="164" fontId="0" fillId="7" borderId="45" xfId="1" applyFont="1" applyFill="1" applyBorder="1" applyAlignment="1">
      <alignment horizontal="center" vertical="top"/>
    </xf>
    <xf numFmtId="164" fontId="0" fillId="7" borderId="81" xfId="1" applyFont="1" applyFill="1" applyBorder="1" applyAlignment="1">
      <alignment horizontal="center" vertical="top"/>
    </xf>
    <xf numFmtId="164" fontId="0" fillId="7" borderId="83" xfId="1" applyFont="1" applyFill="1" applyBorder="1" applyAlignment="1">
      <alignment horizontal="center" vertical="top"/>
    </xf>
    <xf numFmtId="164" fontId="24" fillId="0" borderId="74" xfId="1" applyFont="1" applyBorder="1" applyAlignment="1">
      <alignment horizontal="center" vertical="top"/>
    </xf>
    <xf numFmtId="164" fontId="24" fillId="0" borderId="76" xfId="1" applyFont="1" applyBorder="1" applyAlignment="1">
      <alignment horizontal="center" vertical="top"/>
    </xf>
    <xf numFmtId="0" fontId="58" fillId="25" borderId="0" xfId="0" applyFont="1" applyFill="1" applyAlignment="1">
      <alignment vertical="center"/>
    </xf>
    <xf numFmtId="0" fontId="58" fillId="24" borderId="0" xfId="0" applyFont="1" applyFill="1" applyAlignment="1">
      <alignment vertical="center" wrapText="1"/>
    </xf>
    <xf numFmtId="0" fontId="58" fillId="24" borderId="0" xfId="0" applyFont="1" applyFill="1" applyAlignment="1">
      <alignment vertical="center"/>
    </xf>
    <xf numFmtId="0" fontId="32" fillId="13" borderId="61" xfId="0" applyFont="1" applyFill="1" applyBorder="1" applyAlignment="1">
      <alignment horizontal="right" vertical="center" wrapText="1"/>
    </xf>
    <xf numFmtId="0" fontId="32" fillId="13" borderId="62" xfId="0" applyFont="1" applyFill="1" applyBorder="1" applyAlignment="1">
      <alignment horizontal="right" vertical="center" wrapText="1"/>
    </xf>
    <xf numFmtId="0" fontId="32" fillId="13" borderId="52" xfId="0" applyFont="1" applyFill="1" applyBorder="1" applyAlignment="1">
      <alignment horizontal="left" vertical="center" wrapText="1"/>
    </xf>
    <xf numFmtId="0" fontId="32" fillId="13" borderId="0" xfId="0" applyFont="1" applyFill="1" applyAlignment="1">
      <alignment horizontal="left" vertical="center" wrapText="1"/>
    </xf>
    <xf numFmtId="0" fontId="32" fillId="13" borderId="62" xfId="0" applyFont="1" applyFill="1" applyBorder="1" applyAlignment="1">
      <alignment horizontal="center" vertical="center" wrapText="1"/>
    </xf>
    <xf numFmtId="0" fontId="32" fillId="13" borderId="57" xfId="0" applyFont="1" applyFill="1" applyBorder="1" applyAlignment="1">
      <alignment horizontal="center" vertical="center" wrapText="1"/>
    </xf>
    <xf numFmtId="179" fontId="32" fillId="13" borderId="62" xfId="0" applyNumberFormat="1" applyFont="1" applyFill="1" applyBorder="1" applyAlignment="1">
      <alignment horizontal="right" vertical="center" wrapText="1"/>
    </xf>
    <xf numFmtId="0" fontId="29" fillId="11" borderId="0" xfId="5" applyFont="1" applyBorder="1" applyAlignment="1">
      <alignment horizontal="left" vertical="center" wrapText="1"/>
    </xf>
  </cellXfs>
  <cellStyles count="74">
    <cellStyle name="Accent1" xfId="5" builtinId="29"/>
    <cellStyle name="Accent4 2" xfId="10" xr:uid="{00000000-0005-0000-0000-000001000000}"/>
    <cellStyle name="Berekening 2" xfId="11" xr:uid="{00000000-0005-0000-0000-000002000000}"/>
    <cellStyle name="Comma 2" xfId="12" xr:uid="{00000000-0005-0000-0000-000003000000}"/>
    <cellStyle name="Comma 3" xfId="13" xr:uid="{00000000-0005-0000-0000-000004000000}"/>
    <cellStyle name="Comma 3 2" xfId="14" xr:uid="{00000000-0005-0000-0000-000005000000}"/>
    <cellStyle name="Comma 3_Blad1" xfId="69" xr:uid="{907F4BF0-29E9-434F-A7FE-12CCD89B0A90}"/>
    <cellStyle name="Comma 4" xfId="15" xr:uid="{00000000-0005-0000-0000-000006000000}"/>
    <cellStyle name="Controlecel 2" xfId="16" xr:uid="{00000000-0005-0000-0000-000007000000}"/>
    <cellStyle name="Currency 2" xfId="17" xr:uid="{00000000-0005-0000-0000-000008000000}"/>
    <cellStyle name="Currency 3" xfId="18" xr:uid="{00000000-0005-0000-0000-000009000000}"/>
    <cellStyle name="Currency 3 2" xfId="19" xr:uid="{00000000-0005-0000-0000-00000A000000}"/>
    <cellStyle name="Currency 3_Blad1" xfId="70" xr:uid="{E0AD29BC-C769-42C3-8350-DCE145EC060A}"/>
    <cellStyle name="Currency 4" xfId="20" xr:uid="{00000000-0005-0000-0000-00000B000000}"/>
    <cellStyle name="Euro" xfId="4" xr:uid="{00000000-0005-0000-0000-00000C000000}"/>
    <cellStyle name="Euro 2" xfId="21" xr:uid="{00000000-0005-0000-0000-00000D000000}"/>
    <cellStyle name="Euro 3" xfId="22" xr:uid="{00000000-0005-0000-0000-00000E000000}"/>
    <cellStyle name="Euro 4" xfId="23" xr:uid="{00000000-0005-0000-0000-00000F000000}"/>
    <cellStyle name="Euro_Blad1" xfId="71" xr:uid="{901DFD84-6AD5-40D4-8B43-0D9AD9104223}"/>
    <cellStyle name="Gekoppelde cel 2" xfId="24" xr:uid="{00000000-0005-0000-0000-000010000000}"/>
    <cellStyle name="Goed 2" xfId="25" xr:uid="{00000000-0005-0000-0000-000011000000}"/>
    <cellStyle name="Invoer 2" xfId="26" xr:uid="{00000000-0005-0000-0000-000013000000}"/>
    <cellStyle name="Komma" xfId="2" builtinId="3"/>
    <cellStyle name="Komma 2" xfId="7" xr:uid="{00000000-0005-0000-0000-000015000000}"/>
    <cellStyle name="Komma 3" xfId="27" xr:uid="{00000000-0005-0000-0000-000016000000}"/>
    <cellStyle name="Komma 4" xfId="28" xr:uid="{00000000-0005-0000-0000-000017000000}"/>
    <cellStyle name="Kop 1 2" xfId="29" xr:uid="{00000000-0005-0000-0000-000018000000}"/>
    <cellStyle name="Kop 2 2" xfId="30" xr:uid="{00000000-0005-0000-0000-000019000000}"/>
    <cellStyle name="Kop 3 2" xfId="31" xr:uid="{00000000-0005-0000-0000-00001A000000}"/>
    <cellStyle name="Kop 4 2" xfId="32" xr:uid="{00000000-0005-0000-0000-00001B000000}"/>
    <cellStyle name="Neutraal 2" xfId="33" xr:uid="{00000000-0005-0000-0000-00001C000000}"/>
    <cellStyle name="Normal 2" xfId="34" xr:uid="{00000000-0005-0000-0000-00001D000000}"/>
    <cellStyle name="Normal 2 2" xfId="35" xr:uid="{00000000-0005-0000-0000-00001E000000}"/>
    <cellStyle name="Normal 2 2 2" xfId="36" xr:uid="{00000000-0005-0000-0000-00001F000000}"/>
    <cellStyle name="Normal 2 2_Blad1" xfId="68" xr:uid="{00000000-0005-0000-0000-000020000000}"/>
    <cellStyle name="Normal 3" xfId="37" xr:uid="{00000000-0005-0000-0000-000021000000}"/>
    <cellStyle name="Normal 3 2" xfId="38" xr:uid="{00000000-0005-0000-0000-000022000000}"/>
    <cellStyle name="Normal 3 3" xfId="39" xr:uid="{00000000-0005-0000-0000-000023000000}"/>
    <cellStyle name="Normal 4" xfId="40" xr:uid="{00000000-0005-0000-0000-000024000000}"/>
    <cellStyle name="Normal 4 2" xfId="41" xr:uid="{00000000-0005-0000-0000-000025000000}"/>
    <cellStyle name="Normal 5" xfId="42" xr:uid="{00000000-0005-0000-0000-000026000000}"/>
    <cellStyle name="Normal 6" xfId="43" xr:uid="{00000000-0005-0000-0000-000027000000}"/>
    <cellStyle name="Normal 7" xfId="44" xr:uid="{00000000-0005-0000-0000-000028000000}"/>
    <cellStyle name="Normal 7 2" xfId="45" xr:uid="{00000000-0005-0000-0000-000029000000}"/>
    <cellStyle name="Normal 7_Wgn" xfId="46" xr:uid="{00000000-0005-0000-0000-00002A000000}"/>
    <cellStyle name="Notitie 2" xfId="47" xr:uid="{00000000-0005-0000-0000-00002C000000}"/>
    <cellStyle name="Notitie 3" xfId="48" xr:uid="{00000000-0005-0000-0000-00002D000000}"/>
    <cellStyle name="Ongeldig 2" xfId="49" xr:uid="{00000000-0005-0000-0000-00002E000000}"/>
    <cellStyle name="Percent 2" xfId="50" xr:uid="{00000000-0005-0000-0000-00002F000000}"/>
    <cellStyle name="Percent 3" xfId="51" xr:uid="{00000000-0005-0000-0000-000030000000}"/>
    <cellStyle name="Procent" xfId="3" builtinId="5"/>
    <cellStyle name="Procent 2" xfId="9" xr:uid="{00000000-0005-0000-0000-000032000000}"/>
    <cellStyle name="Standaard" xfId="0" builtinId="0"/>
    <cellStyle name="Standaard 2" xfId="6" xr:uid="{00000000-0005-0000-0000-000034000000}"/>
    <cellStyle name="Standaard 2 2" xfId="52" xr:uid="{00000000-0005-0000-0000-000035000000}"/>
    <cellStyle name="Standaard 2 3" xfId="53" xr:uid="{00000000-0005-0000-0000-000036000000}"/>
    <cellStyle name="Standaard 2_Blad1" xfId="73" xr:uid="{5C44FA06-A876-4A9C-86A3-DD2DACA38931}"/>
    <cellStyle name="Standaard 3" xfId="54" xr:uid="{00000000-0005-0000-0000-000038000000}"/>
    <cellStyle name="Standaard 3 2" xfId="55" xr:uid="{00000000-0005-0000-0000-000039000000}"/>
    <cellStyle name="Standaard 4" xfId="56" xr:uid="{00000000-0005-0000-0000-00003A000000}"/>
    <cellStyle name="Standaard 4 2" xfId="57" xr:uid="{00000000-0005-0000-0000-00003B000000}"/>
    <cellStyle name="Standaard 5" xfId="58" xr:uid="{00000000-0005-0000-0000-00003C000000}"/>
    <cellStyle name="Standaard 6" xfId="59" xr:uid="{00000000-0005-0000-0000-00003D000000}"/>
    <cellStyle name="Standaard 7" xfId="60" xr:uid="{00000000-0005-0000-0000-00003E000000}"/>
    <cellStyle name="Standaard_Blad1" xfId="72" xr:uid="{39C71886-7D11-4420-83AF-9DA950D65789}"/>
    <cellStyle name="Titel 2" xfId="61" xr:uid="{00000000-0005-0000-0000-00003F000000}"/>
    <cellStyle name="Totaal 2" xfId="62" xr:uid="{00000000-0005-0000-0000-000040000000}"/>
    <cellStyle name="Uitvoer 2" xfId="63" xr:uid="{00000000-0005-0000-0000-000041000000}"/>
    <cellStyle name="Valuta" xfId="1" builtinId="4"/>
    <cellStyle name="Valuta 2" xfId="8" xr:uid="{00000000-0005-0000-0000-000043000000}"/>
    <cellStyle name="Valuta 3" xfId="64" xr:uid="{00000000-0005-0000-0000-000044000000}"/>
    <cellStyle name="Valuta 4" xfId="65" xr:uid="{00000000-0005-0000-0000-000045000000}"/>
    <cellStyle name="Verklarende tekst 2" xfId="66" xr:uid="{00000000-0005-0000-0000-000046000000}"/>
    <cellStyle name="Waarschuwingstekst 2" xfId="67" xr:uid="{00000000-0005-0000-0000-000047000000}"/>
  </cellStyles>
  <dxfs count="4">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Kostenmanagement\SSK-modellen\20130710%20SSK-Model%20CROW%20v3.03%20PNB.xlt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imas\Provincie%20Noord%20Brabant\N263.06\20130830%20N263.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fon"/>
      <sheetName val="Allocatie kosten"/>
      <sheetName val="Samenvatting LCC"/>
      <sheetName val="Samenvatting SSK"/>
      <sheetName val="Prob. resultaten"/>
      <sheetName val="Objectoverstijgende risico's"/>
      <sheetName val="RWS_Keuzeparameters"/>
      <sheetName val="RWS_Dummie"/>
      <sheetName val="Prijzenboek"/>
      <sheetName val="Aanbiedingsstaat"/>
      <sheetName val="Versiebehe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fon"/>
      <sheetName val="Allocatie kosten"/>
      <sheetName val="Samenvatting LCC"/>
      <sheetName val="Samenvatting SSK"/>
      <sheetName val="Prob. resultaten"/>
      <sheetName val="Objectoverstijgende risico's"/>
      <sheetName val="RWS_Keuzeparameters"/>
      <sheetName val="RWS_Dummie"/>
      <sheetName val="hoofdrijbaan en fietspaden"/>
      <sheetName val="Prijzenboek"/>
      <sheetName val="Aanbiedingsstaat"/>
      <sheetName val="Versiebehee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67"/>
  <sheetViews>
    <sheetView view="pageBreakPreview" zoomScale="70" zoomScaleNormal="100" zoomScaleSheetLayoutView="70" zoomScalePageLayoutView="50" workbookViewId="0">
      <selection activeCell="F2" sqref="F2"/>
    </sheetView>
  </sheetViews>
  <sheetFormatPr defaultColWidth="9" defaultRowHeight="15" outlineLevelRow="3"/>
  <cols>
    <col min="1" max="1" width="16.625" style="1" customWidth="1"/>
    <col min="2" max="2" width="64" style="1" customWidth="1"/>
    <col min="3" max="3" width="10.5" style="1" customWidth="1"/>
    <col min="4" max="4" width="14.625" style="1" customWidth="1"/>
    <col min="5" max="5" width="14.125" style="2" bestFit="1" customWidth="1"/>
    <col min="6" max="6" width="21.375" style="2" bestFit="1" customWidth="1"/>
    <col min="7" max="8" width="36.125" style="1" customWidth="1"/>
    <col min="9" max="16384" width="9" style="1"/>
  </cols>
  <sheetData>
    <row r="1" spans="1:8">
      <c r="A1" s="384" t="s">
        <v>0</v>
      </c>
      <c r="B1" s="221" t="s">
        <v>1</v>
      </c>
      <c r="C1" s="66"/>
      <c r="D1" s="66"/>
      <c r="E1" s="67" t="s">
        <v>2</v>
      </c>
      <c r="F1" s="68">
        <f ca="1">NOW()</f>
        <v>45106.963261226854</v>
      </c>
    </row>
    <row r="2" spans="1:8">
      <c r="A2" s="384" t="s">
        <v>3</v>
      </c>
      <c r="B2" s="222" t="s">
        <v>4</v>
      </c>
      <c r="E2" s="69" t="s">
        <v>5</v>
      </c>
      <c r="F2" s="89">
        <v>44743</v>
      </c>
    </row>
    <row r="3" spans="1:8" ht="15.95" thickBot="1">
      <c r="A3" s="163" t="s">
        <v>6</v>
      </c>
      <c r="B3" s="195" t="s">
        <v>7</v>
      </c>
      <c r="C3" s="196" t="s">
        <v>8</v>
      </c>
      <c r="D3" s="196" t="s">
        <v>9</v>
      </c>
      <c r="E3" s="197" t="s">
        <v>10</v>
      </c>
      <c r="F3" s="198" t="s">
        <v>11</v>
      </c>
      <c r="G3" s="198" t="s">
        <v>12</v>
      </c>
      <c r="H3" s="277"/>
    </row>
    <row r="4" spans="1:8" ht="15.95" thickTop="1">
      <c r="A4" s="188"/>
      <c r="B4" s="189"/>
      <c r="C4" s="188"/>
      <c r="D4" s="188"/>
      <c r="E4" s="190"/>
      <c r="F4" s="191"/>
      <c r="G4" s="69"/>
      <c r="H4" s="69"/>
    </row>
    <row r="5" spans="1:8">
      <c r="A5" s="51"/>
      <c r="B5" s="192"/>
      <c r="C5" s="193"/>
      <c r="D5" s="64"/>
      <c r="E5" s="65"/>
      <c r="F5" s="65" t="str">
        <f t="shared" ref="F5" si="0">IF(C5="","",C5*E5)</f>
        <v/>
      </c>
      <c r="G5" s="88"/>
      <c r="H5" s="88"/>
    </row>
    <row r="6" spans="1:8">
      <c r="A6" s="226">
        <v>10</v>
      </c>
      <c r="B6" s="206" t="s">
        <v>13</v>
      </c>
      <c r="C6" s="200"/>
      <c r="D6" s="201"/>
      <c r="E6" s="202"/>
      <c r="F6" s="202"/>
      <c r="G6" s="207"/>
      <c r="H6" s="207"/>
    </row>
    <row r="7" spans="1:8" ht="45">
      <c r="A7" s="228">
        <v>11</v>
      </c>
      <c r="B7" s="199" t="s">
        <v>14</v>
      </c>
      <c r="C7" s="200">
        <v>0</v>
      </c>
      <c r="D7" s="201" t="s">
        <v>15</v>
      </c>
      <c r="E7" s="202">
        <v>400000</v>
      </c>
      <c r="F7" s="330">
        <f t="shared" ref="F7:F21" si="1">C7*E7</f>
        <v>0</v>
      </c>
      <c r="G7" s="385" t="s">
        <v>16</v>
      </c>
      <c r="H7" s="223"/>
    </row>
    <row r="8" spans="1:8" ht="45">
      <c r="A8" s="228">
        <v>12</v>
      </c>
      <c r="B8" s="199" t="s">
        <v>17</v>
      </c>
      <c r="C8" s="200">
        <v>18</v>
      </c>
      <c r="D8" s="201" t="s">
        <v>15</v>
      </c>
      <c r="E8" s="202">
        <v>165000</v>
      </c>
      <c r="F8" s="330">
        <f t="shared" si="1"/>
        <v>2970000</v>
      </c>
      <c r="G8" s="385" t="s">
        <v>16</v>
      </c>
      <c r="H8" s="223"/>
    </row>
    <row r="9" spans="1:8" ht="44.1">
      <c r="A9" s="228">
        <v>13</v>
      </c>
      <c r="B9" s="199" t="s">
        <v>18</v>
      </c>
      <c r="C9" s="200">
        <v>4</v>
      </c>
      <c r="D9" s="201" t="s">
        <v>19</v>
      </c>
      <c r="E9" s="202" t="e">
        <f>#REF!</f>
        <v>#REF!</v>
      </c>
      <c r="F9" s="330" t="e">
        <f t="shared" si="1"/>
        <v>#REF!</v>
      </c>
      <c r="G9" s="321" t="s">
        <v>20</v>
      </c>
      <c r="H9" s="207"/>
    </row>
    <row r="10" spans="1:8" ht="44.1">
      <c r="A10" s="228">
        <v>14</v>
      </c>
      <c r="B10" s="199" t="s">
        <v>21</v>
      </c>
      <c r="C10" s="200">
        <v>4</v>
      </c>
      <c r="D10" s="201" t="s">
        <v>19</v>
      </c>
      <c r="E10" s="202" t="e">
        <f>#REF!</f>
        <v>#REF!</v>
      </c>
      <c r="F10" s="330" t="e">
        <f t="shared" si="1"/>
        <v>#REF!</v>
      </c>
      <c r="G10" s="321" t="s">
        <v>22</v>
      </c>
      <c r="H10" s="207"/>
    </row>
    <row r="11" spans="1:8">
      <c r="A11" s="51"/>
      <c r="B11" s="199"/>
      <c r="C11" s="200"/>
      <c r="D11" s="201"/>
      <c r="E11" s="202"/>
      <c r="F11" s="325"/>
      <c r="G11" s="203"/>
      <c r="H11" s="203"/>
    </row>
    <row r="12" spans="1:8">
      <c r="A12" s="226">
        <v>20</v>
      </c>
      <c r="B12" s="206" t="s">
        <v>23</v>
      </c>
      <c r="C12" s="200"/>
      <c r="D12" s="201"/>
      <c r="E12" s="202"/>
      <c r="F12" s="325"/>
      <c r="G12" s="203"/>
      <c r="H12" s="203"/>
    </row>
    <row r="13" spans="1:8" ht="30">
      <c r="A13" s="51">
        <v>21</v>
      </c>
      <c r="B13" s="205" t="s">
        <v>24</v>
      </c>
      <c r="C13" s="200">
        <v>4</v>
      </c>
      <c r="D13" s="201" t="s">
        <v>19</v>
      </c>
      <c r="E13" s="202" t="e">
        <f>#REF!</f>
        <v>#REF!</v>
      </c>
      <c r="F13" s="325" t="e">
        <f t="shared" ref="F13:F15" si="2">C13*E13</f>
        <v>#REF!</v>
      </c>
      <c r="G13" s="207" t="s">
        <v>25</v>
      </c>
      <c r="H13" s="203"/>
    </row>
    <row r="14" spans="1:8" ht="30">
      <c r="A14" s="51">
        <v>22</v>
      </c>
      <c r="B14" s="205" t="s">
        <v>26</v>
      </c>
      <c r="C14" s="200">
        <v>4</v>
      </c>
      <c r="D14" s="201" t="s">
        <v>19</v>
      </c>
      <c r="E14" s="202" t="e">
        <f>#REF!</f>
        <v>#REF!</v>
      </c>
      <c r="F14" s="325" t="e">
        <f t="shared" si="2"/>
        <v>#REF!</v>
      </c>
      <c r="G14" s="207" t="s">
        <v>25</v>
      </c>
      <c r="H14" s="203"/>
    </row>
    <row r="15" spans="1:8" ht="30">
      <c r="A15" s="51">
        <v>23</v>
      </c>
      <c r="B15" s="205" t="s">
        <v>27</v>
      </c>
      <c r="C15" s="200">
        <v>4</v>
      </c>
      <c r="D15" s="201" t="s">
        <v>19</v>
      </c>
      <c r="E15" s="202">
        <f>10*3000</f>
        <v>30000</v>
      </c>
      <c r="F15" s="325">
        <f t="shared" si="2"/>
        <v>120000</v>
      </c>
      <c r="G15" s="207" t="s">
        <v>25</v>
      </c>
      <c r="H15" s="203"/>
    </row>
    <row r="16" spans="1:8">
      <c r="A16" s="51"/>
      <c r="B16" s="205"/>
      <c r="C16" s="200"/>
      <c r="D16" s="201"/>
      <c r="E16" s="202"/>
      <c r="F16" s="325"/>
      <c r="G16" s="203"/>
      <c r="H16" s="203"/>
    </row>
    <row r="17" spans="1:10">
      <c r="A17" s="226">
        <v>30</v>
      </c>
      <c r="B17" s="206" t="s">
        <v>28</v>
      </c>
      <c r="C17" s="200"/>
      <c r="D17" s="201"/>
      <c r="E17" s="202"/>
      <c r="F17" s="325"/>
      <c r="G17" s="203"/>
      <c r="H17" s="331" t="e">
        <f>(E13+E14)/52</f>
        <v>#REF!</v>
      </c>
      <c r="I17" s="225" t="e">
        <f>H17/7</f>
        <v>#REF!</v>
      </c>
      <c r="J17" s="225" t="e">
        <f>I17/24</f>
        <v>#REF!</v>
      </c>
    </row>
    <row r="18" spans="1:10" ht="30">
      <c r="A18" s="51">
        <v>31</v>
      </c>
      <c r="B18" s="205" t="s">
        <v>29</v>
      </c>
      <c r="C18" s="200">
        <v>4</v>
      </c>
      <c r="D18" s="201" t="s">
        <v>19</v>
      </c>
      <c r="E18" s="202">
        <v>250000</v>
      </c>
      <c r="F18" s="325">
        <f t="shared" si="1"/>
        <v>1000000</v>
      </c>
      <c r="G18" s="207" t="s">
        <v>30</v>
      </c>
      <c r="H18" s="203"/>
    </row>
    <row r="19" spans="1:10">
      <c r="A19" s="51"/>
      <c r="B19" s="199"/>
      <c r="C19" s="200"/>
      <c r="D19" s="201"/>
      <c r="E19" s="202"/>
      <c r="F19" s="325"/>
      <c r="G19" s="203"/>
      <c r="H19" s="203"/>
    </row>
    <row r="20" spans="1:10">
      <c r="A20" s="226">
        <v>40</v>
      </c>
      <c r="B20" s="206" t="s">
        <v>31</v>
      </c>
      <c r="C20" s="200"/>
      <c r="D20" s="201"/>
      <c r="E20" s="202"/>
      <c r="F20" s="325"/>
      <c r="G20" s="203"/>
      <c r="H20" s="203"/>
    </row>
    <row r="21" spans="1:10" ht="44.1">
      <c r="A21" s="228">
        <v>41</v>
      </c>
      <c r="B21" s="205" t="s">
        <v>32</v>
      </c>
      <c r="C21" s="200">
        <v>4</v>
      </c>
      <c r="D21" s="201" t="s">
        <v>19</v>
      </c>
      <c r="E21" s="320">
        <f>850000</f>
        <v>850000</v>
      </c>
      <c r="F21" s="325">
        <f t="shared" si="1"/>
        <v>3400000</v>
      </c>
      <c r="G21" s="207" t="s">
        <v>33</v>
      </c>
      <c r="H21" s="203"/>
    </row>
    <row r="22" spans="1:10">
      <c r="A22" s="51"/>
      <c r="B22" s="199"/>
      <c r="C22" s="200"/>
      <c r="D22" s="201"/>
      <c r="E22" s="202"/>
      <c r="F22" s="325"/>
      <c r="G22" s="203"/>
      <c r="H22" s="203"/>
    </row>
    <row r="23" spans="1:10">
      <c r="A23" s="226">
        <v>50</v>
      </c>
      <c r="B23" s="206" t="s">
        <v>34</v>
      </c>
      <c r="C23" s="204"/>
      <c r="D23" s="201"/>
      <c r="E23" s="202"/>
      <c r="F23" s="325"/>
      <c r="G23" s="203"/>
      <c r="H23" s="203"/>
    </row>
    <row r="24" spans="1:10" ht="116.1" customHeight="1">
      <c r="A24" s="51" t="s">
        <v>35</v>
      </c>
      <c r="B24" s="205" t="s">
        <v>36</v>
      </c>
      <c r="C24" s="204">
        <v>4</v>
      </c>
      <c r="D24" s="201" t="s">
        <v>19</v>
      </c>
      <c r="E24" s="202">
        <f>2.5*400000</f>
        <v>1000000</v>
      </c>
      <c r="F24" s="325">
        <f t="shared" ref="F24:F28" si="3">C24*E24</f>
        <v>4000000</v>
      </c>
      <c r="G24" s="321" t="s">
        <v>37</v>
      </c>
      <c r="H24" s="207"/>
    </row>
    <row r="25" spans="1:10">
      <c r="A25" s="51"/>
      <c r="B25" s="205"/>
      <c r="C25" s="204"/>
      <c r="D25" s="201"/>
      <c r="E25" s="202"/>
      <c r="F25" s="325"/>
      <c r="G25" s="207"/>
      <c r="H25" s="207"/>
    </row>
    <row r="26" spans="1:10">
      <c r="A26" s="226">
        <v>60</v>
      </c>
      <c r="B26" s="206" t="s">
        <v>38</v>
      </c>
      <c r="C26" s="204"/>
      <c r="D26" s="201"/>
      <c r="E26" s="202"/>
      <c r="F26" s="325"/>
      <c r="G26" s="207"/>
      <c r="H26" s="207"/>
    </row>
    <row r="27" spans="1:10" ht="44.1">
      <c r="A27" s="51"/>
      <c r="B27" s="301" t="s">
        <v>39</v>
      </c>
      <c r="C27" s="204">
        <v>93</v>
      </c>
      <c r="D27" s="201" t="s">
        <v>15</v>
      </c>
      <c r="E27" s="202">
        <v>20000</v>
      </c>
      <c r="F27" s="325">
        <f t="shared" si="3"/>
        <v>1860000</v>
      </c>
      <c r="G27" s="326" t="s">
        <v>40</v>
      </c>
      <c r="H27" s="207"/>
    </row>
    <row r="28" spans="1:10" ht="44.1">
      <c r="A28" s="51"/>
      <c r="B28" s="301" t="s">
        <v>41</v>
      </c>
      <c r="C28" s="204">
        <v>4</v>
      </c>
      <c r="D28" s="201" t="s">
        <v>19</v>
      </c>
      <c r="E28" s="202">
        <f>93*1250</f>
        <v>116250</v>
      </c>
      <c r="F28" s="325">
        <f t="shared" si="3"/>
        <v>465000</v>
      </c>
      <c r="G28" s="326" t="s">
        <v>42</v>
      </c>
      <c r="H28" s="207"/>
    </row>
    <row r="29" spans="1:10">
      <c r="B29" s="192"/>
      <c r="C29" s="193"/>
      <c r="D29" s="64"/>
      <c r="E29" s="65"/>
      <c r="F29" s="65"/>
      <c r="G29" s="88"/>
      <c r="H29" s="88"/>
    </row>
    <row r="30" spans="1:10">
      <c r="B30" s="60" t="s">
        <v>43</v>
      </c>
      <c r="C30" s="61"/>
      <c r="D30" s="61"/>
      <c r="E30" s="62"/>
      <c r="F30" s="63" t="e">
        <f>SUM(F5:F29)</f>
        <v>#REF!</v>
      </c>
      <c r="G30" s="207" t="s">
        <v>44</v>
      </c>
      <c r="H30" s="207"/>
    </row>
    <row r="31" spans="1:10" outlineLevel="2">
      <c r="B31" s="13" t="s">
        <v>45</v>
      </c>
      <c r="C31" s="39">
        <v>0</v>
      </c>
      <c r="D31" s="11" t="s">
        <v>46</v>
      </c>
      <c r="E31" s="12" t="e">
        <f>F30</f>
        <v>#REF!</v>
      </c>
      <c r="F31" s="12" t="e">
        <f>C31*E31</f>
        <v>#REF!</v>
      </c>
    </row>
    <row r="32" spans="1:10" outlineLevel="1">
      <c r="B32" s="366" t="s">
        <v>47</v>
      </c>
      <c r="C32" s="367"/>
      <c r="D32" s="367"/>
      <c r="E32" s="380"/>
      <c r="F32" s="368" t="e">
        <f>SUM(F30:F31)</f>
        <v>#REF!</v>
      </c>
    </row>
    <row r="33" spans="2:8" outlineLevel="2">
      <c r="B33" s="14" t="s">
        <v>48</v>
      </c>
      <c r="C33" s="39">
        <v>0</v>
      </c>
      <c r="D33" s="11" t="s">
        <v>46</v>
      </c>
      <c r="E33" s="12" t="e">
        <f>F30</f>
        <v>#REF!</v>
      </c>
      <c r="F33" s="12" t="e">
        <f t="shared" ref="F33:F38" si="4">C33*E33</f>
        <v>#REF!</v>
      </c>
    </row>
    <row r="34" spans="2:8" outlineLevel="2">
      <c r="B34" s="13" t="s">
        <v>49</v>
      </c>
      <c r="C34" s="39">
        <v>0</v>
      </c>
      <c r="D34" s="11" t="s">
        <v>46</v>
      </c>
      <c r="E34" s="12" t="e">
        <f>F30</f>
        <v>#REF!</v>
      </c>
      <c r="F34" s="12" t="e">
        <f t="shared" si="4"/>
        <v>#REF!</v>
      </c>
    </row>
    <row r="35" spans="2:8" outlineLevel="2">
      <c r="B35" s="13" t="s">
        <v>50</v>
      </c>
      <c r="C35" s="39">
        <v>0</v>
      </c>
      <c r="D35" s="11" t="s">
        <v>46</v>
      </c>
      <c r="E35" s="12" t="e">
        <f>F30</f>
        <v>#REF!</v>
      </c>
      <c r="F35" s="12" t="e">
        <f t="shared" si="4"/>
        <v>#REF!</v>
      </c>
    </row>
    <row r="36" spans="2:8" outlineLevel="2">
      <c r="B36" s="13" t="s">
        <v>51</v>
      </c>
      <c r="C36" s="39">
        <v>0</v>
      </c>
      <c r="D36" s="11" t="s">
        <v>46</v>
      </c>
      <c r="E36" s="12" t="e">
        <f>SUM($F$32:$F$35)</f>
        <v>#REF!</v>
      </c>
      <c r="F36" s="12" t="e">
        <f t="shared" si="4"/>
        <v>#REF!</v>
      </c>
    </row>
    <row r="37" spans="2:8" outlineLevel="2">
      <c r="B37" s="13" t="s">
        <v>52</v>
      </c>
      <c r="C37" s="39">
        <v>0</v>
      </c>
      <c r="D37" s="11" t="s">
        <v>46</v>
      </c>
      <c r="E37" s="12" t="e">
        <f>SUM($F$32:$F$36)</f>
        <v>#REF!</v>
      </c>
      <c r="F37" s="12" t="e">
        <f t="shared" si="4"/>
        <v>#REF!</v>
      </c>
    </row>
    <row r="38" spans="2:8" outlineLevel="2">
      <c r="B38" s="13" t="s">
        <v>53</v>
      </c>
      <c r="C38" s="39">
        <v>0</v>
      </c>
      <c r="D38" s="11" t="s">
        <v>46</v>
      </c>
      <c r="E38" s="12" t="e">
        <f>SUM($F$32:$F$36)</f>
        <v>#REF!</v>
      </c>
      <c r="F38" s="12" t="e">
        <f t="shared" si="4"/>
        <v>#REF!</v>
      </c>
    </row>
    <row r="39" spans="2:8" ht="29.1" outlineLevel="1" thickBot="1">
      <c r="B39" s="366" t="s">
        <v>54</v>
      </c>
      <c r="C39" s="369" t="e">
        <f>IF(F32=0,"",F39/F32)</f>
        <v>#REF!</v>
      </c>
      <c r="D39" s="370" t="s">
        <v>55</v>
      </c>
      <c r="E39" s="381"/>
      <c r="F39" s="368" t="e">
        <f>SUM(F33:F38)</f>
        <v>#REF!</v>
      </c>
      <c r="G39" s="207" t="s">
        <v>56</v>
      </c>
      <c r="H39" s="207"/>
    </row>
    <row r="40" spans="2:8" ht="15.95" outlineLevel="1" thickTop="1">
      <c r="B40" s="15" t="str">
        <f>"Voorziene bouwkosten "</f>
        <v xml:space="preserve">Voorziene bouwkosten </v>
      </c>
      <c r="C40" s="16"/>
      <c r="D40" s="16"/>
      <c r="E40" s="17"/>
      <c r="F40" s="17" t="e">
        <f>SUM(F39,F32)</f>
        <v>#REF!</v>
      </c>
      <c r="G40" s="203"/>
      <c r="H40" s="203"/>
    </row>
    <row r="41" spans="2:8" outlineLevel="1">
      <c r="B41" s="133"/>
      <c r="C41" s="134"/>
      <c r="D41" s="134"/>
      <c r="E41" s="63"/>
      <c r="F41" s="63"/>
      <c r="G41" s="203"/>
      <c r="H41" s="203"/>
    </row>
    <row r="42" spans="2:8" outlineLevel="3">
      <c r="B42" s="18" t="s">
        <v>57</v>
      </c>
      <c r="C42" s="39">
        <v>0</v>
      </c>
      <c r="D42" s="11" t="s">
        <v>46</v>
      </c>
      <c r="E42" s="12" t="e">
        <f>F40</f>
        <v>#REF!</v>
      </c>
      <c r="F42" s="12" t="e">
        <f>C42*E42</f>
        <v>#REF!</v>
      </c>
      <c r="G42" s="207"/>
      <c r="H42" s="207"/>
    </row>
    <row r="43" spans="2:8" ht="24.95" outlineLevel="1" thickBot="1">
      <c r="B43" s="371" t="s">
        <v>58</v>
      </c>
      <c r="C43" s="369" t="e">
        <f>IF(F40=0,"",F43/F40)</f>
        <v>#REF!</v>
      </c>
      <c r="D43" s="370" t="s">
        <v>59</v>
      </c>
      <c r="E43" s="381"/>
      <c r="F43" s="368" t="e">
        <f>SUM(F42:F42)</f>
        <v>#REF!</v>
      </c>
      <c r="G43" s="203"/>
      <c r="H43" s="203"/>
    </row>
    <row r="44" spans="2:8" ht="15.95" thickTop="1">
      <c r="B44" s="19" t="str">
        <f>"Bouwkosten "&amp;B1</f>
        <v>Bouwkosten IPC 1-05-2024 tot 01-05-2028 (4 jaar)</v>
      </c>
      <c r="C44" s="20"/>
      <c r="D44" s="20"/>
      <c r="E44" s="21"/>
      <c r="F44" s="21" t="e">
        <f>SUM(F43,F40)</f>
        <v>#REF!</v>
      </c>
    </row>
    <row r="45" spans="2:8" ht="15.95" thickBot="1">
      <c r="B45" s="22"/>
      <c r="C45" s="23"/>
      <c r="D45" s="24"/>
      <c r="E45" s="25"/>
      <c r="F45" s="25"/>
    </row>
    <row r="46" spans="2:8" ht="15.95" hidden="1" outlineLevel="1" thickBot="1">
      <c r="B46" s="40" t="s">
        <v>60</v>
      </c>
      <c r="C46" s="41">
        <v>0</v>
      </c>
      <c r="D46" s="42" t="s">
        <v>61</v>
      </c>
      <c r="E46" s="43">
        <v>0</v>
      </c>
      <c r="F46" s="27">
        <f t="shared" ref="F46:F53" si="5">C46*E46</f>
        <v>0</v>
      </c>
    </row>
    <row r="47" spans="2:8" ht="15.95" hidden="1" outlineLevel="1" thickBot="1">
      <c r="B47" s="44" t="s">
        <v>62</v>
      </c>
      <c r="C47" s="45">
        <v>0</v>
      </c>
      <c r="D47" s="46" t="s">
        <v>61</v>
      </c>
      <c r="E47" s="47">
        <v>0</v>
      </c>
      <c r="F47" s="12">
        <f t="shared" si="5"/>
        <v>0</v>
      </c>
    </row>
    <row r="48" spans="2:8" ht="15.95" hidden="1" outlineLevel="1" thickBot="1">
      <c r="B48" s="44" t="s">
        <v>63</v>
      </c>
      <c r="C48" s="45">
        <v>0</v>
      </c>
      <c r="D48" s="46" t="s">
        <v>61</v>
      </c>
      <c r="E48" s="47">
        <v>0</v>
      </c>
      <c r="F48" s="12">
        <f t="shared" si="5"/>
        <v>0</v>
      </c>
    </row>
    <row r="49" spans="2:6" ht="15.95" hidden="1" outlineLevel="1" thickBot="1">
      <c r="B49" s="44" t="s">
        <v>64</v>
      </c>
      <c r="C49" s="45">
        <v>0</v>
      </c>
      <c r="D49" s="46" t="s">
        <v>61</v>
      </c>
      <c r="E49" s="47">
        <v>0</v>
      </c>
      <c r="F49" s="12">
        <f t="shared" si="5"/>
        <v>0</v>
      </c>
    </row>
    <row r="50" spans="2:6" ht="15.95" hidden="1" outlineLevel="1" thickBot="1">
      <c r="B50" s="44" t="s">
        <v>65</v>
      </c>
      <c r="C50" s="45">
        <v>0</v>
      </c>
      <c r="D50" s="46" t="s">
        <v>61</v>
      </c>
      <c r="E50" s="47">
        <v>0</v>
      </c>
      <c r="F50" s="12">
        <f t="shared" si="5"/>
        <v>0</v>
      </c>
    </row>
    <row r="51" spans="2:6" ht="15.95" hidden="1" outlineLevel="1" thickBot="1">
      <c r="B51" s="44" t="s">
        <v>66</v>
      </c>
      <c r="C51" s="45">
        <v>0</v>
      </c>
      <c r="D51" s="46" t="s">
        <v>61</v>
      </c>
      <c r="E51" s="47">
        <v>0</v>
      </c>
      <c r="F51" s="12">
        <f t="shared" si="5"/>
        <v>0</v>
      </c>
    </row>
    <row r="52" spans="2:6" ht="15.95" hidden="1" outlineLevel="1" thickBot="1">
      <c r="B52" s="44" t="s">
        <v>67</v>
      </c>
      <c r="C52" s="45">
        <v>0</v>
      </c>
      <c r="D52" s="46" t="s">
        <v>61</v>
      </c>
      <c r="E52" s="47">
        <v>0</v>
      </c>
      <c r="F52" s="12">
        <f t="shared" si="5"/>
        <v>0</v>
      </c>
    </row>
    <row r="53" spans="2:6" ht="15.95" hidden="1" outlineLevel="1" thickBot="1">
      <c r="B53" s="44" t="s">
        <v>67</v>
      </c>
      <c r="C53" s="45">
        <v>0</v>
      </c>
      <c r="D53" s="46" t="s">
        <v>61</v>
      </c>
      <c r="E53" s="47">
        <v>0</v>
      </c>
      <c r="F53" s="12">
        <f t="shared" si="5"/>
        <v>0</v>
      </c>
    </row>
    <row r="54" spans="2:6" ht="15.95" hidden="1" outlineLevel="1" thickBot="1">
      <c r="B54" s="372" t="s">
        <v>68</v>
      </c>
      <c r="C54" s="367"/>
      <c r="D54" s="367"/>
      <c r="E54" s="380"/>
      <c r="F54" s="368">
        <f>SUM(F46:F53)</f>
        <v>0</v>
      </c>
    </row>
    <row r="55" spans="2:6" ht="15.95" hidden="1" outlineLevel="1" thickBot="1">
      <c r="B55" s="13" t="s">
        <v>69</v>
      </c>
      <c r="C55" s="39">
        <v>0</v>
      </c>
      <c r="D55" s="11" t="s">
        <v>46</v>
      </c>
      <c r="E55" s="12">
        <f>F54</f>
        <v>0</v>
      </c>
      <c r="F55" s="12">
        <f>C55*E55</f>
        <v>0</v>
      </c>
    </row>
    <row r="56" spans="2:6" ht="15.95" hidden="1" outlineLevel="1" thickBot="1">
      <c r="B56" s="366" t="s">
        <v>70</v>
      </c>
      <c r="C56" s="367"/>
      <c r="D56" s="367"/>
      <c r="E56" s="380"/>
      <c r="F56" s="368">
        <f>SUM(F54:F55)</f>
        <v>0</v>
      </c>
    </row>
    <row r="57" spans="2:6" ht="15.95" hidden="1" outlineLevel="1" thickBot="1">
      <c r="B57" s="13" t="s">
        <v>71</v>
      </c>
      <c r="C57" s="45">
        <v>0</v>
      </c>
      <c r="D57" s="46" t="s">
        <v>72</v>
      </c>
      <c r="E57" s="48">
        <v>0</v>
      </c>
      <c r="F57" s="12">
        <f t="shared" ref="F57:F65" si="6">C57*E57</f>
        <v>0</v>
      </c>
    </row>
    <row r="58" spans="2:6" ht="15.95" hidden="1" outlineLevel="1" thickBot="1">
      <c r="B58" s="13" t="s">
        <v>73</v>
      </c>
      <c r="C58" s="45">
        <v>0</v>
      </c>
      <c r="D58" s="46" t="s">
        <v>72</v>
      </c>
      <c r="E58" s="48">
        <v>0</v>
      </c>
      <c r="F58" s="12">
        <f t="shared" si="6"/>
        <v>0</v>
      </c>
    </row>
    <row r="59" spans="2:6" ht="15.95" hidden="1" outlineLevel="1" thickBot="1">
      <c r="B59" s="13" t="s">
        <v>74</v>
      </c>
      <c r="C59" s="45">
        <v>0</v>
      </c>
      <c r="D59" s="46" t="s">
        <v>75</v>
      </c>
      <c r="E59" s="48">
        <v>0</v>
      </c>
      <c r="F59" s="12">
        <f t="shared" si="6"/>
        <v>0</v>
      </c>
    </row>
    <row r="60" spans="2:6" ht="15.95" hidden="1" outlineLevel="1" thickBot="1">
      <c r="B60" s="13" t="s">
        <v>76</v>
      </c>
      <c r="C60" s="49">
        <v>0</v>
      </c>
      <c r="D60" s="11" t="s">
        <v>46</v>
      </c>
      <c r="E60" s="12"/>
      <c r="F60" s="12">
        <f t="shared" si="6"/>
        <v>0</v>
      </c>
    </row>
    <row r="61" spans="2:6" ht="15.95" hidden="1" outlineLevel="1" thickBot="1">
      <c r="B61" s="13" t="s">
        <v>77</v>
      </c>
      <c r="C61" s="49">
        <v>0</v>
      </c>
      <c r="D61" s="11" t="s">
        <v>46</v>
      </c>
      <c r="E61" s="12"/>
      <c r="F61" s="12">
        <f t="shared" si="6"/>
        <v>0</v>
      </c>
    </row>
    <row r="62" spans="2:6" ht="15.95" hidden="1" outlineLevel="1" thickBot="1">
      <c r="B62" s="13" t="s">
        <v>78</v>
      </c>
      <c r="C62" s="49">
        <v>0</v>
      </c>
      <c r="D62" s="11" t="s">
        <v>46</v>
      </c>
      <c r="E62" s="12"/>
      <c r="F62" s="12">
        <f t="shared" si="6"/>
        <v>0</v>
      </c>
    </row>
    <row r="63" spans="2:6" ht="15.95" hidden="1" outlineLevel="1" thickBot="1">
      <c r="B63" s="13" t="s">
        <v>51</v>
      </c>
      <c r="C63" s="49">
        <v>0</v>
      </c>
      <c r="D63" s="11" t="s">
        <v>46</v>
      </c>
      <c r="E63" s="12">
        <f>SUM($G$42:$G$51)</f>
        <v>0</v>
      </c>
      <c r="F63" s="12">
        <f t="shared" si="6"/>
        <v>0</v>
      </c>
    </row>
    <row r="64" spans="2:6" ht="15.95" hidden="1" outlineLevel="1" thickBot="1">
      <c r="B64" s="13" t="s">
        <v>52</v>
      </c>
      <c r="C64" s="49">
        <v>0</v>
      </c>
      <c r="D64" s="11" t="s">
        <v>46</v>
      </c>
      <c r="E64" s="12">
        <f>SUM($G$42:$G$52)</f>
        <v>0</v>
      </c>
      <c r="F64" s="12">
        <f t="shared" si="6"/>
        <v>0</v>
      </c>
    </row>
    <row r="65" spans="2:8" ht="15.75" hidden="1" customHeight="1" outlineLevel="1">
      <c r="B65" s="13" t="s">
        <v>53</v>
      </c>
      <c r="C65" s="49">
        <v>0</v>
      </c>
      <c r="D65" s="11" t="s">
        <v>46</v>
      </c>
      <c r="E65" s="12">
        <f>SUM($G$42:$G$52)</f>
        <v>0</v>
      </c>
      <c r="F65" s="12">
        <f t="shared" si="6"/>
        <v>0</v>
      </c>
    </row>
    <row r="66" spans="2:8" ht="24.95" hidden="1" outlineLevel="1" thickBot="1">
      <c r="B66" s="366" t="s">
        <v>79</v>
      </c>
      <c r="C66" s="369" t="str">
        <f>IF(F56=0,"",F66/F56)</f>
        <v/>
      </c>
      <c r="D66" s="370" t="s">
        <v>80</v>
      </c>
      <c r="E66" s="381"/>
      <c r="F66" s="368">
        <f>SUM(F57:F65)</f>
        <v>0</v>
      </c>
    </row>
    <row r="67" spans="2:8" ht="17.100000000000001" hidden="1" outlineLevel="1" thickTop="1" thickBot="1">
      <c r="B67" s="15" t="str">
        <f>"Voorziene vastgoedkosten "</f>
        <v xml:space="preserve">Voorziene vastgoedkosten </v>
      </c>
      <c r="C67" s="16"/>
      <c r="D67" s="16"/>
      <c r="E67" s="17"/>
      <c r="F67" s="17">
        <f>SUM(F66,F56)</f>
        <v>0</v>
      </c>
    </row>
    <row r="68" spans="2:8" ht="15.75" hidden="1" customHeight="1" outlineLevel="1">
      <c r="B68" s="18" t="s">
        <v>81</v>
      </c>
      <c r="C68" s="39">
        <v>0</v>
      </c>
      <c r="D68" s="11" t="s">
        <v>46</v>
      </c>
      <c r="E68" s="12">
        <f>$G$56</f>
        <v>0</v>
      </c>
      <c r="F68" s="12">
        <f>C68*E68</f>
        <v>0</v>
      </c>
    </row>
    <row r="69" spans="2:8" ht="24.95" hidden="1" outlineLevel="1" thickBot="1">
      <c r="B69" s="371" t="s">
        <v>82</v>
      </c>
      <c r="C69" s="369" t="str">
        <f>IF(F67=0,"",F69/F67)</f>
        <v/>
      </c>
      <c r="D69" s="370" t="s">
        <v>83</v>
      </c>
      <c r="E69" s="381"/>
      <c r="F69" s="368">
        <f>SUM(F68:F68)</f>
        <v>0</v>
      </c>
    </row>
    <row r="70" spans="2:8" ht="15.95" collapsed="1" thickTop="1">
      <c r="B70" s="19" t="str">
        <f>"Vastgoedkosten "&amp;B1</f>
        <v>Vastgoedkosten IPC 1-05-2024 tot 01-05-2028 (4 jaar)</v>
      </c>
      <c r="C70" s="20"/>
      <c r="D70" s="20"/>
      <c r="E70" s="21"/>
      <c r="F70" s="28">
        <f>SUM(F69,F67)</f>
        <v>0</v>
      </c>
      <c r="G70" s="1" t="s">
        <v>84</v>
      </c>
    </row>
    <row r="71" spans="2:8">
      <c r="B71" s="29"/>
      <c r="C71" s="30"/>
      <c r="D71" s="31"/>
      <c r="E71" s="32"/>
      <c r="F71" s="32"/>
    </row>
    <row r="72" spans="2:8" ht="27.95" outlineLevel="1">
      <c r="B72" s="33" t="s">
        <v>85</v>
      </c>
      <c r="C72" s="227">
        <v>1</v>
      </c>
      <c r="D72" s="11" t="s">
        <v>86</v>
      </c>
      <c r="E72" s="12">
        <v>200000</v>
      </c>
      <c r="F72" s="27">
        <f>E72*C72</f>
        <v>200000</v>
      </c>
      <c r="G72" s="207" t="s">
        <v>87</v>
      </c>
      <c r="H72" s="207"/>
    </row>
    <row r="73" spans="2:8" outlineLevel="1">
      <c r="B73" s="34" t="s">
        <v>88</v>
      </c>
      <c r="C73" s="39">
        <v>0</v>
      </c>
      <c r="D73" s="11" t="s">
        <v>46</v>
      </c>
      <c r="E73" s="12" t="e">
        <f>F40</f>
        <v>#REF!</v>
      </c>
      <c r="F73" s="12" t="e">
        <f t="shared" ref="F73:F77" si="7">C73*E73</f>
        <v>#REF!</v>
      </c>
    </row>
    <row r="74" spans="2:8" outlineLevel="1">
      <c r="B74" s="34" t="s">
        <v>89</v>
      </c>
      <c r="C74" s="39">
        <v>0</v>
      </c>
      <c r="D74" s="11" t="s">
        <v>46</v>
      </c>
      <c r="E74" s="12" t="e">
        <f>F40</f>
        <v>#REF!</v>
      </c>
      <c r="F74" s="12" t="e">
        <f t="shared" si="7"/>
        <v>#REF!</v>
      </c>
    </row>
    <row r="75" spans="2:8" outlineLevel="1">
      <c r="B75" s="34" t="s">
        <v>89</v>
      </c>
      <c r="C75" s="39">
        <v>0</v>
      </c>
      <c r="D75" s="11" t="s">
        <v>46</v>
      </c>
      <c r="E75" s="12" t="e">
        <f>F40</f>
        <v>#REF!</v>
      </c>
      <c r="F75" s="12" t="e">
        <f t="shared" si="7"/>
        <v>#REF!</v>
      </c>
      <c r="G75" s="207"/>
      <c r="H75" s="207"/>
    </row>
    <row r="76" spans="2:8" outlineLevel="1">
      <c r="B76" s="34" t="s">
        <v>89</v>
      </c>
      <c r="C76" s="39">
        <v>0</v>
      </c>
      <c r="D76" s="11" t="s">
        <v>46</v>
      </c>
      <c r="E76" s="12" t="e">
        <f>F40</f>
        <v>#REF!</v>
      </c>
      <c r="F76" s="12" t="e">
        <f t="shared" si="7"/>
        <v>#REF!</v>
      </c>
      <c r="G76" s="207"/>
      <c r="H76" s="207"/>
    </row>
    <row r="77" spans="2:8" outlineLevel="1">
      <c r="B77" s="34" t="s">
        <v>90</v>
      </c>
      <c r="C77" s="39">
        <v>0</v>
      </c>
      <c r="D77" s="11" t="s">
        <v>46</v>
      </c>
      <c r="E77" s="12" t="e">
        <f>F40</f>
        <v>#REF!</v>
      </c>
      <c r="F77" s="12" t="e">
        <f t="shared" si="7"/>
        <v>#REF!</v>
      </c>
      <c r="G77" s="207"/>
      <c r="H77" s="207"/>
    </row>
    <row r="78" spans="2:8" ht="15.95" thickBot="1">
      <c r="B78" s="372" t="s">
        <v>91</v>
      </c>
      <c r="C78" s="367"/>
      <c r="D78" s="367"/>
      <c r="E78" s="380"/>
      <c r="F78" s="368" t="e">
        <f>SUM(F72:F77)</f>
        <v>#REF!</v>
      </c>
      <c r="G78" s="207"/>
      <c r="H78" s="207"/>
    </row>
    <row r="79" spans="2:8" ht="15.95" hidden="1" outlineLevel="1" thickBot="1">
      <c r="B79" s="13" t="s">
        <v>92</v>
      </c>
      <c r="C79" s="39">
        <v>0</v>
      </c>
      <c r="D79" s="11" t="s">
        <v>46</v>
      </c>
      <c r="E79" s="12" t="e">
        <f>F78</f>
        <v>#REF!</v>
      </c>
      <c r="F79" s="12" t="e">
        <f>C79*E79</f>
        <v>#REF!</v>
      </c>
      <c r="G79" s="207"/>
      <c r="H79" s="207"/>
    </row>
    <row r="80" spans="2:8" ht="15.95" hidden="1" outlineLevel="1" collapsed="1" thickBot="1">
      <c r="B80" s="366" t="s">
        <v>93</v>
      </c>
      <c r="C80" s="367"/>
      <c r="D80" s="367"/>
      <c r="E80" s="380"/>
      <c r="F80" s="368" t="e">
        <f>SUM(F78:F79)</f>
        <v>#REF!</v>
      </c>
      <c r="G80" s="207"/>
      <c r="H80" s="207"/>
    </row>
    <row r="81" spans="2:8" ht="15.95" hidden="1" outlineLevel="2" thickBot="1">
      <c r="B81" s="13" t="s">
        <v>48</v>
      </c>
      <c r="C81" s="39">
        <v>0</v>
      </c>
      <c r="D81" s="11" t="s">
        <v>46</v>
      </c>
      <c r="E81" s="12" t="e">
        <f>F80</f>
        <v>#REF!</v>
      </c>
      <c r="F81" s="12" t="e">
        <f>C81*E81</f>
        <v>#REF!</v>
      </c>
      <c r="G81" s="207"/>
      <c r="H81" s="207"/>
    </row>
    <row r="82" spans="2:8" ht="15.95" hidden="1" outlineLevel="2" thickBot="1">
      <c r="B82" s="13" t="s">
        <v>51</v>
      </c>
      <c r="C82" s="39">
        <v>0</v>
      </c>
      <c r="D82" s="11" t="s">
        <v>46</v>
      </c>
      <c r="E82" s="12" t="e">
        <f>F80</f>
        <v>#REF!</v>
      </c>
      <c r="F82" s="12" t="e">
        <f>C82*E82</f>
        <v>#REF!</v>
      </c>
      <c r="G82" s="207"/>
      <c r="H82" s="207"/>
    </row>
    <row r="83" spans="2:8" ht="15.95" hidden="1" outlineLevel="2" thickBot="1">
      <c r="B83" s="13" t="s">
        <v>52</v>
      </c>
      <c r="C83" s="39">
        <v>0</v>
      </c>
      <c r="D83" s="11" t="s">
        <v>46</v>
      </c>
      <c r="E83" s="12" t="e">
        <f>F80</f>
        <v>#REF!</v>
      </c>
      <c r="F83" s="12" t="e">
        <f>C83*E83</f>
        <v>#REF!</v>
      </c>
      <c r="G83" s="207"/>
      <c r="H83" s="207"/>
    </row>
    <row r="84" spans="2:8" ht="15.75" hidden="1" customHeight="1" outlineLevel="2">
      <c r="B84" s="13" t="s">
        <v>53</v>
      </c>
      <c r="C84" s="39">
        <v>0</v>
      </c>
      <c r="D84" s="11" t="s">
        <v>46</v>
      </c>
      <c r="E84" s="12" t="e">
        <f>F80</f>
        <v>#REF!</v>
      </c>
      <c r="F84" s="12" t="e">
        <f>C84*E84</f>
        <v>#REF!</v>
      </c>
      <c r="G84" s="207"/>
      <c r="H84" s="207"/>
    </row>
    <row r="85" spans="2:8" ht="24.95" hidden="1" outlineLevel="1" collapsed="1" thickBot="1">
      <c r="B85" s="366" t="s">
        <v>94</v>
      </c>
      <c r="C85" s="369" t="e">
        <f>IF(F80=0,"",F85/F80)</f>
        <v>#REF!</v>
      </c>
      <c r="D85" s="370" t="s">
        <v>95</v>
      </c>
      <c r="E85" s="381"/>
      <c r="F85" s="368" t="e">
        <f>SUM(F81:F84)</f>
        <v>#REF!</v>
      </c>
      <c r="G85" s="207"/>
      <c r="H85" s="207"/>
    </row>
    <row r="86" spans="2:8" ht="17.100000000000001" hidden="1" outlineLevel="1" thickTop="1" thickBot="1">
      <c r="B86" s="15" t="str">
        <f>"Voorziene engineeringskosten "</f>
        <v xml:space="preserve">Voorziene engineeringskosten </v>
      </c>
      <c r="C86" s="16"/>
      <c r="D86" s="16"/>
      <c r="E86" s="17"/>
      <c r="F86" s="17" t="e">
        <f>SUM(F85,F80)</f>
        <v>#REF!</v>
      </c>
      <c r="G86" s="207"/>
      <c r="H86" s="207"/>
    </row>
    <row r="87" spans="2:8" ht="15.75" hidden="1" customHeight="1" outlineLevel="2">
      <c r="B87" s="18" t="s">
        <v>96</v>
      </c>
      <c r="C87" s="39">
        <v>0</v>
      </c>
      <c r="D87" s="11" t="s">
        <v>46</v>
      </c>
      <c r="E87" s="12"/>
      <c r="F87" s="12">
        <f>C87*E87</f>
        <v>0</v>
      </c>
      <c r="G87" s="207"/>
      <c r="H87" s="207"/>
    </row>
    <row r="88" spans="2:8" ht="24.95" hidden="1" outlineLevel="1" collapsed="1" thickBot="1">
      <c r="B88" s="371" t="s">
        <v>97</v>
      </c>
      <c r="C88" s="369" t="e">
        <f>IF(F86=0,"",F88/F86)</f>
        <v>#REF!</v>
      </c>
      <c r="D88" s="370" t="s">
        <v>98</v>
      </c>
      <c r="E88" s="381"/>
      <c r="F88" s="368">
        <f>SUM(F87:F87)</f>
        <v>0</v>
      </c>
      <c r="G88" s="207"/>
      <c r="H88" s="207"/>
    </row>
    <row r="89" spans="2:8" ht="15.95" collapsed="1" thickTop="1">
      <c r="B89" s="19" t="str">
        <f>"Engineeringskosten "&amp;B1</f>
        <v>Engineeringskosten IPC 1-05-2024 tot 01-05-2028 (4 jaar)</v>
      </c>
      <c r="C89" s="20"/>
      <c r="D89" s="20"/>
      <c r="E89" s="21"/>
      <c r="F89" s="28" t="e">
        <f>SUM(F88,F86)</f>
        <v>#REF!</v>
      </c>
      <c r="G89" s="207"/>
      <c r="H89" s="207"/>
    </row>
    <row r="90" spans="2:8">
      <c r="B90" s="29"/>
      <c r="C90" s="30"/>
      <c r="D90" s="31"/>
      <c r="E90" s="32"/>
      <c r="F90" s="32"/>
      <c r="G90" s="207"/>
      <c r="H90" s="207"/>
    </row>
    <row r="91" spans="2:8" outlineLevel="1">
      <c r="B91" s="33" t="s">
        <v>99</v>
      </c>
      <c r="C91" s="50">
        <v>0</v>
      </c>
      <c r="D91" s="26" t="s">
        <v>46</v>
      </c>
      <c r="E91" s="27" t="e">
        <f>F40</f>
        <v>#REF!</v>
      </c>
      <c r="F91" s="27" t="e">
        <f t="shared" ref="F91:F100" si="8">C91*E91</f>
        <v>#REF!</v>
      </c>
      <c r="G91" s="207"/>
      <c r="H91" s="207"/>
    </row>
    <row r="92" spans="2:8" outlineLevel="1">
      <c r="B92" s="34" t="s">
        <v>100</v>
      </c>
      <c r="C92" s="39">
        <v>5.0000000000000001E-3</v>
      </c>
      <c r="D92" s="11" t="s">
        <v>46</v>
      </c>
      <c r="E92" s="12" t="e">
        <f>F40</f>
        <v>#REF!</v>
      </c>
      <c r="F92" s="12" t="e">
        <f t="shared" si="8"/>
        <v>#REF!</v>
      </c>
      <c r="G92" s="207"/>
      <c r="H92" s="207"/>
    </row>
    <row r="93" spans="2:8" outlineLevel="1">
      <c r="B93" s="34" t="s">
        <v>101</v>
      </c>
      <c r="C93" s="39">
        <v>0</v>
      </c>
      <c r="D93" s="11" t="s">
        <v>46</v>
      </c>
      <c r="E93" s="12" t="e">
        <f>F40</f>
        <v>#REF!</v>
      </c>
      <c r="F93" s="12" t="e">
        <f t="shared" si="8"/>
        <v>#REF!</v>
      </c>
      <c r="G93" s="207"/>
      <c r="H93" s="207"/>
    </row>
    <row r="94" spans="2:8" outlineLevel="1">
      <c r="B94" s="34" t="s">
        <v>102</v>
      </c>
      <c r="C94" s="39">
        <v>0.01</v>
      </c>
      <c r="D94" s="11" t="s">
        <v>46</v>
      </c>
      <c r="E94" s="12" t="e">
        <f>F40</f>
        <v>#REF!</v>
      </c>
      <c r="F94" s="12" t="e">
        <f t="shared" si="8"/>
        <v>#REF!</v>
      </c>
      <c r="G94" s="207"/>
      <c r="H94" s="207"/>
    </row>
    <row r="95" spans="2:8" outlineLevel="1">
      <c r="B95" s="34" t="s">
        <v>103</v>
      </c>
      <c r="C95" s="39">
        <v>0</v>
      </c>
      <c r="D95" s="11" t="s">
        <v>46</v>
      </c>
      <c r="E95" s="12" t="e">
        <f>F40</f>
        <v>#REF!</v>
      </c>
      <c r="F95" s="12" t="e">
        <f t="shared" si="8"/>
        <v>#REF!</v>
      </c>
      <c r="G95" s="207"/>
      <c r="H95" s="207"/>
    </row>
    <row r="96" spans="2:8" outlineLevel="1">
      <c r="B96" s="34" t="s">
        <v>104</v>
      </c>
      <c r="C96" s="39">
        <v>0</v>
      </c>
      <c r="D96" s="11" t="s">
        <v>46</v>
      </c>
      <c r="E96" s="12" t="e">
        <f>F40</f>
        <v>#REF!</v>
      </c>
      <c r="F96" s="12" t="e">
        <f t="shared" si="8"/>
        <v>#REF!</v>
      </c>
      <c r="G96" s="207"/>
      <c r="H96" s="207"/>
    </row>
    <row r="97" spans="2:8" outlineLevel="1">
      <c r="B97" s="34" t="s">
        <v>105</v>
      </c>
      <c r="C97" s="39">
        <v>0</v>
      </c>
      <c r="D97" s="11" t="s">
        <v>46</v>
      </c>
      <c r="E97" s="12" t="e">
        <f>F40</f>
        <v>#REF!</v>
      </c>
      <c r="F97" s="12" t="e">
        <f t="shared" si="8"/>
        <v>#REF!</v>
      </c>
      <c r="G97" s="207"/>
      <c r="H97" s="207"/>
    </row>
    <row r="98" spans="2:8" outlineLevel="1">
      <c r="B98" s="34" t="s">
        <v>106</v>
      </c>
      <c r="C98" s="39">
        <v>0</v>
      </c>
      <c r="D98" s="11" t="s">
        <v>46</v>
      </c>
      <c r="E98" s="12" t="e">
        <f>F40</f>
        <v>#REF!</v>
      </c>
      <c r="F98" s="12" t="e">
        <f t="shared" si="8"/>
        <v>#REF!</v>
      </c>
      <c r="G98" s="207"/>
      <c r="H98" s="207"/>
    </row>
    <row r="99" spans="2:8" outlineLevel="1">
      <c r="B99" s="34" t="s">
        <v>107</v>
      </c>
      <c r="C99" s="39">
        <v>0</v>
      </c>
      <c r="D99" s="11" t="s">
        <v>46</v>
      </c>
      <c r="E99" s="12" t="e">
        <f>F40</f>
        <v>#REF!</v>
      </c>
      <c r="F99" s="12" t="e">
        <f t="shared" si="8"/>
        <v>#REF!</v>
      </c>
      <c r="G99" s="207"/>
      <c r="H99" s="207"/>
    </row>
    <row r="100" spans="2:8" outlineLevel="1">
      <c r="B100" s="44" t="s">
        <v>108</v>
      </c>
      <c r="C100" s="39">
        <v>0</v>
      </c>
      <c r="D100" s="11" t="s">
        <v>46</v>
      </c>
      <c r="E100" s="12" t="e">
        <f>F40</f>
        <v>#REF!</v>
      </c>
      <c r="F100" s="12" t="e">
        <f t="shared" si="8"/>
        <v>#REF!</v>
      </c>
      <c r="G100" s="207"/>
      <c r="H100" s="207"/>
    </row>
    <row r="101" spans="2:8">
      <c r="B101" s="372" t="s">
        <v>109</v>
      </c>
      <c r="C101" s="367"/>
      <c r="D101" s="367"/>
      <c r="E101" s="380"/>
      <c r="F101" s="368" t="e">
        <f>SUM(F91:F100)</f>
        <v>#REF!</v>
      </c>
      <c r="G101" s="207"/>
      <c r="H101" s="207"/>
    </row>
    <row r="102" spans="2:8" outlineLevel="1">
      <c r="B102" s="13" t="s">
        <v>110</v>
      </c>
      <c r="C102" s="39">
        <v>0</v>
      </c>
      <c r="D102" s="11" t="s">
        <v>46</v>
      </c>
      <c r="E102" s="12" t="e">
        <f>F101</f>
        <v>#REF!</v>
      </c>
      <c r="F102" s="12" t="e">
        <f>C102*E102</f>
        <v>#REF!</v>
      </c>
      <c r="G102" s="207"/>
      <c r="H102" s="207"/>
    </row>
    <row r="103" spans="2:8" outlineLevel="1" collapsed="1">
      <c r="B103" s="366" t="s">
        <v>111</v>
      </c>
      <c r="C103" s="367"/>
      <c r="D103" s="367"/>
      <c r="E103" s="380"/>
      <c r="F103" s="368" t="e">
        <f>SUM(F101:F102)</f>
        <v>#REF!</v>
      </c>
      <c r="G103" s="207"/>
      <c r="H103" s="207"/>
    </row>
    <row r="104" spans="2:8" hidden="1" outlineLevel="2">
      <c r="B104" s="13" t="s">
        <v>48</v>
      </c>
      <c r="C104" s="39">
        <v>0</v>
      </c>
      <c r="D104" s="11" t="s">
        <v>46</v>
      </c>
      <c r="E104" s="12" t="e">
        <f>F103</f>
        <v>#REF!</v>
      </c>
      <c r="F104" s="12" t="e">
        <f>C104*E104</f>
        <v>#REF!</v>
      </c>
      <c r="G104" s="207"/>
      <c r="H104" s="207"/>
    </row>
    <row r="105" spans="2:8" hidden="1" outlineLevel="2">
      <c r="B105" s="13" t="s">
        <v>51</v>
      </c>
      <c r="C105" s="39">
        <v>0</v>
      </c>
      <c r="D105" s="11" t="s">
        <v>46</v>
      </c>
      <c r="E105" s="12" t="e">
        <f>F103</f>
        <v>#REF!</v>
      </c>
      <c r="F105" s="12" t="e">
        <f>C105*E105</f>
        <v>#REF!</v>
      </c>
      <c r="G105" s="207"/>
      <c r="H105" s="207"/>
    </row>
    <row r="106" spans="2:8" hidden="1" outlineLevel="2">
      <c r="B106" s="13" t="s">
        <v>52</v>
      </c>
      <c r="C106" s="39">
        <v>0</v>
      </c>
      <c r="D106" s="11" t="s">
        <v>46</v>
      </c>
      <c r="E106" s="12" t="e">
        <f>F103</f>
        <v>#REF!</v>
      </c>
      <c r="F106" s="12" t="e">
        <f>C106*E106</f>
        <v>#REF!</v>
      </c>
      <c r="G106" s="207"/>
      <c r="H106" s="207"/>
    </row>
    <row r="107" spans="2:8" ht="15.75" hidden="1" customHeight="1" outlineLevel="2">
      <c r="B107" s="13" t="s">
        <v>53</v>
      </c>
      <c r="C107" s="39">
        <v>0</v>
      </c>
      <c r="D107" s="11" t="s">
        <v>46</v>
      </c>
      <c r="E107" s="12" t="e">
        <f>F103</f>
        <v>#REF!</v>
      </c>
      <c r="F107" s="12" t="e">
        <f>C107*E107</f>
        <v>#REF!</v>
      </c>
      <c r="G107" s="207"/>
      <c r="H107" s="207"/>
    </row>
    <row r="108" spans="2:8" ht="24.95" outlineLevel="1" collapsed="1" thickBot="1">
      <c r="B108" s="366" t="s">
        <v>112</v>
      </c>
      <c r="C108" s="369" t="e">
        <f>IF(F103=0,"",F108/F103)</f>
        <v>#REF!</v>
      </c>
      <c r="D108" s="370" t="s">
        <v>113</v>
      </c>
      <c r="E108" s="381"/>
      <c r="F108" s="368" t="e">
        <f>SUM(F104:F107)</f>
        <v>#REF!</v>
      </c>
      <c r="G108" s="207"/>
      <c r="H108" s="207"/>
    </row>
    <row r="109" spans="2:8" ht="15.95" outlineLevel="1" thickTop="1">
      <c r="B109" s="15" t="str">
        <f>"Voorziene overige bijkomende kosten "</f>
        <v xml:space="preserve">Voorziene overige bijkomende kosten </v>
      </c>
      <c r="C109" s="16"/>
      <c r="D109" s="16"/>
      <c r="E109" s="17"/>
      <c r="F109" s="17" t="e">
        <f>SUM(F108,F103)</f>
        <v>#REF!</v>
      </c>
      <c r="G109" s="207"/>
      <c r="H109" s="207"/>
    </row>
    <row r="110" spans="2:8" ht="15.75" customHeight="1" outlineLevel="2">
      <c r="B110" s="18" t="s">
        <v>114</v>
      </c>
      <c r="C110" s="39">
        <v>0</v>
      </c>
      <c r="D110" s="11" t="s">
        <v>46</v>
      </c>
      <c r="E110" s="12" t="e">
        <f>F109</f>
        <v>#REF!</v>
      </c>
      <c r="F110" s="12" t="e">
        <f>C110*E110</f>
        <v>#REF!</v>
      </c>
      <c r="G110" s="207"/>
      <c r="H110" s="207"/>
    </row>
    <row r="111" spans="2:8" ht="24.95" outlineLevel="1" thickBot="1">
      <c r="B111" s="371" t="s">
        <v>115</v>
      </c>
      <c r="C111" s="369" t="e">
        <f>IF(F109=0,"",F111/F109)</f>
        <v>#REF!</v>
      </c>
      <c r="D111" s="370" t="s">
        <v>116</v>
      </c>
      <c r="E111" s="381"/>
      <c r="F111" s="368" t="e">
        <f>SUM(F110:F110)</f>
        <v>#REF!</v>
      </c>
      <c r="G111" s="207"/>
      <c r="H111" s="207"/>
    </row>
    <row r="112" spans="2:8" ht="15.95" thickTop="1">
      <c r="B112" s="35" t="str">
        <f>"Overige bijkomende kosten "&amp;B1</f>
        <v>Overige bijkomende kosten IPC 1-05-2024 tot 01-05-2028 (4 jaar)</v>
      </c>
      <c r="C112" s="36"/>
      <c r="D112" s="36"/>
      <c r="E112" s="37"/>
      <c r="F112" s="38" t="e">
        <f>SUM(F111,F109)</f>
        <v>#REF!</v>
      </c>
      <c r="G112" s="207"/>
      <c r="H112" s="207"/>
    </row>
    <row r="113" spans="2:8" ht="15.95" thickBot="1">
      <c r="B113" s="29"/>
      <c r="C113" s="30"/>
      <c r="D113" s="31"/>
      <c r="E113" s="32"/>
      <c r="F113" s="32"/>
      <c r="G113" s="207"/>
      <c r="H113" s="207"/>
    </row>
    <row r="114" spans="2:8" ht="15.95" thickTop="1">
      <c r="B114" s="81" t="s">
        <v>117</v>
      </c>
      <c r="C114" s="82"/>
      <c r="D114" s="82"/>
      <c r="E114" s="83"/>
      <c r="F114" s="83" t="e">
        <f>SUM(F112,F89,F70,F44)</f>
        <v>#REF!</v>
      </c>
      <c r="G114" s="207"/>
      <c r="H114" s="207"/>
    </row>
    <row r="115" spans="2:8">
      <c r="E115" s="1"/>
      <c r="F115" s="1"/>
      <c r="G115" s="207"/>
      <c r="H115" s="207"/>
    </row>
    <row r="116" spans="2:8">
      <c r="E116" s="1"/>
      <c r="F116" s="1"/>
      <c r="G116" s="207"/>
      <c r="H116" s="207"/>
    </row>
    <row r="117" spans="2:8" ht="57" thickBot="1">
      <c r="B117" s="211" t="s">
        <v>118</v>
      </c>
      <c r="C117" s="212"/>
      <c r="D117" s="213">
        <v>0.05</v>
      </c>
      <c r="E117" s="214" t="e">
        <f>F114</f>
        <v>#REF!</v>
      </c>
      <c r="F117" s="214" t="e">
        <f>D117*E117</f>
        <v>#REF!</v>
      </c>
      <c r="G117" s="207" t="s">
        <v>119</v>
      </c>
      <c r="H117" s="207"/>
    </row>
    <row r="118" spans="2:8" ht="15.95" thickTop="1">
      <c r="B118" s="78" t="s">
        <v>120</v>
      </c>
      <c r="C118" s="79"/>
      <c r="D118" s="87"/>
      <c r="E118" s="80"/>
      <c r="F118" s="80" t="e">
        <f>SUM(F114,F117)</f>
        <v>#REF!</v>
      </c>
      <c r="G118" s="207"/>
      <c r="H118" s="207"/>
    </row>
    <row r="119" spans="2:8">
      <c r="G119" s="207"/>
      <c r="H119" s="207"/>
    </row>
    <row r="120" spans="2:8">
      <c r="B120" s="70" t="s">
        <v>121</v>
      </c>
      <c r="C120" s="71"/>
      <c r="D120" s="71"/>
      <c r="E120" s="72"/>
      <c r="F120" s="73"/>
      <c r="G120" s="207"/>
      <c r="H120" s="207"/>
    </row>
    <row r="121" spans="2:8">
      <c r="B121" s="74" t="str">
        <f>B118</f>
        <v>Totaal projectkosten inclusief opslagen conform SSK systematiek</v>
      </c>
      <c r="C121" s="75"/>
      <c r="D121" s="75"/>
      <c r="E121" s="76"/>
      <c r="F121" s="77" t="e">
        <f>F118</f>
        <v>#REF!</v>
      </c>
      <c r="G121" s="207"/>
      <c r="H121" s="207"/>
    </row>
    <row r="122" spans="2:8" ht="27.95">
      <c r="B122" s="215" t="s">
        <v>122</v>
      </c>
      <c r="C122" s="216"/>
      <c r="D122" s="217">
        <v>0</v>
      </c>
      <c r="E122" s="218" t="e">
        <f>F121</f>
        <v>#REF!</v>
      </c>
      <c r="F122" s="219" t="e">
        <f>D122*E122</f>
        <v>#REF!</v>
      </c>
      <c r="G122" s="207" t="s">
        <v>123</v>
      </c>
      <c r="H122" s="207"/>
    </row>
    <row r="123" spans="2:8" ht="27.95">
      <c r="B123" s="220" t="s">
        <v>124</v>
      </c>
      <c r="C123" s="216"/>
      <c r="D123" s="224">
        <f>5*0.0352</f>
        <v>0.17600000000000002</v>
      </c>
      <c r="E123" s="216" t="e">
        <f>F122+F121</f>
        <v>#REF!</v>
      </c>
      <c r="F123" s="219" t="e">
        <f>D123*E123</f>
        <v>#REF!</v>
      </c>
      <c r="G123" s="207" t="s">
        <v>125</v>
      </c>
      <c r="H123" s="207"/>
    </row>
    <row r="124" spans="2:8" ht="42.95" thickBot="1">
      <c r="B124" s="215" t="s">
        <v>126</v>
      </c>
      <c r="C124" s="216"/>
      <c r="D124" s="217">
        <v>0.05</v>
      </c>
      <c r="E124" s="216" t="e">
        <f>F118</f>
        <v>#REF!</v>
      </c>
      <c r="F124" s="219" t="e">
        <f>D124*E124</f>
        <v>#REF!</v>
      </c>
      <c r="G124" s="207" t="s">
        <v>127</v>
      </c>
      <c r="H124" s="207"/>
    </row>
    <row r="125" spans="2:8" ht="15.95" thickTop="1">
      <c r="B125" s="90" t="str">
        <f>"Aan te houden totaal budget investeringskosten"</f>
        <v>Aan te houden totaal budget investeringskosten</v>
      </c>
      <c r="C125" s="91"/>
      <c r="D125" s="91"/>
      <c r="E125" s="92"/>
      <c r="F125" s="93" t="e">
        <f>SUM(F121:F124)</f>
        <v>#REF!</v>
      </c>
      <c r="G125" s="207"/>
      <c r="H125" s="207"/>
    </row>
    <row r="126" spans="2:8">
      <c r="B126" s="94" t="s">
        <v>128</v>
      </c>
      <c r="D126" s="95" t="e">
        <f>FLOOR(F118-E127*F118,10000)</f>
        <v>#REF!</v>
      </c>
      <c r="E126" s="96" t="s">
        <v>129</v>
      </c>
      <c r="F126" s="95" t="e">
        <f>FLOOR(F118+E127*F118,10000)</f>
        <v>#REF!</v>
      </c>
      <c r="G126" s="207"/>
      <c r="H126" s="207"/>
    </row>
    <row r="127" spans="2:8">
      <c r="B127" s="97" t="s">
        <v>130</v>
      </c>
      <c r="D127" s="98"/>
      <c r="E127" s="99">
        <v>0.4</v>
      </c>
      <c r="F127" s="100"/>
      <c r="G127" s="207"/>
      <c r="H127" s="207"/>
    </row>
    <row r="128" spans="2:8" ht="15.95" thickBot="1">
      <c r="G128" s="207"/>
      <c r="H128" s="207"/>
    </row>
    <row r="129" spans="1:8" ht="15.95" thickTop="1">
      <c r="B129" s="90" t="s">
        <v>131</v>
      </c>
      <c r="C129" s="90"/>
      <c r="D129" s="90"/>
      <c r="E129" s="90"/>
      <c r="F129" s="101"/>
      <c r="G129" s="207"/>
      <c r="H129" s="207"/>
    </row>
    <row r="130" spans="1:8" ht="15.95">
      <c r="B130" s="104" t="str">
        <f>B125</f>
        <v>Aan te houden totaal budget investeringskosten</v>
      </c>
      <c r="E130" s="69"/>
      <c r="F130" s="105" t="e">
        <f>CEILING(F125,IF(F125&lt;1000000,50000,100000))</f>
        <v>#REF!</v>
      </c>
      <c r="G130" s="207" t="s">
        <v>132</v>
      </c>
      <c r="H130" s="207"/>
    </row>
    <row r="131" spans="1:8" ht="15.95">
      <c r="B131" s="106" t="s">
        <v>133</v>
      </c>
      <c r="E131" s="69"/>
      <c r="F131" s="107" t="e">
        <f>CEILING(F122+2/3*F74,IF(F122+2/3*F74&lt;1000000,50000,100000))</f>
        <v>#REF!</v>
      </c>
      <c r="G131" s="207" t="s">
        <v>132</v>
      </c>
      <c r="H131" s="207"/>
    </row>
    <row r="132" spans="1:8">
      <c r="B132" s="108" t="str">
        <f>B122</f>
        <v>Organisatiegebonden kosten (organisatie project in uitvoering)</v>
      </c>
      <c r="C132" s="109"/>
      <c r="D132" s="109"/>
      <c r="E132" s="110"/>
      <c r="F132" s="111" t="e">
        <f>CEILING(F122,IF(F122&lt;1000000,50000,100000))</f>
        <v>#REF!</v>
      </c>
      <c r="G132" s="207" t="s">
        <v>132</v>
      </c>
      <c r="H132" s="207"/>
    </row>
    <row r="133" spans="1:8">
      <c r="B133" s="108" t="s">
        <v>134</v>
      </c>
      <c r="C133" s="109"/>
      <c r="D133" s="109"/>
      <c r="E133" s="110"/>
      <c r="F133" s="111" t="e">
        <f>CEILING(2/3*F86,IF(2/3*F86&lt;1000000,50000,100000))</f>
        <v>#REF!</v>
      </c>
      <c r="G133" s="207" t="s">
        <v>132</v>
      </c>
      <c r="H133" s="207"/>
    </row>
    <row r="134" spans="1:8">
      <c r="B134" s="112" t="s">
        <v>135</v>
      </c>
      <c r="C134" s="109"/>
      <c r="D134" s="109"/>
      <c r="E134" s="110"/>
      <c r="F134" s="111" t="e">
        <f>F135+F138</f>
        <v>#REF!</v>
      </c>
      <c r="G134" s="207" t="s">
        <v>132</v>
      </c>
      <c r="H134" s="207"/>
    </row>
    <row r="135" spans="1:8">
      <c r="B135" s="113" t="s">
        <v>136</v>
      </c>
      <c r="E135" s="69"/>
      <c r="F135" s="114" t="e">
        <f>CEILING(F40+F67+F86+F109-F133,IF(F40+F67+F86+F109-F133&lt;1000000,50000,100000))</f>
        <v>#REF!</v>
      </c>
      <c r="G135" s="223"/>
      <c r="H135" s="223"/>
    </row>
    <row r="136" spans="1:8">
      <c r="B136" s="115" t="s">
        <v>137</v>
      </c>
      <c r="E136" s="69"/>
      <c r="F136" s="116" t="e">
        <f>CEILING(F40+F109,IF(F40+F109&lt;1000000,50000,100000))</f>
        <v>#REF!</v>
      </c>
      <c r="G136" s="207" t="s">
        <v>132</v>
      </c>
      <c r="H136" s="207"/>
    </row>
    <row r="137" spans="1:8">
      <c r="B137" s="115" t="s">
        <v>138</v>
      </c>
      <c r="E137" s="69"/>
      <c r="F137" s="116" t="e">
        <f>CEILING(1/3*F86,IF(1/3*F86&lt;1000000,50000,100000))</f>
        <v>#REF!</v>
      </c>
      <c r="G137" s="207" t="s">
        <v>132</v>
      </c>
      <c r="H137" s="207"/>
    </row>
    <row r="138" spans="1:8">
      <c r="B138" s="117" t="s">
        <v>139</v>
      </c>
      <c r="C138" s="102"/>
      <c r="D138" s="102"/>
      <c r="E138" s="103"/>
      <c r="F138" s="114" t="e">
        <f>CEILING(F43+F69+F88+F111+F117+F123+F124,IF(F43+F69+F88+F111+F117+F123+F124&lt;1000000,50000,100000))</f>
        <v>#REF!</v>
      </c>
      <c r="G138" s="1" t="s">
        <v>132</v>
      </c>
    </row>
    <row r="139" spans="1:8">
      <c r="B139" s="1" t="s">
        <v>140</v>
      </c>
    </row>
    <row r="141" spans="1:8">
      <c r="B141" s="194" t="s">
        <v>141</v>
      </c>
    </row>
    <row r="142" spans="1:8">
      <c r="A142" s="209" t="s">
        <v>142</v>
      </c>
      <c r="B142" s="327" t="s">
        <v>143</v>
      </c>
      <c r="C142" s="328"/>
      <c r="D142" s="328"/>
      <c r="E142" s="329"/>
      <c r="F142" s="329"/>
    </row>
    <row r="143" spans="1:8">
      <c r="A143" s="209" t="s">
        <v>142</v>
      </c>
      <c r="B143" s="327" t="s">
        <v>144</v>
      </c>
      <c r="C143" s="328"/>
      <c r="D143" s="328"/>
      <c r="E143" s="329"/>
      <c r="F143" s="329"/>
    </row>
    <row r="144" spans="1:8" ht="62.45" customHeight="1">
      <c r="A144" s="209" t="s">
        <v>142</v>
      </c>
      <c r="B144" s="402" t="s">
        <v>145</v>
      </c>
      <c r="C144" s="403"/>
      <c r="D144" s="403"/>
      <c r="E144" s="403"/>
      <c r="F144" s="403"/>
    </row>
    <row r="145" spans="1:8" ht="30" customHeight="1">
      <c r="A145" s="209" t="s">
        <v>142</v>
      </c>
      <c r="B145" s="402" t="s">
        <v>146</v>
      </c>
      <c r="C145" s="403"/>
      <c r="D145" s="403"/>
      <c r="E145" s="403"/>
      <c r="F145" s="403"/>
    </row>
    <row r="146" spans="1:8" ht="27" customHeight="1">
      <c r="A146" s="209" t="s">
        <v>142</v>
      </c>
      <c r="B146" s="402" t="s">
        <v>147</v>
      </c>
      <c r="C146" s="403"/>
      <c r="D146" s="403"/>
      <c r="E146" s="403"/>
      <c r="F146" s="403"/>
      <c r="G146" s="401"/>
      <c r="H146" s="401"/>
    </row>
    <row r="147" spans="1:8" ht="29.1" customHeight="1">
      <c r="A147" s="209" t="s">
        <v>142</v>
      </c>
      <c r="B147" s="402" t="s">
        <v>148</v>
      </c>
      <c r="C147" s="403"/>
      <c r="D147" s="403"/>
      <c r="E147" s="403"/>
      <c r="F147" s="403"/>
    </row>
    <row r="148" spans="1:8">
      <c r="A148" s="209" t="s">
        <v>142</v>
      </c>
      <c r="B148" s="327" t="s">
        <v>149</v>
      </c>
      <c r="C148" s="328"/>
      <c r="D148" s="328"/>
      <c r="E148" s="329"/>
      <c r="F148" s="329"/>
    </row>
    <row r="149" spans="1:8" ht="15.95" thickBot="1">
      <c r="A149" s="209" t="s">
        <v>142</v>
      </c>
      <c r="B149" s="327"/>
      <c r="C149" s="328"/>
      <c r="D149" s="328"/>
      <c r="E149" s="329"/>
      <c r="F149" s="329"/>
    </row>
    <row r="150" spans="1:8" ht="33" thickBot="1">
      <c r="A150" s="209"/>
      <c r="B150" s="386" t="s">
        <v>150</v>
      </c>
      <c r="C150" s="387" t="s">
        <v>151</v>
      </c>
      <c r="D150" s="322"/>
      <c r="E150" s="388" t="s">
        <v>152</v>
      </c>
      <c r="F150" s="389" t="s">
        <v>153</v>
      </c>
    </row>
    <row r="151" spans="1:8" ht="44.25" customHeight="1">
      <c r="A151" s="209"/>
      <c r="B151" s="178" t="s">
        <v>154</v>
      </c>
      <c r="C151" s="404" t="e">
        <f>E151*$F$130</f>
        <v>#REF!</v>
      </c>
      <c r="D151" s="405"/>
      <c r="E151" s="323" t="e">
        <f>((F7*0.4)+(F24*0.4))/F44</f>
        <v>#REF!</v>
      </c>
      <c r="F151" s="324">
        <f>((F7+F24)*0.4)</f>
        <v>1600000</v>
      </c>
    </row>
    <row r="152" spans="1:8" ht="32.1" customHeight="1">
      <c r="A152" s="209"/>
      <c r="B152" s="363" t="s">
        <v>155</v>
      </c>
      <c r="C152" s="406" t="e">
        <f>E152*$F$130</f>
        <v>#REF!</v>
      </c>
      <c r="D152" s="407"/>
      <c r="E152" s="373" t="e">
        <f>(F10+(F24*0.6)+F27)/F44</f>
        <v>#REF!</v>
      </c>
      <c r="F152" s="364" t="e">
        <f>F10+(F24*0.6)+F27</f>
        <v>#REF!</v>
      </c>
    </row>
    <row r="153" spans="1:8" ht="32.1" customHeight="1">
      <c r="A153" s="209"/>
      <c r="B153" s="363" t="s">
        <v>156</v>
      </c>
      <c r="C153" s="406" t="e">
        <f>E153*$F$130</f>
        <v>#REF!</v>
      </c>
      <c r="D153" s="407"/>
      <c r="E153" s="373" t="e">
        <f>(F9+F13+F14+F18+F21+F28+F15)/F44</f>
        <v>#REF!</v>
      </c>
      <c r="F153" s="364" t="e">
        <f>F9+F13+F14+F18+F21+F28+F15</f>
        <v>#REF!</v>
      </c>
    </row>
    <row r="154" spans="1:8" ht="32.1" customHeight="1">
      <c r="A154" s="209"/>
      <c r="B154" s="363" t="s">
        <v>157</v>
      </c>
      <c r="C154" s="406" t="e">
        <f>E154*$F$130</f>
        <v>#REF!</v>
      </c>
      <c r="D154" s="407"/>
      <c r="E154" s="373" t="e">
        <f>(F7*0.6)/F44</f>
        <v>#REF!</v>
      </c>
      <c r="F154" s="364">
        <f>F7*0.6</f>
        <v>0</v>
      </c>
    </row>
    <row r="155" spans="1:8" ht="15.95" thickBot="1">
      <c r="A155" s="209"/>
      <c r="B155" s="333" t="s">
        <v>158</v>
      </c>
      <c r="C155" s="408" t="e">
        <f>SUM(C151:C154)</f>
        <v>#REF!</v>
      </c>
      <c r="D155" s="409"/>
      <c r="E155" s="334" t="e">
        <f>SUM(E151:E154)</f>
        <v>#REF!</v>
      </c>
      <c r="F155" s="335" t="e">
        <f>SUM(F151:F154)</f>
        <v>#REF!</v>
      </c>
    </row>
    <row r="156" spans="1:8">
      <c r="A156" s="209"/>
      <c r="B156" s="210"/>
    </row>
    <row r="157" spans="1:8">
      <c r="A157" s="209"/>
      <c r="B157" s="332" t="s">
        <v>159</v>
      </c>
    </row>
    <row r="158" spans="1:8">
      <c r="A158" s="209"/>
      <c r="B158" s="332"/>
      <c r="D158" s="225" t="e">
        <f>F155-F44</f>
        <v>#REF!</v>
      </c>
    </row>
    <row r="159" spans="1:8">
      <c r="B159" s="332" t="s">
        <v>160</v>
      </c>
    </row>
    <row r="160" spans="1:8">
      <c r="B160" s="332"/>
    </row>
    <row r="161" spans="2:2">
      <c r="B161" s="332" t="s">
        <v>161</v>
      </c>
    </row>
    <row r="163" spans="2:2">
      <c r="B163" s="1" t="s">
        <v>162</v>
      </c>
    </row>
    <row r="165" spans="2:2">
      <c r="B165" s="1" t="s">
        <v>163</v>
      </c>
    </row>
    <row r="167" spans="2:2">
      <c r="B167" s="1" t="s">
        <v>164</v>
      </c>
    </row>
  </sheetData>
  <protectedRanges>
    <protectedRange sqref="C5:C29" name="hoeveelheden"/>
    <protectedRange sqref="B1:B2" name="projectgegevens_1"/>
  </protectedRanges>
  <mergeCells count="10">
    <mergeCell ref="C154:D154"/>
    <mergeCell ref="C155:D155"/>
    <mergeCell ref="B144:F144"/>
    <mergeCell ref="B145:F145"/>
    <mergeCell ref="B146:F146"/>
    <mergeCell ref="G146:H146"/>
    <mergeCell ref="B147:F147"/>
    <mergeCell ref="C151:D151"/>
    <mergeCell ref="C152:D152"/>
    <mergeCell ref="C153:D153"/>
  </mergeCells>
  <pageMargins left="0.70866141732283472" right="0.70866141732283472" top="0.74803149606299213" bottom="0.74803149606299213" header="0.31496062992125984" footer="0.31496062992125984"/>
  <pageSetup paperSize="9" scale="31" orientation="portrait" r:id="rId1"/>
  <rowBreaks count="1" manualBreakCount="1">
    <brk id="13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105"/>
  <sheetViews>
    <sheetView workbookViewId="0">
      <selection activeCell="B60" sqref="B60"/>
    </sheetView>
  </sheetViews>
  <sheetFormatPr defaultColWidth="8.875" defaultRowHeight="15"/>
  <cols>
    <col min="1" max="1" width="7.375" style="1" bestFit="1" customWidth="1"/>
    <col min="2" max="2" width="42.125" style="52" customWidth="1"/>
    <col min="3" max="3" width="22.375" style="1" customWidth="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457</v>
      </c>
    </row>
    <row r="4" spans="1:10" ht="33" thickBot="1">
      <c r="A4" s="54">
        <v>1</v>
      </c>
      <c r="B4" s="55" t="s">
        <v>470</v>
      </c>
      <c r="C4" s="54" t="s">
        <v>362</v>
      </c>
      <c r="D4" s="56">
        <f ca="1">SUM(H7:H25)</f>
        <v>29.67295</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201130</v>
      </c>
      <c r="B7" t="str">
        <f ca="1">IF(A7=VLOOKUP(A7,INDIRECT("tarieven!$A$3:$D$"&amp;tarieven!$A$1+3,TRUE),1),VLOOKUP(A7,INDIRECT("tarieven!$A$3:$D$"&amp;tarieven!$A$1+3,TRUE),2),"")</f>
        <v>Frezen asfalt 30mm niet teerh. incl. afvoer en stortkosten 0,-</v>
      </c>
      <c r="C7" t="str">
        <f ca="1">IF(A7=VLOOKUP(A7,INDIRECT("tarieven!$A$3:$D$"&amp;tarieven!$A$1+3,TRUE),1),VLOOKUP(A7,INDIRECT("tarieven!$A$3:$D$"&amp;tarieven!$A$1+3,TRUE),3),"")</f>
        <v>m2</v>
      </c>
      <c r="D7" s="3">
        <f ca="1">IF(A7=VLOOKUP(A7,INDIRECT("tarieven!$A$3:$D$"&amp;tarieven!$A$1+3,TRUE),1),VLOOKUP(A7,INDIRECT("tarieven!$A$3:$D$"&amp;tarieven!$A$1+3,TRUE),4),"")</f>
        <v>3.6349999999999998</v>
      </c>
      <c r="E7" s="86">
        <v>1</v>
      </c>
      <c r="F7" s="6" t="str">
        <f t="shared" ref="F7:F26" ca="1" si="0">IF(C7="","",$C$4&amp;"/"&amp;C7)</f>
        <v>m2/m2</v>
      </c>
      <c r="G7" s="58">
        <f t="shared" ref="G7:G70" si="1">IF(E7="","",1/E7)</f>
        <v>1</v>
      </c>
      <c r="H7" s="2">
        <f ca="1">IF(D7="","",D7*G7)</f>
        <v>3.6349999999999998</v>
      </c>
    </row>
    <row r="8" spans="1:10">
      <c r="A8" s="84">
        <v>201180</v>
      </c>
      <c r="B8" t="str">
        <f ca="1">IF(A8=VLOOKUP(A8,INDIRECT("tarieven!$A$3:$D$"&amp;tarieven!$A$1+3,TRUE),1),VLOOKUP(A8,INDIRECT("tarieven!$A$3:$D$"&amp;tarieven!$A$1+3,TRUE),2),"")</f>
        <v>Frezen asfalt 80mm niet teerh. incl. afvoer en stortkosten 0,-</v>
      </c>
      <c r="C8" t="str">
        <f ca="1">IF(A8=VLOOKUP(A8,INDIRECT("tarieven!$A$3:$D$"&amp;tarieven!$A$1+3,TRUE),1),VLOOKUP(A8,INDIRECT("tarieven!$A$3:$D$"&amp;tarieven!$A$1+3,TRUE),3),"")</f>
        <v>m2</v>
      </c>
      <c r="D8" s="3">
        <f ca="1">IF(A8=VLOOKUP(A8,INDIRECT("tarieven!$A$3:$D$"&amp;tarieven!$A$1+3,TRUE),1),VLOOKUP(A8,INDIRECT("tarieven!$A$3:$D$"&amp;tarieven!$A$1+3,TRUE),4),"")</f>
        <v>4.37</v>
      </c>
      <c r="E8" s="86">
        <v>1</v>
      </c>
      <c r="F8" s="6" t="str">
        <f t="shared" ca="1" si="0"/>
        <v>m2/m2</v>
      </c>
      <c r="G8" s="58">
        <f t="shared" si="1"/>
        <v>1</v>
      </c>
      <c r="H8" s="2">
        <f t="shared" ref="H8:H25" ca="1" si="2">IF(D8="","",D8*G8)</f>
        <v>4.37</v>
      </c>
    </row>
    <row r="9" spans="1:10">
      <c r="A9" s="84">
        <v>201610</v>
      </c>
      <c r="B9" t="str">
        <f ca="1">IF(A9=VLOOKUP(A9,INDIRECT("tarieven!$A$3:$D$"&amp;tarieven!$A$1+3,TRUE),1),VLOOKUP(A9,INDIRECT("tarieven!$A$3:$D$"&amp;tarieven!$A$1+3,TRUE),2),"")</f>
        <v>Schoonmaken oppervlak t.b.v. reparaties</v>
      </c>
      <c r="C9" t="str">
        <f ca="1">IF(A9=VLOOKUP(A9,INDIRECT("tarieven!$A$3:$D$"&amp;tarieven!$A$1+3,TRUE),1),VLOOKUP(A9,INDIRECT("tarieven!$A$3:$D$"&amp;tarieven!$A$1+3,TRUE),3),"")</f>
        <v>m2</v>
      </c>
      <c r="D9" s="3">
        <f ca="1">IF(A9=VLOOKUP(A9,INDIRECT("tarieven!$A$3:$D$"&amp;tarieven!$A$1+3,TRUE),1),VLOOKUP(A9,INDIRECT("tarieven!$A$3:$D$"&amp;tarieven!$A$1+3,TRUE),4),"")</f>
        <v>0.4</v>
      </c>
      <c r="E9" s="86">
        <v>1</v>
      </c>
      <c r="F9" s="6" t="str">
        <f t="shared" ca="1" si="0"/>
        <v>m2/m2</v>
      </c>
      <c r="G9" s="58">
        <f t="shared" si="1"/>
        <v>1</v>
      </c>
      <c r="H9" s="2">
        <f t="shared" ca="1" si="2"/>
        <v>0.4</v>
      </c>
    </row>
    <row r="10" spans="1:10">
      <c r="A10" s="84">
        <v>300040</v>
      </c>
      <c r="B10" t="str">
        <f ca="1">IF(A10=VLOOKUP(A10,INDIRECT("tarieven!$A$3:$D$"&amp;tarieven!$A$1+3,TRUE),1),VLOOKUP(A10,INDIRECT("tarieven!$A$3:$D$"&amp;tarieven!$A$1+3,TRUE),2),"")</f>
        <v>asfaltset groot met transport incl. (+ aan en afvoerkosten)</v>
      </c>
      <c r="C10" t="str">
        <f ca="1">IF(A10=VLOOKUP(A10,INDIRECT("tarieven!$A$3:$D$"&amp;tarieven!$A$1+3,TRUE),1),VLOOKUP(A10,INDIRECT("tarieven!$A$3:$D$"&amp;tarieven!$A$1+3,TRUE),3),"")</f>
        <v>dag</v>
      </c>
      <c r="D10" s="3">
        <f ca="1">IF(A10=VLOOKUP(A10,INDIRECT("tarieven!$A$3:$D$"&amp;tarieven!$A$1+3,TRUE),1),VLOOKUP(A10,INDIRECT("tarieven!$A$3:$D$"&amp;tarieven!$A$1+3,TRUE),4),"")</f>
        <v>6355.2</v>
      </c>
      <c r="E10" s="86">
        <v>6000</v>
      </c>
      <c r="F10" s="6" t="str">
        <f t="shared" ca="1" si="0"/>
        <v>m2/dag</v>
      </c>
      <c r="G10" s="58">
        <f t="shared" si="1"/>
        <v>1.6666666666666666E-4</v>
      </c>
      <c r="H10" s="2">
        <f t="shared" ca="1" si="2"/>
        <v>1.0591999999999999</v>
      </c>
    </row>
    <row r="11" spans="1:10">
      <c r="A11" s="84">
        <v>302810</v>
      </c>
      <c r="B11" t="str">
        <f ca="1">IF(A11=VLOOKUP(A11,INDIRECT("tarieven!$A$3:$D$"&amp;tarieven!$A$1+3,TRUE),1),VLOOKUP(A11,INDIRECT("tarieven!$A$3:$D$"&amp;tarieven!$A$1+3,TRUE),2),"")</f>
        <v>kleeflaag 0,3kg/m2</v>
      </c>
      <c r="C11" t="str">
        <f ca="1">IF(A11=VLOOKUP(A11,INDIRECT("tarieven!$A$3:$D$"&amp;tarieven!$A$1+3,TRUE),1),VLOOKUP(A11,INDIRECT("tarieven!$A$3:$D$"&amp;tarieven!$A$1+3,TRUE),3),"")</f>
        <v>m2</v>
      </c>
      <c r="D11" s="3">
        <f ca="1">IF(A11=VLOOKUP(A11,INDIRECT("tarieven!$A$3:$D$"&amp;tarieven!$A$1+3,TRUE),1),VLOOKUP(A11,INDIRECT("tarieven!$A$3:$D$"&amp;tarieven!$A$1+3,TRUE),4),"")</f>
        <v>0.35</v>
      </c>
      <c r="E11" s="85">
        <v>1</v>
      </c>
      <c r="F11" s="6" t="str">
        <f t="shared" ca="1" si="0"/>
        <v>m2/m2</v>
      </c>
      <c r="G11" s="58">
        <f t="shared" si="1"/>
        <v>1</v>
      </c>
      <c r="H11" s="2">
        <f t="shared" ca="1" si="2"/>
        <v>0.35</v>
      </c>
    </row>
    <row r="12" spans="1:10">
      <c r="A12" s="84">
        <v>302230</v>
      </c>
      <c r="B12" t="str">
        <f ca="1">IF(A12=VLOOKUP(A12,INDIRECT("tarieven!$A$3:$D$"&amp;tarieven!$A$1+3,TRUE),1),VLOOKUP(A12,INDIRECT("tarieven!$A$3:$D$"&amp;tarieven!$A$1+3,TRUE),2),"")</f>
        <v>levering asfalt tussenlaag AC16 bind TL-B (50% gerecycled)</v>
      </c>
      <c r="C12" t="str">
        <f ca="1">IF(A12=VLOOKUP(A12,INDIRECT("tarieven!$A$3:$D$"&amp;tarieven!$A$1+3,TRUE),1),VLOOKUP(A12,INDIRECT("tarieven!$A$3:$D$"&amp;tarieven!$A$1+3,TRUE),3),"")</f>
        <v>ton</v>
      </c>
      <c r="D12" s="3">
        <f ca="1">IF(A12=VLOOKUP(A12,INDIRECT("tarieven!$A$3:$D$"&amp;tarieven!$A$1+3,TRUE),1),VLOOKUP(A12,INDIRECT("tarieven!$A$3:$D$"&amp;tarieven!$A$1+3,TRUE),4),"")</f>
        <v>61.45</v>
      </c>
      <c r="E12" s="85">
        <f>0.4/0.08</f>
        <v>5</v>
      </c>
      <c r="F12" s="6" t="str">
        <f t="shared" ca="1" si="0"/>
        <v>m2/ton</v>
      </c>
      <c r="G12" s="58">
        <f t="shared" si="1"/>
        <v>0.2</v>
      </c>
      <c r="H12" s="2">
        <f t="shared" ca="1" si="2"/>
        <v>12.290000000000001</v>
      </c>
    </row>
    <row r="13" spans="1:10">
      <c r="A13" s="84">
        <v>302810</v>
      </c>
      <c r="B13" t="str">
        <f ca="1">IF(A13=VLOOKUP(A13,INDIRECT("tarieven!$A$3:$D$"&amp;tarieven!$A$1+3,TRUE),1),VLOOKUP(A13,INDIRECT("tarieven!$A$3:$D$"&amp;tarieven!$A$1+3,TRUE),2),"")</f>
        <v>kleeflaag 0,3kg/m2</v>
      </c>
      <c r="C13" t="str">
        <f ca="1">IF(A13=VLOOKUP(A13,INDIRECT("tarieven!$A$3:$D$"&amp;tarieven!$A$1+3,TRUE),1),VLOOKUP(A13,INDIRECT("tarieven!$A$3:$D$"&amp;tarieven!$A$1+3,TRUE),3),"")</f>
        <v>m2</v>
      </c>
      <c r="D13" s="3">
        <f ca="1">IF(A13=VLOOKUP(A13,INDIRECT("tarieven!$A$3:$D$"&amp;tarieven!$A$1+3,TRUE),1),VLOOKUP(A13,INDIRECT("tarieven!$A$3:$D$"&amp;tarieven!$A$1+3,TRUE),4),"")</f>
        <v>0.35</v>
      </c>
      <c r="E13" s="86">
        <v>1</v>
      </c>
      <c r="F13" s="6" t="str">
        <f t="shared" ca="1" si="0"/>
        <v>m2/m2</v>
      </c>
      <c r="G13" s="58">
        <f t="shared" si="1"/>
        <v>1</v>
      </c>
      <c r="H13" s="2">
        <f t="shared" ca="1" si="2"/>
        <v>0.35</v>
      </c>
    </row>
    <row r="14" spans="1:10">
      <c r="A14" s="84">
        <v>301210</v>
      </c>
      <c r="B14" t="str">
        <f ca="1">IF(A14=VLOOKUP(A14,INDIRECT("tarieven!$A$3:$D$"&amp;tarieven!$A$1+3,TRUE),1),VLOOKUP(A14,INDIRECT("tarieven!$A$3:$D$"&amp;tarieven!$A$1+3,TRUE),2),"")</f>
        <v>levering asfalt deklaag geluidsreducerend incl. SMA 11B type 2</v>
      </c>
      <c r="C14" t="str">
        <f ca="1">IF(A14=VLOOKUP(A14,INDIRECT("tarieven!$A$3:$D$"&amp;tarieven!$A$1+3,TRUE),1),VLOOKUP(A14,INDIRECT("tarieven!$A$3:$D$"&amp;tarieven!$A$1+3,TRUE),3),"")</f>
        <v>ton</v>
      </c>
      <c r="D14" s="3">
        <f ca="1">IF(A14=VLOOKUP(A14,INDIRECT("tarieven!$A$3:$D$"&amp;tarieven!$A$1+3,TRUE),1),VLOOKUP(A14,INDIRECT("tarieven!$A$3:$D$"&amp;tarieven!$A$1+3,TRUE),4),"")</f>
        <v>96.25</v>
      </c>
      <c r="E14" s="85">
        <f>0.4/0.03</f>
        <v>13.333333333333334</v>
      </c>
      <c r="F14" s="6" t="str">
        <f t="shared" ca="1" si="0"/>
        <v>m2/ton</v>
      </c>
      <c r="G14" s="58">
        <f t="shared" si="1"/>
        <v>7.4999999999999997E-2</v>
      </c>
      <c r="H14" s="2">
        <f t="shared" ca="1" si="2"/>
        <v>7.21875</v>
      </c>
    </row>
    <row r="15" spans="1:10">
      <c r="A15" s="84">
        <v>401010</v>
      </c>
      <c r="B15" t="str">
        <f ca="1">IF(A15=VLOOKUP(A15,INDIRECT("tarieven!$A$3:$D$"&amp;tarieven!$A$1+3,TRUE),1),VLOOKUP(A15,INDIRECT("tarieven!$A$3:$D$"&amp;tarieven!$A$1+3,TRUE),2),"")</f>
        <v/>
      </c>
      <c r="C15" t="str">
        <f ca="1">IF(A15=VLOOKUP(A15,INDIRECT("tarieven!$A$3:$D$"&amp;tarieven!$A$1+3,TRUE),1),VLOOKUP(A15,INDIRECT("tarieven!$A$3:$D$"&amp;tarieven!$A$1+3,TRUE),3),"")</f>
        <v/>
      </c>
      <c r="D15" s="3" t="str">
        <f ca="1">IF(A15=VLOOKUP(A15,INDIRECT("tarieven!$A$3:$D$"&amp;tarieven!$A$1+3,TRUE),1),VLOOKUP(A15,INDIRECT("tarieven!$A$3:$D$"&amp;tarieven!$A$1+3,TRUE),4),"")</f>
        <v/>
      </c>
      <c r="E15" s="86">
        <v>6000</v>
      </c>
      <c r="F15" s="6" t="str">
        <f t="shared" ca="1" si="0"/>
        <v/>
      </c>
      <c r="G15" s="58">
        <f t="shared" si="1"/>
        <v>1.6666666666666666E-4</v>
      </c>
      <c r="H15" s="2" t="str">
        <f t="shared" ca="1" si="2"/>
        <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c r="E16" s="86"/>
      <c r="F16" s="6" t="str">
        <f t="shared" ca="1" si="0"/>
        <v/>
      </c>
      <c r="G16" s="58" t="str">
        <f t="shared" si="1"/>
        <v/>
      </c>
      <c r="H16" s="2" t="str">
        <f t="shared" si="2"/>
        <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c r="E17" s="86"/>
      <c r="F17" s="6" t="str">
        <f t="shared" ca="1" si="0"/>
        <v/>
      </c>
      <c r="G17" s="58" t="str">
        <f t="shared" si="1"/>
        <v/>
      </c>
      <c r="H17" s="2" t="str">
        <f t="shared" si="2"/>
        <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c r="E18" s="86"/>
      <c r="F18" s="6" t="str">
        <f t="shared" ca="1" si="0"/>
        <v/>
      </c>
      <c r="G18" s="58" t="str">
        <f t="shared" si="1"/>
        <v/>
      </c>
      <c r="H18" s="2" t="str">
        <f t="shared" si="2"/>
        <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c r="E19" s="86"/>
      <c r="F19" s="6" t="str">
        <f t="shared" ca="1" si="0"/>
        <v/>
      </c>
      <c r="G19" s="58" t="str">
        <f t="shared" si="1"/>
        <v/>
      </c>
      <c r="H19" s="2" t="str">
        <f t="shared" si="2"/>
        <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c r="E20" s="86"/>
      <c r="F20" s="6" t="str">
        <f t="shared" ca="1" si="0"/>
        <v/>
      </c>
      <c r="G20" s="58" t="str">
        <f t="shared" si="1"/>
        <v/>
      </c>
      <c r="H20" s="2" t="str">
        <f t="shared" si="2"/>
        <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c r="E21" s="86"/>
      <c r="F21" s="6" t="str">
        <f t="shared" ca="1" si="0"/>
        <v/>
      </c>
      <c r="G21" s="58" t="str">
        <f t="shared" si="1"/>
        <v/>
      </c>
      <c r="H21" s="2" t="str">
        <f t="shared" si="2"/>
        <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c r="E22" s="86"/>
      <c r="F22" s="6" t="str">
        <f t="shared" ca="1" si="0"/>
        <v/>
      </c>
      <c r="G22" s="58" t="str">
        <f t="shared" si="1"/>
        <v/>
      </c>
      <c r="H22" s="2" t="str">
        <f t="shared" si="2"/>
        <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c r="E23" s="86"/>
      <c r="F23" s="6" t="str">
        <f t="shared" ca="1" si="0"/>
        <v/>
      </c>
      <c r="G23" s="58" t="str">
        <f t="shared" si="1"/>
        <v/>
      </c>
      <c r="H23" s="2" t="str">
        <f t="shared" si="2"/>
        <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c r="E24" s="86"/>
      <c r="F24" s="6" t="str">
        <f t="shared" ca="1" si="0"/>
        <v/>
      </c>
      <c r="G24" s="58" t="str">
        <f t="shared" si="1"/>
        <v/>
      </c>
      <c r="H24" s="2" t="str">
        <f t="shared" si="2"/>
        <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c r="E25" s="86"/>
      <c r="F25" s="6" t="str">
        <f t="shared" ca="1" si="0"/>
        <v/>
      </c>
      <c r="G25" s="58" t="str">
        <f t="shared" si="1"/>
        <v/>
      </c>
      <c r="H25" s="2" t="str">
        <f t="shared" si="2"/>
        <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conditionalFormatting sqref="E7:E25">
    <cfRule type="cellIs" dxfId="0" priority="1" operator="greaterThan">
      <formula>0</formula>
    </cfRule>
  </conditionalFormatting>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INDIRECT("tarieven!$A$3:$A$"&amp;tarieven!$A$1+3,TRUE)</xm:f>
          </x14:formula1>
          <xm:sqref>A7:A25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O116"/>
  <sheetViews>
    <sheetView view="pageBreakPreview" zoomScale="60" zoomScaleNormal="100" workbookViewId="0">
      <selection activeCell="H23" sqref="H23:H25"/>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59" bestFit="1" customWidth="1"/>
    <col min="10" max="10" width="12.625" customWidth="1"/>
    <col min="11" max="11" width="14.875" customWidth="1"/>
    <col min="12" max="12" width="15.625" bestFit="1" customWidth="1"/>
    <col min="13" max="13" width="13.625" customWidth="1"/>
    <col min="14" max="14" width="10.375" bestFit="1" customWidth="1"/>
    <col min="15" max="15" width="11.375" bestFit="1" customWidth="1"/>
  </cols>
  <sheetData>
    <row r="2" spans="1:15" ht="15.95">
      <c r="A2" s="1" t="s">
        <v>6</v>
      </c>
      <c r="B2" s="52" t="s">
        <v>7</v>
      </c>
      <c r="C2" s="1" t="s">
        <v>9</v>
      </c>
      <c r="D2" s="2" t="s">
        <v>10</v>
      </c>
    </row>
    <row r="3" spans="1:15" ht="15.95">
      <c r="B3" s="52" t="s">
        <v>457</v>
      </c>
    </row>
    <row r="4" spans="1:15" ht="32.1">
      <c r="A4" s="54">
        <v>1</v>
      </c>
      <c r="B4" s="55" t="s">
        <v>471</v>
      </c>
      <c r="C4" s="54" t="s">
        <v>362</v>
      </c>
      <c r="D4" s="56">
        <f ca="1">SUM(H7:H25)</f>
        <v>43.750549999999997</v>
      </c>
      <c r="E4" s="57"/>
      <c r="F4" s="57"/>
    </row>
    <row r="5" spans="1:15" ht="17.100000000000001" thickTop="1">
      <c r="B5" s="52" t="s">
        <v>459</v>
      </c>
      <c r="K5" t="s">
        <v>472</v>
      </c>
    </row>
    <row r="6" spans="1:15" ht="48">
      <c r="A6" s="1" t="s">
        <v>350</v>
      </c>
      <c r="B6" s="52" t="s">
        <v>351</v>
      </c>
      <c r="C6" s="1" t="s">
        <v>9</v>
      </c>
      <c r="D6" s="2" t="s">
        <v>10</v>
      </c>
      <c r="E6" s="6" t="s">
        <v>460</v>
      </c>
      <c r="F6" s="6" t="s">
        <v>461</v>
      </c>
      <c r="G6" s="53" t="s">
        <v>8</v>
      </c>
      <c r="H6" s="2" t="s">
        <v>11</v>
      </c>
      <c r="I6" t="s">
        <v>462</v>
      </c>
      <c r="K6" s="160" t="s">
        <v>473</v>
      </c>
      <c r="L6" s="160" t="s">
        <v>474</v>
      </c>
      <c r="M6" s="161" t="s">
        <v>475</v>
      </c>
      <c r="N6" s="160" t="s">
        <v>476</v>
      </c>
      <c r="O6" s="160" t="s">
        <v>477</v>
      </c>
    </row>
    <row r="7" spans="1:15">
      <c r="A7" s="84">
        <v>201160</v>
      </c>
      <c r="B7" t="str">
        <f ca="1">IF(A7=VLOOKUP(A7,INDIRECT("tarieven!$A$3:$D$"&amp;tarieven!$A$1+3,TRUE),1),VLOOKUP(A7,INDIRECT("tarieven!$A$3:$D$"&amp;tarieven!$A$1+3,TRUE),2),"")</f>
        <v>Frezen asfalt 60mm niet teerh. incl. afvoer en stortkosten 0,-</v>
      </c>
      <c r="C7" t="str">
        <f ca="1">IF(A7=VLOOKUP(A7,INDIRECT("tarieven!$A$3:$D$"&amp;tarieven!$A$1+3,TRUE),1),VLOOKUP(A7,INDIRECT("tarieven!$A$3:$D$"&amp;tarieven!$A$1+3,TRUE),3),"")</f>
        <v>m2</v>
      </c>
      <c r="D7" s="3">
        <v>3</v>
      </c>
      <c r="E7" s="86">
        <v>1</v>
      </c>
      <c r="F7" s="6" t="str">
        <f t="shared" ref="F7:F23" ca="1" si="0">IF(C7="","",$C$4&amp;"/"&amp;C7)</f>
        <v>m2/m2</v>
      </c>
      <c r="G7" s="58">
        <f>IF(E7="","",1/E7)</f>
        <v>1</v>
      </c>
      <c r="H7" s="2">
        <v>3.3</v>
      </c>
      <c r="I7" t="s">
        <v>478</v>
      </c>
      <c r="K7">
        <f>47500*0.06*2.5</f>
        <v>7125</v>
      </c>
      <c r="L7" s="135">
        <f>8*6500</f>
        <v>52000</v>
      </c>
      <c r="M7" s="135">
        <f>4*3500</f>
        <v>14000</v>
      </c>
      <c r="N7" s="135">
        <f>7125*12.5</f>
        <v>89062.5</v>
      </c>
      <c r="O7" s="135">
        <f>L7+M7+N7</f>
        <v>155062.5</v>
      </c>
    </row>
    <row r="8" spans="1:15">
      <c r="A8" s="84">
        <v>102030</v>
      </c>
      <c r="B8" t="str">
        <f ca="1">IF(A8=VLOOKUP(A8,INDIRECT("tarieven!$A$3:$D$"&amp;tarieven!$A$1+3,TRUE),1),VLOOKUP(A8,INDIRECT("tarieven!$A$3:$D$"&amp;tarieven!$A$1+3,TRUE),2),"")</f>
        <v>machinist/chauffeur</v>
      </c>
      <c r="C8" t="str">
        <f ca="1">IF(A8=VLOOKUP(A8,INDIRECT("tarieven!$A$3:$D$"&amp;tarieven!$A$1+3,TRUE),1),VLOOKUP(A8,INDIRECT("tarieven!$A$3:$D$"&amp;tarieven!$A$1+3,TRUE),3),"")</f>
        <v>uur</v>
      </c>
      <c r="D8" s="3">
        <f ca="1">IF(A8=VLOOKUP(A8,INDIRECT("tarieven!$A$3:$D$"&amp;tarieven!$A$1+3,TRUE),1),VLOOKUP(A8,INDIRECT("tarieven!$A$3:$D$"&amp;tarieven!$A$1+3,TRUE),4),"")</f>
        <v>43.34</v>
      </c>
      <c r="E8" s="86">
        <v>250</v>
      </c>
      <c r="F8" s="6" t="str">
        <f t="shared" ca="1" si="0"/>
        <v>m2/uur</v>
      </c>
      <c r="G8" s="58">
        <v>0</v>
      </c>
      <c r="H8" s="2">
        <f t="shared" ref="H8:H22" ca="1" si="1">IF(D8="","",D8*G8)</f>
        <v>0</v>
      </c>
      <c r="O8" s="135">
        <f>O7/47500</f>
        <v>3.2644736842105262</v>
      </c>
    </row>
    <row r="9" spans="1:15">
      <c r="A9" s="84">
        <v>300060</v>
      </c>
      <c r="B9" t="str">
        <f ca="1">IF(A9=VLOOKUP(A9,INDIRECT("tarieven!$A$3:$D$"&amp;tarieven!$A$1+3,TRUE),1),VLOOKUP(A9,INDIRECT("tarieven!$A$3:$D$"&amp;tarieven!$A$1+3,TRUE),2),"")</f>
        <v>trilwals (+ aan en afvoerkosten)</v>
      </c>
      <c r="C9" t="str">
        <f ca="1">IF(A9=VLOOKUP(A9,INDIRECT("tarieven!$A$3:$D$"&amp;tarieven!$A$1+3,TRUE),1),VLOOKUP(A9,INDIRECT("tarieven!$A$3:$D$"&amp;tarieven!$A$1+3,TRUE),3),"")</f>
        <v>dag</v>
      </c>
      <c r="D9" s="3">
        <f ca="1">IF(A9=VLOOKUP(A9,INDIRECT("tarieven!$A$3:$D$"&amp;tarieven!$A$1+3,TRUE),1),VLOOKUP(A9,INDIRECT("tarieven!$A$3:$D$"&amp;tarieven!$A$1+3,TRUE),4),"")</f>
        <v>775</v>
      </c>
      <c r="E9" s="86">
        <v>2000</v>
      </c>
      <c r="F9" s="6" t="str">
        <f t="shared" ca="1" si="0"/>
        <v>m2/dag</v>
      </c>
      <c r="G9" s="58">
        <v>0</v>
      </c>
      <c r="H9" s="2">
        <f t="shared" ca="1" si="1"/>
        <v>0</v>
      </c>
      <c r="I9" t="s">
        <v>479</v>
      </c>
    </row>
    <row r="10" spans="1:15">
      <c r="A10" s="84">
        <v>201610</v>
      </c>
      <c r="B10" t="str">
        <f ca="1">IF(A10=VLOOKUP(A10,INDIRECT("tarieven!$A$3:$D$"&amp;tarieven!$A$1+3,TRUE),1),VLOOKUP(A10,INDIRECT("tarieven!$A$3:$D$"&amp;tarieven!$A$1+3,TRUE),2),"")</f>
        <v>Schoonmaken oppervlak t.b.v. reparaties</v>
      </c>
      <c r="C10" t="str">
        <f ca="1">IF(A10=VLOOKUP(A10,INDIRECT("tarieven!$A$3:$D$"&amp;tarieven!$A$1+3,TRUE),1),VLOOKUP(A10,INDIRECT("tarieven!$A$3:$D$"&amp;tarieven!$A$1+3,TRUE),3),"")</f>
        <v>m2</v>
      </c>
      <c r="D10" s="3">
        <f ca="1">IF(A10=VLOOKUP(A10,INDIRECT("tarieven!$A$3:$D$"&amp;tarieven!$A$1+3,TRUE),1),VLOOKUP(A10,INDIRECT("tarieven!$A$3:$D$"&amp;tarieven!$A$1+3,TRUE),4),"")</f>
        <v>0.4</v>
      </c>
      <c r="E10" s="86">
        <v>0.5</v>
      </c>
      <c r="F10" s="6" t="str">
        <f t="shared" ca="1" si="0"/>
        <v>m2/m2</v>
      </c>
      <c r="G10" s="58">
        <f>IF(E10="","",1/E10)</f>
        <v>2</v>
      </c>
      <c r="H10" s="2">
        <f t="shared" ca="1" si="1"/>
        <v>0.8</v>
      </c>
      <c r="K10" t="s">
        <v>480</v>
      </c>
    </row>
    <row r="11" spans="1:15">
      <c r="A11" s="84">
        <v>300040</v>
      </c>
      <c r="B11" t="str">
        <f ca="1">IF(A11=VLOOKUP(A11,INDIRECT("tarieven!$A$3:$D$"&amp;tarieven!$A$1+3,TRUE),1),VLOOKUP(A11,INDIRECT("tarieven!$A$3:$D$"&amp;tarieven!$A$1+3,TRUE),2),"")</f>
        <v>asfaltset groot met transport incl. (+ aan en afvoerkosten)</v>
      </c>
      <c r="C11" t="str">
        <f ca="1">IF(A11=VLOOKUP(A11,INDIRECT("tarieven!$A$3:$D$"&amp;tarieven!$A$1+3,TRUE),1),VLOOKUP(A11,INDIRECT("tarieven!$A$3:$D$"&amp;tarieven!$A$1+3,TRUE),3),"")</f>
        <v>dag</v>
      </c>
      <c r="D11" s="3">
        <f ca="1">IF(A11=VLOOKUP(A11,INDIRECT("tarieven!$A$3:$D$"&amp;tarieven!$A$1+3,TRUE),1),VLOOKUP(A11,INDIRECT("tarieven!$A$3:$D$"&amp;tarieven!$A$1+3,TRUE),4),"")</f>
        <v>6355.2</v>
      </c>
      <c r="E11" s="86">
        <v>6000</v>
      </c>
      <c r="F11" s="6" t="str">
        <f t="shared" ca="1" si="0"/>
        <v>m2/dag</v>
      </c>
      <c r="G11" s="58">
        <f>IF(E11="","",1/E11)</f>
        <v>1.6666666666666666E-4</v>
      </c>
      <c r="H11" s="2">
        <f t="shared" ca="1" si="1"/>
        <v>1.0591999999999999</v>
      </c>
      <c r="K11" s="132">
        <f>47500/E11</f>
        <v>7.916666666666667</v>
      </c>
    </row>
    <row r="12" spans="1:15">
      <c r="A12" s="84">
        <v>302250</v>
      </c>
      <c r="B12" t="str">
        <f ca="1">IF(A12=VLOOKUP(A12,INDIRECT("tarieven!$A$3:$D$"&amp;tarieven!$A$1+3,TRUE),1),VLOOKUP(A12,INDIRECT("tarieven!$A$3:$D$"&amp;tarieven!$A$1+3,TRUE),2),"")</f>
        <v/>
      </c>
      <c r="C12" t="str">
        <f ca="1">IF(A12=VLOOKUP(A12,INDIRECT("tarieven!$A$3:$D$"&amp;tarieven!$A$1+3,TRUE),1),VLOOKUP(A12,INDIRECT("tarieven!$A$3:$D$"&amp;tarieven!$A$1+3,TRUE),3),"")</f>
        <v/>
      </c>
      <c r="D12" s="3" t="str">
        <f ca="1">IF(A12=VLOOKUP(A12,INDIRECT("tarieven!$A$3:$D$"&amp;tarieven!$A$1+3,TRUE),1),VLOOKUP(A12,INDIRECT("tarieven!$A$3:$D$"&amp;tarieven!$A$1+3,TRUE),4),"")</f>
        <v/>
      </c>
      <c r="E12" s="86">
        <v>1</v>
      </c>
      <c r="F12" s="6" t="str">
        <f t="shared" ca="1" si="0"/>
        <v/>
      </c>
      <c r="G12" s="58">
        <v>7.4999999999999997E-2</v>
      </c>
      <c r="H12" s="2" t="str">
        <f t="shared" ca="1" si="1"/>
        <v/>
      </c>
      <c r="I12" t="s">
        <v>481</v>
      </c>
    </row>
    <row r="13" spans="1:15">
      <c r="A13" s="84">
        <v>302810</v>
      </c>
      <c r="B13" t="str">
        <f ca="1">IF(A13=VLOOKUP(A13,INDIRECT("tarieven!$A$3:$D$"&amp;tarieven!$A$1+3,TRUE),1),VLOOKUP(A13,INDIRECT("tarieven!$A$3:$D$"&amp;tarieven!$A$1+3,TRUE),2),"")</f>
        <v>kleeflaag 0,3kg/m2</v>
      </c>
      <c r="C13" t="str">
        <f ca="1">IF(A13=VLOOKUP(A13,INDIRECT("tarieven!$A$3:$D$"&amp;tarieven!$A$1+3,TRUE),1),VLOOKUP(A13,INDIRECT("tarieven!$A$3:$D$"&amp;tarieven!$A$1+3,TRUE),3),"")</f>
        <v>m2</v>
      </c>
      <c r="D13" s="3">
        <f ca="1">IF(A13=VLOOKUP(A13,INDIRECT("tarieven!$A$3:$D$"&amp;tarieven!$A$1+3,TRUE),1),VLOOKUP(A13,INDIRECT("tarieven!$A$3:$D$"&amp;tarieven!$A$1+3,TRUE),4),"")</f>
        <v>0.35</v>
      </c>
      <c r="E13" s="85">
        <f>0.4/0.08</f>
        <v>5</v>
      </c>
      <c r="F13" s="6" t="str">
        <f t="shared" ca="1" si="0"/>
        <v>m2/m2</v>
      </c>
      <c r="G13" s="58">
        <v>1</v>
      </c>
      <c r="H13" s="2">
        <f t="shared" ca="1" si="1"/>
        <v>0.35</v>
      </c>
    </row>
    <row r="14" spans="1:15">
      <c r="A14" s="84">
        <v>300040</v>
      </c>
      <c r="B14" t="str">
        <f ca="1">IF(A14=VLOOKUP(A14,INDIRECT("tarieven!$A$3:$D$"&amp;tarieven!$A$1+3,TRUE),1),VLOOKUP(A14,INDIRECT("tarieven!$A$3:$D$"&amp;tarieven!$A$1+3,TRUE),2),"")</f>
        <v>asfaltset groot met transport incl. (+ aan en afvoerkosten)</v>
      </c>
      <c r="C14" t="str">
        <f ca="1">IF(A14=VLOOKUP(A14,INDIRECT("tarieven!$A$3:$D$"&amp;tarieven!$A$1+3,TRUE),1),VLOOKUP(A14,INDIRECT("tarieven!$A$3:$D$"&amp;tarieven!$A$1+3,TRUE),3),"")</f>
        <v>dag</v>
      </c>
      <c r="D14" s="3">
        <f ca="1">IF(A14=VLOOKUP(A14,INDIRECT("tarieven!$A$3:$D$"&amp;tarieven!$A$1+3,TRUE),1),VLOOKUP(A14,INDIRECT("tarieven!$A$3:$D$"&amp;tarieven!$A$1+3,TRUE),4),"")</f>
        <v>6355.2</v>
      </c>
      <c r="E14" s="86">
        <v>6000</v>
      </c>
      <c r="F14" s="6" t="str">
        <f t="shared" ca="1" si="0"/>
        <v>m2/dag</v>
      </c>
      <c r="G14" s="58">
        <f>IF(E14="","",1/E14)</f>
        <v>1.6666666666666666E-4</v>
      </c>
      <c r="H14" s="2">
        <f t="shared" ca="1" si="1"/>
        <v>1.0591999999999999</v>
      </c>
      <c r="K14" s="132">
        <f>47500/E14</f>
        <v>7.916666666666667</v>
      </c>
    </row>
    <row r="15" spans="1:15">
      <c r="A15" s="84">
        <v>302110</v>
      </c>
      <c r="B15" t="str">
        <f ca="1">IF(A15=VLOOKUP(A15,INDIRECT("tarieven!$A$3:$D$"&amp;tarieven!$A$1+3,TRUE),1),VLOOKUP(A15,INDIRECT("tarieven!$A$3:$D$"&amp;tarieven!$A$1+3,TRUE),2),"")</f>
        <v>levering asfalt onderlaag AC22 base OL-A</v>
      </c>
      <c r="C15" t="str">
        <f ca="1">IF(A15=VLOOKUP(A15,INDIRECT("tarieven!$A$3:$D$"&amp;tarieven!$A$1+3,TRUE),1),VLOOKUP(A15,INDIRECT("tarieven!$A$3:$D$"&amp;tarieven!$A$1+3,TRUE),3),"")</f>
        <v>ton</v>
      </c>
      <c r="D15" s="3">
        <f ca="1">IF(A15=VLOOKUP(A15,INDIRECT("tarieven!$A$3:$D$"&amp;tarieven!$A$1+3,TRUE),1),VLOOKUP(A15,INDIRECT("tarieven!$A$3:$D$"&amp;tarieven!$A$1+3,TRUE),4),"")</f>
        <v>76.8</v>
      </c>
      <c r="E15" s="85">
        <f>0.4/0.08</f>
        <v>5</v>
      </c>
      <c r="F15" s="6" t="str">
        <f t="shared" ca="1" si="0"/>
        <v>m2/ton</v>
      </c>
      <c r="G15" s="58">
        <v>0.17499999999999999</v>
      </c>
      <c r="H15" s="2">
        <f t="shared" ca="1" si="1"/>
        <v>13.44</v>
      </c>
      <c r="I15" t="s">
        <v>482</v>
      </c>
    </row>
    <row r="16" spans="1:15">
      <c r="A16" s="84">
        <v>302810</v>
      </c>
      <c r="B16" t="str">
        <f ca="1">IF(A16=VLOOKUP(A16,INDIRECT("tarieven!$A$3:$D$"&amp;tarieven!$A$1+3,TRUE),1),VLOOKUP(A16,INDIRECT("tarieven!$A$3:$D$"&amp;tarieven!$A$1+3,TRUE),2),"")</f>
        <v>kleeflaag 0,3kg/m2</v>
      </c>
      <c r="C16" t="str">
        <f ca="1">IF(A16=VLOOKUP(A16,INDIRECT("tarieven!$A$3:$D$"&amp;tarieven!$A$1+3,TRUE),1),VLOOKUP(A16,INDIRECT("tarieven!$A$3:$D$"&amp;tarieven!$A$1+3,TRUE),3),"")</f>
        <v>m2</v>
      </c>
      <c r="D16" s="3">
        <f ca="1">IF(A16=VLOOKUP(A16,INDIRECT("tarieven!$A$3:$D$"&amp;tarieven!$A$1+3,TRUE),1),VLOOKUP(A16,INDIRECT("tarieven!$A$3:$D$"&amp;tarieven!$A$1+3,TRUE),4),"")</f>
        <v>0.35</v>
      </c>
      <c r="E16" s="85">
        <f>0.4/0.08</f>
        <v>5</v>
      </c>
      <c r="F16" s="6" t="str">
        <f t="shared" ca="1" si="0"/>
        <v>m2/m2</v>
      </c>
      <c r="G16" s="58">
        <v>1</v>
      </c>
      <c r="H16" s="2">
        <f t="shared" ca="1" si="1"/>
        <v>0.35</v>
      </c>
    </row>
    <row r="17" spans="1:11">
      <c r="A17" s="84">
        <v>300040</v>
      </c>
      <c r="B17" t="str">
        <f ca="1">IF(A17=VLOOKUP(A17,INDIRECT("tarieven!$A$3:$D$"&amp;tarieven!$A$1+3,TRUE),1),VLOOKUP(A17,INDIRECT("tarieven!$A$3:$D$"&amp;tarieven!$A$1+3,TRUE),2),"")</f>
        <v>asfaltset groot met transport incl. (+ aan en afvoerkosten)</v>
      </c>
      <c r="C17" t="str">
        <f ca="1">IF(A17=VLOOKUP(A17,INDIRECT("tarieven!$A$3:$D$"&amp;tarieven!$A$1+3,TRUE),1),VLOOKUP(A17,INDIRECT("tarieven!$A$3:$D$"&amp;tarieven!$A$1+3,TRUE),3),"")</f>
        <v>dag</v>
      </c>
      <c r="D17" s="3">
        <f ca="1">IF(A17=VLOOKUP(A17,INDIRECT("tarieven!$A$3:$D$"&amp;tarieven!$A$1+3,TRUE),1),VLOOKUP(A17,INDIRECT("tarieven!$A$3:$D$"&amp;tarieven!$A$1+3,TRUE),4),"")</f>
        <v>6355.2</v>
      </c>
      <c r="E17" s="86">
        <v>6000</v>
      </c>
      <c r="F17" s="6" t="str">
        <f t="shared" ca="1" si="0"/>
        <v>m2/dag</v>
      </c>
      <c r="G17" s="58">
        <f>IF(E17="","",1/E17)</f>
        <v>1.6666666666666666E-4</v>
      </c>
      <c r="H17" s="2">
        <f t="shared" ca="1" si="1"/>
        <v>1.0591999999999999</v>
      </c>
      <c r="K17" s="132">
        <f>47500/E17</f>
        <v>7.916666666666667</v>
      </c>
    </row>
    <row r="18" spans="1:11">
      <c r="A18" s="84">
        <v>302110</v>
      </c>
      <c r="B18" t="str">
        <f ca="1">IF(A18=VLOOKUP(A18,INDIRECT("tarieven!$A$3:$D$"&amp;tarieven!$A$1+3,TRUE),1),VLOOKUP(A18,INDIRECT("tarieven!$A$3:$D$"&amp;tarieven!$A$1+3,TRUE),2),"")</f>
        <v>levering asfalt onderlaag AC22 base OL-A</v>
      </c>
      <c r="C18" t="str">
        <f ca="1">IF(A18=VLOOKUP(A18,INDIRECT("tarieven!$A$3:$D$"&amp;tarieven!$A$1+3,TRUE),1),VLOOKUP(A18,INDIRECT("tarieven!$A$3:$D$"&amp;tarieven!$A$1+3,TRUE),3),"")</f>
        <v>ton</v>
      </c>
      <c r="D18" s="3">
        <f ca="1">IF(A18=VLOOKUP(A18,INDIRECT("tarieven!$A$3:$D$"&amp;tarieven!$A$1+3,TRUE),1),VLOOKUP(A18,INDIRECT("tarieven!$A$3:$D$"&amp;tarieven!$A$1+3,TRUE),4),"")</f>
        <v>76.8</v>
      </c>
      <c r="E18" s="86">
        <v>1</v>
      </c>
      <c r="F18" s="6" t="str">
        <f t="shared" ca="1" si="0"/>
        <v>m2/ton</v>
      </c>
      <c r="G18" s="58">
        <v>0.16250000000000001</v>
      </c>
      <c r="H18" s="2">
        <f t="shared" ca="1" si="1"/>
        <v>12.48</v>
      </c>
      <c r="I18" t="s">
        <v>483</v>
      </c>
    </row>
    <row r="19" spans="1:11">
      <c r="A19" s="84">
        <v>302810</v>
      </c>
      <c r="B19" t="str">
        <f ca="1">IF(A19=VLOOKUP(A19,INDIRECT("tarieven!$A$3:$D$"&amp;tarieven!$A$1+3,TRUE),1),VLOOKUP(A19,INDIRECT("tarieven!$A$3:$D$"&amp;tarieven!$A$1+3,TRUE),2),"")</f>
        <v>kleeflaag 0,3kg/m2</v>
      </c>
      <c r="C19" t="str">
        <f ca="1">IF(A19=VLOOKUP(A19,INDIRECT("tarieven!$A$3:$D$"&amp;tarieven!$A$1+3,TRUE),1),VLOOKUP(A19,INDIRECT("tarieven!$A$3:$D$"&amp;tarieven!$A$1+3,TRUE),3),"")</f>
        <v>m2</v>
      </c>
      <c r="D19" s="3">
        <f ca="1">IF(A19=VLOOKUP(A19,INDIRECT("tarieven!$A$3:$D$"&amp;tarieven!$A$1+3,TRUE),1),VLOOKUP(A19,INDIRECT("tarieven!$A$3:$D$"&amp;tarieven!$A$1+3,TRUE),4),"")</f>
        <v>0.35</v>
      </c>
      <c r="E19" s="86">
        <v>1</v>
      </c>
      <c r="F19" s="6" t="str">
        <f t="shared" ca="1" si="0"/>
        <v>m2/m2</v>
      </c>
      <c r="G19" s="58">
        <f>IF(E19="","",1/E19)</f>
        <v>1</v>
      </c>
      <c r="H19" s="2">
        <f t="shared" ca="1" si="1"/>
        <v>0.35</v>
      </c>
    </row>
    <row r="20" spans="1:11">
      <c r="A20" s="84">
        <v>300040</v>
      </c>
      <c r="B20" t="str">
        <f ca="1">IF(A20=VLOOKUP(A20,INDIRECT("tarieven!$A$3:$D$"&amp;tarieven!$A$1+3,TRUE),1),VLOOKUP(A20,INDIRECT("tarieven!$A$3:$D$"&amp;tarieven!$A$1+3,TRUE),2),"")</f>
        <v>asfaltset groot met transport incl. (+ aan en afvoerkosten)</v>
      </c>
      <c r="C20" t="str">
        <f ca="1">IF(A20=VLOOKUP(A20,INDIRECT("tarieven!$A$3:$D$"&amp;tarieven!$A$1+3,TRUE),1),VLOOKUP(A20,INDIRECT("tarieven!$A$3:$D$"&amp;tarieven!$A$1+3,TRUE),3),"")</f>
        <v>dag</v>
      </c>
      <c r="D20" s="3">
        <f ca="1">IF(A20=VLOOKUP(A20,INDIRECT("tarieven!$A$3:$D$"&amp;tarieven!$A$1+3,TRUE),1),VLOOKUP(A20,INDIRECT("tarieven!$A$3:$D$"&amp;tarieven!$A$1+3,TRUE),4),"")</f>
        <v>6355.2</v>
      </c>
      <c r="E20" s="86">
        <v>6000</v>
      </c>
      <c r="F20" s="6" t="str">
        <f t="shared" ca="1" si="0"/>
        <v>m2/dag</v>
      </c>
      <c r="G20" s="58">
        <f>IF(E20="","",1/E20)</f>
        <v>1.6666666666666666E-4</v>
      </c>
      <c r="H20" s="2">
        <f t="shared" ca="1" si="1"/>
        <v>1.0591999999999999</v>
      </c>
      <c r="K20" s="132">
        <f>47500/E20</f>
        <v>7.916666666666667</v>
      </c>
    </row>
    <row r="21" spans="1:11">
      <c r="A21" s="84">
        <v>301220</v>
      </c>
      <c r="B21" t="str">
        <f ca="1">IF(A21=VLOOKUP(A21,INDIRECT("tarieven!$A$3:$D$"&amp;tarieven!$A$1+3,TRUE),1),VLOOKUP(A21,INDIRECT("tarieven!$A$3:$D$"&amp;tarieven!$A$1+3,TRUE),2),"")</f>
        <v xml:space="preserve">levering asfalt deklaag geluidsreducerend incl. SMA 8A type </v>
      </c>
      <c r="C21" t="str">
        <f ca="1">IF(A21=VLOOKUP(A21,INDIRECT("tarieven!$A$3:$D$"&amp;tarieven!$A$1+3,TRUE),1),VLOOKUP(A21,INDIRECT("tarieven!$A$3:$D$"&amp;tarieven!$A$1+3,TRUE),3),"")</f>
        <v>ton</v>
      </c>
      <c r="D21" s="3">
        <f ca="1">IF(A21=VLOOKUP(A21,INDIRECT("tarieven!$A$3:$D$"&amp;tarieven!$A$1+3,TRUE),1),VLOOKUP(A21,INDIRECT("tarieven!$A$3:$D$"&amp;tarieven!$A$1+3,TRUE),4),"")</f>
        <v>96.5</v>
      </c>
      <c r="E21" s="85">
        <f>0.4/0.04</f>
        <v>10</v>
      </c>
      <c r="F21" s="6" t="str">
        <f t="shared" ca="1" si="0"/>
        <v>m2/ton</v>
      </c>
      <c r="G21" s="58">
        <v>8.7499999999999994E-2</v>
      </c>
      <c r="H21" s="2">
        <f t="shared" ca="1" si="1"/>
        <v>8.4437499999999996</v>
      </c>
      <c r="I21" t="s">
        <v>484</v>
      </c>
      <c r="K21" s="132"/>
    </row>
    <row r="22" spans="1:11">
      <c r="A22" s="84">
        <v>401010</v>
      </c>
      <c r="B22" t="str">
        <f ca="1">IF(A22=VLOOKUP(A22,INDIRECT("tarieven!$A$3:$D$"&amp;tarieven!$A$1+3,TRUE),1),VLOOKUP(A22,INDIRECT("tarieven!$A$3:$D$"&amp;tarieven!$A$1+3,TRUE),2),"")</f>
        <v/>
      </c>
      <c r="C22" t="str">
        <f ca="1">IF(A22=VLOOKUP(A22,INDIRECT("tarieven!$A$3:$D$"&amp;tarieven!$A$1+3,TRUE),1),VLOOKUP(A22,INDIRECT("tarieven!$A$3:$D$"&amp;tarieven!$A$1+3,TRUE),3),"")</f>
        <v/>
      </c>
      <c r="D22" s="3" t="str">
        <f ca="1">IF(A22=VLOOKUP(A22,INDIRECT("tarieven!$A$3:$D$"&amp;tarieven!$A$1+3,TRUE),1),VLOOKUP(A22,INDIRECT("tarieven!$A$3:$D$"&amp;tarieven!$A$1+3,TRUE),4),"")</f>
        <v/>
      </c>
      <c r="E22" s="86">
        <v>6000</v>
      </c>
      <c r="F22" s="6" t="str">
        <f t="shared" ca="1" si="0"/>
        <v/>
      </c>
      <c r="G22" s="58">
        <f>IF(E22="","",1/E22)</f>
        <v>1.6666666666666666E-4</v>
      </c>
      <c r="H22" s="2" t="str">
        <f t="shared" ca="1" si="1"/>
        <v/>
      </c>
      <c r="I22" s="130" t="s">
        <v>485</v>
      </c>
    </row>
    <row r="23" spans="1:11">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IF(E23="","",1/E23)</f>
        <v/>
      </c>
    </row>
    <row r="24" spans="1:11">
      <c r="A24" s="84" t="s">
        <v>6</v>
      </c>
      <c r="B24" s="165" t="s">
        <v>486</v>
      </c>
      <c r="C24" s="166">
        <f>47500*(0.17*2.5)</f>
        <v>20187.500000000004</v>
      </c>
      <c r="D24" s="3">
        <f ca="1">IF(A24=VLOOKUP(A24,INDIRECT("tarieven!$A$3:$D$"&amp;tarieven!$A$1+3,TRUE),1),VLOOKUP(A24,INDIRECT("tarieven!$A$3:$D$"&amp;tarieven!$A$1+3,TRUE),4),"")</f>
        <v>0</v>
      </c>
      <c r="E24" s="86"/>
      <c r="G24" s="58" t="str">
        <f>IF(E24="","",1/E24)</f>
        <v/>
      </c>
    </row>
    <row r="25" spans="1:11">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ca="1">IF(C25="","",$C$4&amp;"/"&amp;C25)</f>
        <v/>
      </c>
      <c r="G25" s="58" t="str">
        <f>IF(E25="","",1/E25)</f>
        <v/>
      </c>
      <c r="I25" s="165"/>
      <c r="J25" s="166"/>
    </row>
    <row r="26" spans="1:11">
      <c r="A26" s="84" t="s">
        <v>6</v>
      </c>
      <c r="B26" s="160" t="s">
        <v>487</v>
      </c>
      <c r="C26"/>
      <c r="D26"/>
      <c r="E26"/>
      <c r="F26"/>
      <c r="G26"/>
      <c r="H26"/>
    </row>
    <row r="27" spans="1:11">
      <c r="A27" s="84" t="s">
        <v>6</v>
      </c>
      <c r="B27"/>
      <c r="C27"/>
      <c r="D27"/>
      <c r="E27"/>
      <c r="F27"/>
      <c r="G27"/>
      <c r="H27"/>
    </row>
    <row r="28" spans="1:11">
      <c r="A28" s="84" t="s">
        <v>6</v>
      </c>
    </row>
    <row r="31" spans="1:11">
      <c r="B31" s="160" t="s">
        <v>488</v>
      </c>
      <c r="C31"/>
      <c r="D31"/>
      <c r="E31"/>
      <c r="F31"/>
      <c r="G31"/>
      <c r="H31"/>
    </row>
    <row r="32" spans="1:11" ht="15.95" thickBot="1">
      <c r="B32"/>
      <c r="C32"/>
      <c r="D32"/>
      <c r="E32"/>
      <c r="F32"/>
      <c r="G32"/>
      <c r="H32"/>
    </row>
    <row r="33" spans="2:9" ht="15.95" thickBot="1">
      <c r="B33" s="138"/>
      <c r="C33" s="144" t="s">
        <v>489</v>
      </c>
      <c r="D33" s="145" t="s">
        <v>490</v>
      </c>
      <c r="E33" s="146" t="s">
        <v>491</v>
      </c>
      <c r="F33" s="146" t="s">
        <v>492</v>
      </c>
      <c r="G33" s="146" t="s">
        <v>493</v>
      </c>
      <c r="H33" s="146" t="s">
        <v>494</v>
      </c>
      <c r="I33" s="146" t="s">
        <v>495</v>
      </c>
    </row>
    <row r="34" spans="2:9" ht="15.95">
      <c r="B34" s="139" t="s">
        <v>496</v>
      </c>
      <c r="C34" s="147" t="s">
        <v>497</v>
      </c>
      <c r="D34" s="148" t="s">
        <v>498</v>
      </c>
      <c r="E34" s="149">
        <f>900*2</f>
        <v>1800</v>
      </c>
      <c r="F34" s="150">
        <f>900*2</f>
        <v>1800</v>
      </c>
      <c r="G34" s="150">
        <f>900*2</f>
        <v>1800</v>
      </c>
      <c r="H34" s="150"/>
      <c r="I34" s="151"/>
    </row>
    <row r="35" spans="2:9" ht="15.95">
      <c r="B35" s="393" t="s">
        <v>499</v>
      </c>
      <c r="C35" s="394"/>
      <c r="D35" s="395"/>
      <c r="E35" s="396">
        <f>2*200*2</f>
        <v>800</v>
      </c>
      <c r="F35" s="396"/>
      <c r="G35" s="396"/>
      <c r="H35" s="396"/>
      <c r="I35" s="382"/>
    </row>
    <row r="36" spans="2:9" ht="15.95">
      <c r="B36" s="393" t="s">
        <v>500</v>
      </c>
      <c r="C36" s="394"/>
      <c r="D36" s="395"/>
      <c r="E36" s="396"/>
      <c r="F36" s="396"/>
      <c r="G36" s="396"/>
      <c r="H36" s="396">
        <v>400</v>
      </c>
      <c r="I36" s="382"/>
    </row>
    <row r="37" spans="2:9" ht="15.95">
      <c r="B37" s="393" t="s">
        <v>501</v>
      </c>
      <c r="C37" s="394" t="s">
        <v>498</v>
      </c>
      <c r="D37" s="395" t="s">
        <v>502</v>
      </c>
      <c r="E37" s="382">
        <f>900*2</f>
        <v>1800</v>
      </c>
      <c r="F37" s="396"/>
      <c r="G37" s="396">
        <f>900*2</f>
        <v>1800</v>
      </c>
      <c r="H37" s="396"/>
      <c r="I37" s="382"/>
    </row>
    <row r="38" spans="2:9" ht="15.95">
      <c r="B38" s="393" t="s">
        <v>503</v>
      </c>
      <c r="C38" s="394"/>
      <c r="D38" s="395"/>
      <c r="E38" s="396">
        <f>4*200*2</f>
        <v>1600</v>
      </c>
      <c r="F38" s="396"/>
      <c r="G38" s="396"/>
      <c r="H38" s="396"/>
      <c r="I38" s="382"/>
    </row>
    <row r="39" spans="2:9" ht="15.95">
      <c r="B39" s="393" t="s">
        <v>500</v>
      </c>
      <c r="C39" s="394"/>
      <c r="D39" s="395"/>
      <c r="E39" s="396"/>
      <c r="F39" s="396"/>
      <c r="G39" s="396"/>
      <c r="H39" s="396">
        <v>150</v>
      </c>
      <c r="I39" s="382"/>
    </row>
    <row r="40" spans="2:9" ht="15.95">
      <c r="B40" s="393" t="s">
        <v>504</v>
      </c>
      <c r="C40" s="394" t="s">
        <v>502</v>
      </c>
      <c r="D40" s="395" t="s">
        <v>505</v>
      </c>
      <c r="E40" s="396">
        <f>2*3500</f>
        <v>7000</v>
      </c>
      <c r="F40" s="396"/>
      <c r="G40" s="396"/>
      <c r="H40" s="396"/>
      <c r="I40" s="382"/>
    </row>
    <row r="41" spans="2:9" ht="17.100000000000001" thickBot="1">
      <c r="B41" s="393" t="s">
        <v>506</v>
      </c>
      <c r="C41" s="390"/>
      <c r="D41" s="390"/>
      <c r="E41" s="397"/>
      <c r="F41" s="397"/>
      <c r="G41" s="397"/>
      <c r="H41" s="397">
        <v>200</v>
      </c>
      <c r="I41" s="390"/>
    </row>
    <row r="42" spans="2:9" ht="17.100000000000001" thickBot="1">
      <c r="B42" s="138" t="s">
        <v>507</v>
      </c>
      <c r="C42" s="146"/>
      <c r="D42" s="146"/>
      <c r="E42" s="152">
        <f>SUM(E34:E41)</f>
        <v>13000</v>
      </c>
      <c r="F42" s="152">
        <f>SUM(F34:F41)</f>
        <v>1800</v>
      </c>
      <c r="G42" s="152">
        <f>SUM(G34:G41)</f>
        <v>3600</v>
      </c>
      <c r="H42" s="152">
        <f>SUM(H34:H41)</f>
        <v>750</v>
      </c>
      <c r="I42" s="146"/>
    </row>
    <row r="43" spans="2:9" ht="17.100000000000001" thickBot="1">
      <c r="B43" s="143" t="s">
        <v>508</v>
      </c>
      <c r="C43" s="153"/>
      <c r="D43" s="153"/>
      <c r="E43" s="154">
        <v>3.25</v>
      </c>
      <c r="F43" s="154">
        <v>2</v>
      </c>
      <c r="G43" s="154">
        <v>2.5</v>
      </c>
      <c r="H43" s="154">
        <v>65</v>
      </c>
      <c r="I43" s="153"/>
    </row>
    <row r="44" spans="2:9" ht="17.100000000000001" thickBot="1">
      <c r="B44" s="138" t="s">
        <v>509</v>
      </c>
      <c r="C44" s="146"/>
      <c r="D44" s="146"/>
      <c r="E44" s="155">
        <f>E43*E42</f>
        <v>42250</v>
      </c>
      <c r="F44" s="155">
        <f>F43*F42</f>
        <v>3600</v>
      </c>
      <c r="G44" s="155">
        <f>G43*G42</f>
        <v>9000</v>
      </c>
      <c r="H44" s="155">
        <f>H43*H42</f>
        <v>48750</v>
      </c>
      <c r="I44" s="156">
        <f>SUM(I34:I41)*I43</f>
        <v>0</v>
      </c>
    </row>
    <row r="45" spans="2:9" ht="15.95" thickBot="1">
      <c r="G45" s="58" t="str">
        <f>IF(E45="","",1/E45)</f>
        <v/>
      </c>
      <c r="H45" s="2" t="str">
        <f>IF(G45="","",D45*G45)</f>
        <v/>
      </c>
    </row>
    <row r="46" spans="2:9" ht="17.100000000000001" thickBot="1">
      <c r="B46" s="140" t="s">
        <v>510</v>
      </c>
      <c r="C46" s="141"/>
      <c r="D46" s="142"/>
      <c r="E46" s="159">
        <f>E44+F44+G44+H44+I44</f>
        <v>103600</v>
      </c>
      <c r="G46" s="58"/>
    </row>
    <row r="47" spans="2:9" ht="15.95" thickBot="1">
      <c r="G47" s="58" t="str">
        <f>IF(E47="","",1/E47)</f>
        <v/>
      </c>
      <c r="H47" s="2" t="str">
        <f>IF(G47="","",D47*G47)</f>
        <v/>
      </c>
    </row>
    <row r="48" spans="2:9" ht="15.95" thickBot="1">
      <c r="B48" s="138"/>
      <c r="C48" s="144" t="s">
        <v>511</v>
      </c>
      <c r="D48" s="145" t="s">
        <v>512</v>
      </c>
      <c r="E48" s="158" t="s">
        <v>477</v>
      </c>
      <c r="G48" s="58"/>
    </row>
    <row r="49" spans="2:8" ht="15.95">
      <c r="B49" s="139" t="s">
        <v>513</v>
      </c>
      <c r="C49" s="147">
        <f>5400*3*0.1</f>
        <v>1620</v>
      </c>
      <c r="D49" s="148">
        <v>24</v>
      </c>
      <c r="E49" s="148">
        <f>C49*D49</f>
        <v>38880</v>
      </c>
      <c r="G49" s="58"/>
    </row>
    <row r="50" spans="2:8" ht="17.100000000000001" thickBot="1">
      <c r="B50" s="336" t="s">
        <v>514</v>
      </c>
      <c r="C50" s="337">
        <f>5400*3</f>
        <v>16200</v>
      </c>
      <c r="D50" s="338">
        <f>0.25+2+1.5</f>
        <v>3.75</v>
      </c>
      <c r="E50" s="338">
        <f>C50*D50</f>
        <v>60750</v>
      </c>
      <c r="G50" s="58"/>
    </row>
    <row r="51" spans="2:8" ht="17.100000000000001" thickBot="1">
      <c r="B51" s="168" t="s">
        <v>515</v>
      </c>
      <c r="C51" s="169"/>
      <c r="D51" s="170"/>
      <c r="E51" s="171">
        <f>SUM(E49:E50)</f>
        <v>99630</v>
      </c>
      <c r="G51" s="58"/>
    </row>
    <row r="52" spans="2:8">
      <c r="E52" s="157"/>
      <c r="G52" s="58"/>
    </row>
    <row r="53" spans="2:8" ht="15.95">
      <c r="B53" s="52" t="s">
        <v>516</v>
      </c>
      <c r="E53" s="2">
        <v>5000</v>
      </c>
      <c r="G53" s="58"/>
    </row>
    <row r="54" spans="2:8" ht="15.95">
      <c r="B54" s="52" t="s">
        <v>517</v>
      </c>
      <c r="C54" s="1">
        <f>6.4*2*10</f>
        <v>128</v>
      </c>
      <c r="D54" s="2">
        <f>150+25+5</f>
        <v>180</v>
      </c>
      <c r="E54" s="2">
        <f>C54*D54</f>
        <v>23040</v>
      </c>
      <c r="G54" s="58"/>
    </row>
    <row r="55" spans="2:8" ht="15.95" thickBot="1">
      <c r="E55" s="2"/>
      <c r="G55" s="58"/>
    </row>
    <row r="56" spans="2:8" ht="17.100000000000001" thickBot="1">
      <c r="B56" s="140" t="s">
        <v>518</v>
      </c>
      <c r="C56" s="179" t="s">
        <v>375</v>
      </c>
      <c r="D56" s="174" t="s">
        <v>519</v>
      </c>
      <c r="E56" s="175" t="s">
        <v>477</v>
      </c>
      <c r="G56" s="58" t="s">
        <v>520</v>
      </c>
    </row>
    <row r="57" spans="2:8" ht="15.95">
      <c r="B57" s="178" t="s">
        <v>521</v>
      </c>
      <c r="C57" s="180">
        <v>1000</v>
      </c>
      <c r="D57" s="172">
        <v>5</v>
      </c>
      <c r="E57" s="173">
        <f>C57*D57</f>
        <v>5000</v>
      </c>
      <c r="G57" s="58" t="s">
        <v>522</v>
      </c>
      <c r="H57" s="2">
        <f>0.5*125</f>
        <v>62.5</v>
      </c>
    </row>
    <row r="58" spans="2:8" ht="15.95">
      <c r="B58" s="363" t="s">
        <v>523</v>
      </c>
      <c r="C58" s="374">
        <v>1000</v>
      </c>
      <c r="D58" s="365">
        <f>H65</f>
        <v>85.16</v>
      </c>
      <c r="E58" s="375">
        <f>C58*D58</f>
        <v>85160</v>
      </c>
      <c r="G58" s="58" t="s">
        <v>524</v>
      </c>
      <c r="H58" s="2">
        <f>(2*4000+1500+750)/1000</f>
        <v>10.25</v>
      </c>
    </row>
    <row r="59" spans="2:8" ht="15.95">
      <c r="B59" s="398" t="s">
        <v>525</v>
      </c>
      <c r="C59" s="383"/>
      <c r="D59" s="376"/>
      <c r="E59" s="377">
        <v>4840</v>
      </c>
      <c r="G59" s="58"/>
    </row>
    <row r="60" spans="2:8" ht="17.100000000000001" thickBot="1">
      <c r="B60" s="398" t="s">
        <v>495</v>
      </c>
      <c r="C60" s="383"/>
      <c r="D60" s="378"/>
      <c r="E60" s="379">
        <v>5000</v>
      </c>
      <c r="G60" s="58" t="s">
        <v>526</v>
      </c>
      <c r="H60" s="2">
        <f>(5*10*55*2)/1000</f>
        <v>5.5</v>
      </c>
    </row>
    <row r="61" spans="2:8" ht="17.100000000000001" thickBot="1">
      <c r="B61" s="140" t="s">
        <v>527</v>
      </c>
      <c r="C61" s="179"/>
      <c r="D61" s="176"/>
      <c r="E61" s="177">
        <f>SUM(E57:E60)</f>
        <v>100000</v>
      </c>
      <c r="G61" s="58" t="s">
        <v>528</v>
      </c>
      <c r="H61" s="2">
        <f>2000/1000</f>
        <v>2</v>
      </c>
    </row>
    <row r="62" spans="2:8">
      <c r="D62" s="164"/>
      <c r="G62" s="58" t="s">
        <v>529</v>
      </c>
      <c r="H62" s="2">
        <f>(2*750+250)/1000</f>
        <v>1.75</v>
      </c>
    </row>
    <row r="63" spans="2:8">
      <c r="G63" s="58" t="s">
        <v>530</v>
      </c>
      <c r="H63" s="2">
        <f>(2*10*55)/1000</f>
        <v>1.1000000000000001</v>
      </c>
    </row>
    <row r="64" spans="2:8">
      <c r="G64" s="58" t="s">
        <v>531</v>
      </c>
      <c r="H64" s="2">
        <f>(H58+H60+H61+H62+H63)*0.1</f>
        <v>2.06</v>
      </c>
    </row>
    <row r="65" spans="2:8" ht="15.95">
      <c r="B65" s="162" t="s">
        <v>532</v>
      </c>
      <c r="C65" s="163">
        <f>10+50+45+105+60+100+35+50+10+100+25</f>
        <v>590</v>
      </c>
      <c r="D65" s="164" t="s">
        <v>533</v>
      </c>
      <c r="G65" s="167" t="s">
        <v>534</v>
      </c>
      <c r="H65" s="164">
        <f>SUM(H57:H64)</f>
        <v>85.16</v>
      </c>
    </row>
    <row r="66" spans="2:8">
      <c r="G66" s="58" t="str">
        <f t="shared" ref="G66:G81" si="2">IF(E66="","",1/E66)</f>
        <v/>
      </c>
      <c r="H66" s="2" t="str">
        <f t="shared" ref="H66:H100" si="3">IF(G66="","",D66*G66)</f>
        <v/>
      </c>
    </row>
    <row r="67" spans="2:8">
      <c r="G67" s="58" t="str">
        <f t="shared" si="2"/>
        <v/>
      </c>
      <c r="H67" s="2" t="str">
        <f t="shared" si="3"/>
        <v/>
      </c>
    </row>
    <row r="68" spans="2:8">
      <c r="G68" s="58" t="str">
        <f t="shared" si="2"/>
        <v/>
      </c>
      <c r="H68" s="2" t="str">
        <f t="shared" si="3"/>
        <v/>
      </c>
    </row>
    <row r="69" spans="2:8">
      <c r="G69" s="58" t="str">
        <f t="shared" si="2"/>
        <v/>
      </c>
      <c r="H69" s="2" t="str">
        <f t="shared" si="3"/>
        <v/>
      </c>
    </row>
    <row r="70" spans="2:8">
      <c r="G70" s="58" t="str">
        <f t="shared" si="2"/>
        <v/>
      </c>
      <c r="H70" s="2" t="str">
        <f t="shared" si="3"/>
        <v/>
      </c>
    </row>
    <row r="71" spans="2:8">
      <c r="G71" s="58" t="str">
        <f t="shared" si="2"/>
        <v/>
      </c>
      <c r="H71" s="2" t="str">
        <f t="shared" si="3"/>
        <v/>
      </c>
    </row>
    <row r="72" spans="2:8">
      <c r="G72" s="58" t="str">
        <f t="shared" si="2"/>
        <v/>
      </c>
      <c r="H72" s="2" t="str">
        <f t="shared" si="3"/>
        <v/>
      </c>
    </row>
    <row r="73" spans="2:8">
      <c r="G73" s="58" t="str">
        <f t="shared" si="2"/>
        <v/>
      </c>
      <c r="H73" s="2" t="str">
        <f t="shared" si="3"/>
        <v/>
      </c>
    </row>
    <row r="74" spans="2:8">
      <c r="G74" s="58" t="str">
        <f t="shared" si="2"/>
        <v/>
      </c>
      <c r="H74" s="2" t="str">
        <f t="shared" si="3"/>
        <v/>
      </c>
    </row>
    <row r="75" spans="2:8">
      <c r="G75" s="58" t="str">
        <f t="shared" si="2"/>
        <v/>
      </c>
      <c r="H75" s="2" t="str">
        <f t="shared" si="3"/>
        <v/>
      </c>
    </row>
    <row r="76" spans="2:8">
      <c r="G76" s="58" t="str">
        <f t="shared" si="2"/>
        <v/>
      </c>
      <c r="H76" s="2" t="str">
        <f t="shared" si="3"/>
        <v/>
      </c>
    </row>
    <row r="77" spans="2:8">
      <c r="G77" s="58" t="str">
        <f t="shared" si="2"/>
        <v/>
      </c>
      <c r="H77" s="2" t="str">
        <f t="shared" si="3"/>
        <v/>
      </c>
    </row>
    <row r="78" spans="2:8">
      <c r="G78" s="58" t="str">
        <f t="shared" si="2"/>
        <v/>
      </c>
      <c r="H78" s="2" t="str">
        <f t="shared" si="3"/>
        <v/>
      </c>
    </row>
    <row r="79" spans="2:8">
      <c r="G79" s="58" t="str">
        <f t="shared" si="2"/>
        <v/>
      </c>
      <c r="H79" s="2" t="str">
        <f t="shared" si="3"/>
        <v/>
      </c>
    </row>
    <row r="80" spans="2:8">
      <c r="G80" s="58" t="str">
        <f t="shared" si="2"/>
        <v/>
      </c>
      <c r="H80" s="2" t="str">
        <f t="shared" si="3"/>
        <v/>
      </c>
    </row>
    <row r="81" spans="7:8">
      <c r="G81" s="58" t="str">
        <f t="shared" si="2"/>
        <v/>
      </c>
      <c r="H81" s="2" t="str">
        <f t="shared" si="3"/>
        <v/>
      </c>
    </row>
    <row r="82" spans="7:8">
      <c r="G82" s="58" t="str">
        <f t="shared" ref="G82:G116" si="4">IF(E82="","",1/E82)</f>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si="3"/>
        <v/>
      </c>
    </row>
    <row r="91" spans="7:8">
      <c r="G91" s="58" t="str">
        <f t="shared" si="4"/>
        <v/>
      </c>
      <c r="H91" s="2" t="str">
        <f t="shared" si="3"/>
        <v/>
      </c>
    </row>
    <row r="92" spans="7:8">
      <c r="G92" s="58" t="str">
        <f t="shared" si="4"/>
        <v/>
      </c>
      <c r="H92" s="2" t="str">
        <f t="shared" si="3"/>
        <v/>
      </c>
    </row>
    <row r="93" spans="7:8">
      <c r="G93" s="58" t="str">
        <f t="shared" si="4"/>
        <v/>
      </c>
      <c r="H93" s="2" t="str">
        <f t="shared" si="3"/>
        <v/>
      </c>
    </row>
    <row r="94" spans="7:8">
      <c r="G94" s="58" t="str">
        <f t="shared" si="4"/>
        <v/>
      </c>
      <c r="H94" s="2" t="str">
        <f t="shared" si="3"/>
        <v/>
      </c>
    </row>
    <row r="95" spans="7:8">
      <c r="G95" s="58" t="str">
        <f t="shared" si="4"/>
        <v/>
      </c>
      <c r="H95" s="2" t="str">
        <f t="shared" si="3"/>
        <v/>
      </c>
    </row>
    <row r="96" spans="7:8">
      <c r="G96" s="58" t="str">
        <f t="shared" si="4"/>
        <v/>
      </c>
      <c r="H96" s="2" t="str">
        <f t="shared" si="3"/>
        <v/>
      </c>
    </row>
    <row r="97" spans="7:8">
      <c r="G97" s="58" t="str">
        <f t="shared" si="4"/>
        <v/>
      </c>
      <c r="H97" s="2" t="str">
        <f t="shared" si="3"/>
        <v/>
      </c>
    </row>
    <row r="98" spans="7:8">
      <c r="G98" s="58" t="str">
        <f t="shared" si="4"/>
        <v/>
      </c>
      <c r="H98" s="2" t="str">
        <f t="shared" si="3"/>
        <v/>
      </c>
    </row>
    <row r="99" spans="7:8">
      <c r="G99" s="58" t="str">
        <f t="shared" si="4"/>
        <v/>
      </c>
      <c r="H99" s="2" t="str">
        <f t="shared" si="3"/>
        <v/>
      </c>
    </row>
    <row r="100" spans="7:8">
      <c r="G100" s="58" t="str">
        <f t="shared" si="4"/>
        <v/>
      </c>
      <c r="H100" s="2" t="str">
        <f t="shared" si="3"/>
        <v/>
      </c>
    </row>
    <row r="101" spans="7:8">
      <c r="G101" s="58" t="str">
        <f t="shared" si="4"/>
        <v/>
      </c>
      <c r="H101" s="2" t="str">
        <f t="shared" ref="H101:H116" si="5">IF(G101="","",D101*G101)</f>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row r="106" spans="7:8">
      <c r="G106" s="58" t="str">
        <f t="shared" si="4"/>
        <v/>
      </c>
      <c r="H106" s="2" t="str">
        <f t="shared" si="5"/>
        <v/>
      </c>
    </row>
    <row r="107" spans="7:8">
      <c r="G107" s="58" t="str">
        <f t="shared" si="4"/>
        <v/>
      </c>
      <c r="H107" s="2" t="str">
        <f t="shared" si="5"/>
        <v/>
      </c>
    </row>
    <row r="108" spans="7:8">
      <c r="G108" s="58" t="str">
        <f t="shared" si="4"/>
        <v/>
      </c>
      <c r="H108" s="2" t="str">
        <f t="shared" si="5"/>
        <v/>
      </c>
    </row>
    <row r="109" spans="7:8">
      <c r="G109" s="58" t="str">
        <f t="shared" si="4"/>
        <v/>
      </c>
      <c r="H109" s="2" t="str">
        <f t="shared" si="5"/>
        <v/>
      </c>
    </row>
    <row r="110" spans="7:8">
      <c r="G110" s="58" t="str">
        <f t="shared" si="4"/>
        <v/>
      </c>
      <c r="H110" s="2" t="str">
        <f t="shared" si="5"/>
        <v/>
      </c>
    </row>
    <row r="111" spans="7:8">
      <c r="G111" s="58" t="str">
        <f t="shared" si="4"/>
        <v/>
      </c>
      <c r="H111" s="2" t="str">
        <f t="shared" si="5"/>
        <v/>
      </c>
    </row>
    <row r="112" spans="7:8">
      <c r="G112" s="58" t="str">
        <f t="shared" si="4"/>
        <v/>
      </c>
      <c r="H112" s="2" t="str">
        <f t="shared" si="5"/>
        <v/>
      </c>
    </row>
    <row r="113" spans="7:8">
      <c r="G113" s="58" t="str">
        <f t="shared" si="4"/>
        <v/>
      </c>
      <c r="H113" s="2" t="str">
        <f t="shared" si="5"/>
        <v/>
      </c>
    </row>
    <row r="114" spans="7:8">
      <c r="G114" s="58" t="str">
        <f t="shared" si="4"/>
        <v/>
      </c>
      <c r="H114" s="2" t="str">
        <f t="shared" si="5"/>
        <v/>
      </c>
    </row>
    <row r="115" spans="7:8">
      <c r="G115" s="58" t="str">
        <f t="shared" si="4"/>
        <v/>
      </c>
      <c r="H115" s="2" t="str">
        <f t="shared" si="5"/>
        <v/>
      </c>
    </row>
    <row r="116" spans="7:8">
      <c r="G116" s="58" t="str">
        <f t="shared" si="4"/>
        <v/>
      </c>
      <c r="H116" s="2" t="str">
        <f t="shared" si="5"/>
        <v/>
      </c>
    </row>
  </sheetData>
  <pageMargins left="0.7" right="0.7" top="0.75" bottom="0.75" header="0.3" footer="0.3"/>
  <pageSetup paperSize="9" scale="51" orientation="landscape" r:id="rId1"/>
  <rowBreaks count="2" manualBreakCount="2">
    <brk id="27" max="16383" man="1"/>
    <brk id="68" max="16383" man="1"/>
  </rowBreaks>
  <colBreaks count="1" manualBreakCount="1">
    <brk id="9" max="1048575" man="1"/>
  </colBreaks>
  <customProperties>
    <customPr name="_pios_id" r:id="rId2"/>
  </customPropertie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D00-000000000000}">
          <x14:formula1>
            <xm:f>INDIRECT("tarieven!$A$3:$A$"&amp;tarieven!$A$1+3,TRUE)</xm:f>
          </x14:formula1>
          <xm:sqref>A7:A28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G14"/>
  <sheetViews>
    <sheetView showFormulas="1" workbookViewId="0">
      <selection activeCell="H23" sqref="H23:H25"/>
    </sheetView>
  </sheetViews>
  <sheetFormatPr defaultColWidth="8.875" defaultRowHeight="15"/>
  <cols>
    <col min="1" max="1" width="17.625" bestFit="1" customWidth="1"/>
    <col min="4" max="4" width="10" bestFit="1" customWidth="1"/>
    <col min="5" max="5" width="9.625" customWidth="1"/>
    <col min="6" max="6" width="9.625" bestFit="1" customWidth="1"/>
  </cols>
  <sheetData>
    <row r="3" spans="1:7">
      <c r="A3" s="52"/>
      <c r="B3" s="1"/>
      <c r="C3" s="2"/>
    </row>
    <row r="4" spans="1:7">
      <c r="A4" s="52"/>
      <c r="B4" s="1"/>
      <c r="C4" s="2"/>
      <c r="D4" s="137"/>
      <c r="E4" s="132"/>
      <c r="F4" s="132"/>
      <c r="G4" s="132"/>
    </row>
    <row r="5" spans="1:7">
      <c r="A5" s="52"/>
      <c r="B5" s="1"/>
      <c r="C5" s="2"/>
      <c r="D5" s="132"/>
      <c r="E5" s="132"/>
      <c r="F5" s="132"/>
      <c r="G5" s="132"/>
    </row>
    <row r="6" spans="1:7">
      <c r="A6" s="52"/>
      <c r="B6" s="1"/>
      <c r="C6" s="2"/>
      <c r="D6" s="132"/>
      <c r="E6" s="132"/>
      <c r="F6" s="132"/>
      <c r="G6" s="132"/>
    </row>
    <row r="7" spans="1:7">
      <c r="A7" s="52"/>
      <c r="B7" s="1"/>
      <c r="C7" s="2"/>
      <c r="D7" s="132"/>
      <c r="E7" s="132"/>
      <c r="F7" s="132"/>
      <c r="G7" s="132"/>
    </row>
    <row r="8" spans="1:7">
      <c r="A8" s="52"/>
      <c r="B8" s="1"/>
      <c r="C8" s="2"/>
      <c r="D8" s="132"/>
      <c r="E8" s="132"/>
      <c r="F8" s="132"/>
      <c r="G8" s="132"/>
    </row>
    <row r="9" spans="1:7">
      <c r="A9" s="52"/>
      <c r="B9" s="1"/>
      <c r="C9" s="2"/>
      <c r="D9" s="132"/>
      <c r="E9" s="132"/>
      <c r="F9" s="132"/>
      <c r="G9" s="132"/>
    </row>
    <row r="10" spans="1:7">
      <c r="A10" s="52"/>
      <c r="B10" s="1"/>
      <c r="C10" s="2"/>
      <c r="D10" s="132"/>
      <c r="E10" s="132"/>
      <c r="F10" s="132"/>
      <c r="G10" s="132"/>
    </row>
    <row r="11" spans="1:7">
      <c r="D11" s="132"/>
      <c r="E11" s="132"/>
      <c r="F11" s="132"/>
      <c r="G11" s="132"/>
    </row>
    <row r="12" spans="1:7">
      <c r="A12" s="52"/>
      <c r="D12" s="132"/>
      <c r="E12" s="132"/>
      <c r="F12" s="132"/>
      <c r="G12" s="132"/>
    </row>
    <row r="13" spans="1:7">
      <c r="A13" s="52"/>
      <c r="D13" s="135"/>
      <c r="E13" s="135"/>
      <c r="F13" s="135"/>
      <c r="G13" s="135"/>
    </row>
    <row r="14" spans="1:7">
      <c r="A14" s="52"/>
      <c r="D14" s="136"/>
      <c r="E14" s="52"/>
      <c r="F14" s="52"/>
      <c r="G14" s="52"/>
    </row>
  </sheetData>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105"/>
  <sheetViews>
    <sheetView topLeftCell="A6" workbookViewId="0">
      <selection activeCell="H23" sqref="H23:H25"/>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457</v>
      </c>
    </row>
    <row r="4" spans="1:10" ht="17.100000000000001" thickBot="1">
      <c r="A4" s="54">
        <v>1</v>
      </c>
      <c r="B4" s="55" t="s">
        <v>535</v>
      </c>
      <c r="C4" s="54" t="s">
        <v>362</v>
      </c>
      <c r="D4" s="56">
        <f ca="1">SUM(H7:H25)</f>
        <v>98.410000000000011</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201610</v>
      </c>
      <c r="B7" t="str">
        <f ca="1">IF(A7=VLOOKUP(A7,INDIRECT("tarieven!$A$3:$D$"&amp;tarieven!$A$1+3,TRUE),1),VLOOKUP(A7,INDIRECT("tarieven!$A$3:$D$"&amp;tarieven!$A$1+3,TRUE),2),"")</f>
        <v>Schoonmaken oppervlak t.b.v. reparaties</v>
      </c>
      <c r="C7" t="str">
        <f ca="1">IF(A7=VLOOKUP(A7,INDIRECT("tarieven!$A$3:$D$"&amp;tarieven!$A$1+3,TRUE),1),VLOOKUP(A7,INDIRECT("tarieven!$A$3:$D$"&amp;tarieven!$A$1+3,TRUE),3),"")</f>
        <v>m2</v>
      </c>
      <c r="D7" s="3">
        <f ca="1">IF(A7=VLOOKUP(A7,INDIRECT("tarieven!$A$3:$D$"&amp;tarieven!$A$1+3,TRUE),1),VLOOKUP(A7,INDIRECT("tarieven!$A$3:$D$"&amp;tarieven!$A$1+3,TRUE),4),"")</f>
        <v>0.4</v>
      </c>
      <c r="E7" s="86">
        <v>1</v>
      </c>
      <c r="F7" s="6" t="str">
        <f t="shared" ref="F7:F26" ca="1" si="0">IF(C7="","",$C$4&amp;"/"&amp;C7)</f>
        <v>m2/m2</v>
      </c>
      <c r="G7" s="58">
        <f t="shared" ref="G7:G70" si="1">IF(E7="","",1/E7)</f>
        <v>1</v>
      </c>
      <c r="H7" s="2">
        <f ca="1">IF(D7="","",D7*G7)</f>
        <v>0.4</v>
      </c>
    </row>
    <row r="8" spans="1:10">
      <c r="A8" s="84">
        <v>100010</v>
      </c>
      <c r="B8" t="str">
        <f ca="1">IF(A8=VLOOKUP(A8,INDIRECT("tarieven!$A$3:$D$"&amp;tarieven!$A$1+3,TRUE),1),VLOOKUP(A8,INDIRECT("tarieven!$A$3:$D$"&amp;tarieven!$A$1+3,TRUE),2),"")</f>
        <v>arbeider/grondwerker/stratenmaker</v>
      </c>
      <c r="C8" t="str">
        <f ca="1">IF(A8=VLOOKUP(A8,INDIRECT("tarieven!$A$3:$D$"&amp;tarieven!$A$1+3,TRUE),1),VLOOKUP(A8,INDIRECT("tarieven!$A$3:$D$"&amp;tarieven!$A$1+3,TRUE),3),"")</f>
        <v>uur</v>
      </c>
      <c r="D8" s="3">
        <f ca="1">IF(A8=VLOOKUP(A8,INDIRECT("tarieven!$A$3:$D$"&amp;tarieven!$A$1+3,TRUE),1),VLOOKUP(A8,INDIRECT("tarieven!$A$3:$D$"&amp;tarieven!$A$1+3,TRUE),4),"")</f>
        <v>44.38</v>
      </c>
      <c r="E8" s="86">
        <v>0.5</v>
      </c>
      <c r="F8" s="6" t="str">
        <f t="shared" ca="1" si="0"/>
        <v>m2/uur</v>
      </c>
      <c r="G8" s="58">
        <f t="shared" si="1"/>
        <v>2</v>
      </c>
      <c r="H8" s="2">
        <f t="shared" ref="H8:H25" ca="1" si="2">IF(D8="","",D8*G8)</f>
        <v>88.76</v>
      </c>
      <c r="I8" t="s">
        <v>536</v>
      </c>
    </row>
    <row r="9" spans="1:10">
      <c r="A9" s="84">
        <v>303220</v>
      </c>
      <c r="B9" t="str">
        <f ca="1">IF(A9=VLOOKUP(A9,INDIRECT("tarieven!$A$3:$D$"&amp;tarieven!$A$1+3,TRUE),1),VLOOKUP(A9,INDIRECT("tarieven!$A$3:$D$"&amp;tarieven!$A$1+3,TRUE),2),"")</f>
        <v xml:space="preserve">levering droge betonmortel </v>
      </c>
      <c r="C9" t="str">
        <f ca="1">IF(A9=VLOOKUP(A9,INDIRECT("tarieven!$A$3:$D$"&amp;tarieven!$A$1+3,TRUE),1),VLOOKUP(A9,INDIRECT("tarieven!$A$3:$D$"&amp;tarieven!$A$1+3,TRUE),3),"")</f>
        <v>m3</v>
      </c>
      <c r="D9" s="3">
        <f ca="1">IF(A9=VLOOKUP(A9,INDIRECT("tarieven!$A$3:$D$"&amp;tarieven!$A$1+3,TRUE),1),VLOOKUP(A9,INDIRECT("tarieven!$A$3:$D$"&amp;tarieven!$A$1+3,TRUE),4),"")</f>
        <v>185</v>
      </c>
      <c r="E9" s="86">
        <v>20</v>
      </c>
      <c r="F9" s="6" t="str">
        <f t="shared" ca="1" si="0"/>
        <v>m2/m3</v>
      </c>
      <c r="G9" s="58">
        <f t="shared" si="1"/>
        <v>0.05</v>
      </c>
      <c r="H9" s="2">
        <f t="shared" ca="1" si="2"/>
        <v>9.25</v>
      </c>
    </row>
    <row r="10" spans="1:10">
      <c r="A10" s="84" t="s">
        <v>6</v>
      </c>
      <c r="B10" t="str">
        <f ca="1">IF(A10=VLOOKUP(A10,INDIRECT("tarieven!$A$3:$D$"&amp;tarieven!$A$1+3,TRUE),1),VLOOKUP(A10,INDIRECT("tarieven!$A$3:$D$"&amp;tarieven!$A$1+3,TRUE),2),"")</f>
        <v/>
      </c>
      <c r="C10" t="str">
        <f ca="1">IF(A10=VLOOKUP(A10,INDIRECT("tarieven!$A$3:$D$"&amp;tarieven!$A$1+3,TRUE),1),VLOOKUP(A10,INDIRECT("tarieven!$A$3:$D$"&amp;tarieven!$A$1+3,TRUE),3),"")</f>
        <v/>
      </c>
      <c r="D10" s="3"/>
      <c r="E10" s="86"/>
      <c r="F10" s="6" t="str">
        <f t="shared" ca="1" si="0"/>
        <v/>
      </c>
      <c r="G10" s="58" t="str">
        <f t="shared" si="1"/>
        <v/>
      </c>
      <c r="H10" s="2" t="str">
        <f t="shared" si="2"/>
        <v/>
      </c>
    </row>
    <row r="11" spans="1:10">
      <c r="A11" s="84" t="s">
        <v>6</v>
      </c>
      <c r="B11" t="str">
        <f ca="1">IF(A11=VLOOKUP(A11,INDIRECT("tarieven!$A$3:$D$"&amp;tarieven!$A$1+3,TRUE),1),VLOOKUP(A11,INDIRECT("tarieven!$A$3:$D$"&amp;tarieven!$A$1+3,TRUE),2),"")</f>
        <v/>
      </c>
      <c r="C11" t="str">
        <f ca="1">IF(A11=VLOOKUP(A11,INDIRECT("tarieven!$A$3:$D$"&amp;tarieven!$A$1+3,TRUE),1),VLOOKUP(A11,INDIRECT("tarieven!$A$3:$D$"&amp;tarieven!$A$1+3,TRUE),3),"")</f>
        <v/>
      </c>
      <c r="D11" s="3"/>
      <c r="E11" s="86"/>
      <c r="F11" s="6" t="str">
        <f t="shared" ca="1" si="0"/>
        <v/>
      </c>
      <c r="G11" s="58" t="str">
        <f t="shared" si="1"/>
        <v/>
      </c>
      <c r="H11" s="2" t="str">
        <f t="shared" si="2"/>
        <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c r="E12" s="86"/>
      <c r="F12" s="6" t="str">
        <f t="shared" ca="1" si="0"/>
        <v/>
      </c>
      <c r="G12" s="58" t="str">
        <f t="shared" si="1"/>
        <v/>
      </c>
      <c r="H12" s="2" t="str">
        <f t="shared" si="2"/>
        <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c r="E13" s="86"/>
      <c r="F13" s="6" t="str">
        <f t="shared" ca="1" si="0"/>
        <v/>
      </c>
      <c r="G13" s="58" t="str">
        <f t="shared" si="1"/>
        <v/>
      </c>
      <c r="H13" s="2" t="str">
        <f t="shared" si="2"/>
        <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c r="E14" s="86"/>
      <c r="F14" s="6" t="str">
        <f t="shared" ca="1" si="0"/>
        <v/>
      </c>
      <c r="G14" s="58" t="str">
        <f t="shared" si="1"/>
        <v/>
      </c>
      <c r="H14" s="2" t="str">
        <f t="shared" si="2"/>
        <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c r="E15" s="86"/>
      <c r="F15" s="6" t="str">
        <f t="shared" ca="1" si="0"/>
        <v/>
      </c>
      <c r="G15" s="58" t="str">
        <f t="shared" si="1"/>
        <v/>
      </c>
      <c r="H15" s="2" t="str">
        <f t="shared" si="2"/>
        <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c r="E16" s="86"/>
      <c r="F16" s="6" t="str">
        <f t="shared" ca="1" si="0"/>
        <v/>
      </c>
      <c r="G16" s="58" t="str">
        <f t="shared" si="1"/>
        <v/>
      </c>
      <c r="H16" s="2" t="str">
        <f t="shared" si="2"/>
        <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c r="E17" s="86"/>
      <c r="F17" s="6" t="str">
        <f t="shared" ca="1" si="0"/>
        <v/>
      </c>
      <c r="G17" s="58" t="str">
        <f t="shared" si="1"/>
        <v/>
      </c>
      <c r="H17" s="2" t="str">
        <f t="shared" si="2"/>
        <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c r="E18" s="86"/>
      <c r="F18" s="6" t="str">
        <f t="shared" ca="1" si="0"/>
        <v/>
      </c>
      <c r="G18" s="58" t="str">
        <f t="shared" si="1"/>
        <v/>
      </c>
      <c r="H18" s="2" t="str">
        <f t="shared" si="2"/>
        <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c r="E19" s="86"/>
      <c r="F19" s="6" t="str">
        <f t="shared" ca="1" si="0"/>
        <v/>
      </c>
      <c r="G19" s="58" t="str">
        <f t="shared" si="1"/>
        <v/>
      </c>
      <c r="H19" s="2" t="str">
        <f t="shared" si="2"/>
        <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c r="E20" s="86"/>
      <c r="F20" s="6" t="str">
        <f t="shared" ca="1" si="0"/>
        <v/>
      </c>
      <c r="G20" s="58" t="str">
        <f t="shared" si="1"/>
        <v/>
      </c>
      <c r="H20" s="2" t="str">
        <f t="shared" si="2"/>
        <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c r="E21" s="86"/>
      <c r="F21" s="6" t="str">
        <f t="shared" ca="1" si="0"/>
        <v/>
      </c>
      <c r="G21" s="58" t="str">
        <f t="shared" si="1"/>
        <v/>
      </c>
      <c r="H21" s="2" t="str">
        <f t="shared" si="2"/>
        <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c r="E22" s="86"/>
      <c r="F22" s="6" t="str">
        <f t="shared" ca="1" si="0"/>
        <v/>
      </c>
      <c r="G22" s="58" t="str">
        <f t="shared" si="1"/>
        <v/>
      </c>
      <c r="H22" s="2" t="str">
        <f t="shared" si="2"/>
        <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c r="E23" s="86"/>
      <c r="F23" s="6" t="str">
        <f t="shared" ca="1" si="0"/>
        <v/>
      </c>
      <c r="G23" s="58" t="str">
        <f t="shared" si="1"/>
        <v/>
      </c>
      <c r="H23" s="2" t="str">
        <f t="shared" si="2"/>
        <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c r="E24" s="86"/>
      <c r="F24" s="6" t="str">
        <f t="shared" ca="1" si="0"/>
        <v/>
      </c>
      <c r="G24" s="58" t="str">
        <f t="shared" si="1"/>
        <v/>
      </c>
      <c r="H24" s="2" t="str">
        <f t="shared" si="2"/>
        <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c r="E25" s="86"/>
      <c r="F25" s="6" t="str">
        <f t="shared" ca="1" si="0"/>
        <v/>
      </c>
      <c r="G25" s="58" t="str">
        <f t="shared" si="1"/>
        <v/>
      </c>
      <c r="H25" s="2" t="str">
        <f t="shared" si="2"/>
        <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INDIRECT("tarieven!$A$3:$A$"&amp;tarieven!$A$1+3,TRUE)</xm:f>
          </x14:formula1>
          <xm:sqref>A7:A25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J105"/>
  <sheetViews>
    <sheetView topLeftCell="A5" workbookViewId="0">
      <selection activeCell="H23" sqref="H23:H25"/>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457</v>
      </c>
    </row>
    <row r="4" spans="1:10" ht="17.100000000000001" thickBot="1">
      <c r="A4" s="54">
        <v>1</v>
      </c>
      <c r="B4" s="55" t="s">
        <v>537</v>
      </c>
      <c r="C4" s="54" t="s">
        <v>362</v>
      </c>
      <c r="D4" s="56">
        <f ca="1">SUM(H7:H25)</f>
        <v>93.244661111111128</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101020</v>
      </c>
      <c r="B7" t="str">
        <f ca="1">IF(A7=VLOOKUP(A7,INDIRECT("tarieven!$A$3:$D$"&amp;tarieven!$A$1+3,TRUE),1),VLOOKUP(A7,INDIRECT("tarieven!$A$3:$D$"&amp;tarieven!$A$1+3,TRUE),2),"")</f>
        <v>uitvoerder</v>
      </c>
      <c r="C7" t="str">
        <f ca="1">IF(A7=VLOOKUP(A7,INDIRECT("tarieven!$A$3:$D$"&amp;tarieven!$A$1+3,TRUE),1),VLOOKUP(A7,INDIRECT("tarieven!$A$3:$D$"&amp;tarieven!$A$1+3,TRUE),3),"")</f>
        <v>uur</v>
      </c>
      <c r="D7" s="3">
        <f ca="1">IF(A7=VLOOKUP(A7,INDIRECT("tarieven!$A$3:$D$"&amp;tarieven!$A$1+3,TRUE),1),VLOOKUP(A7,INDIRECT("tarieven!$A$3:$D$"&amp;tarieven!$A$1+3,TRUE),4),"")</f>
        <v>56.95</v>
      </c>
      <c r="E7" s="86">
        <f>2.5*7.5</f>
        <v>18.75</v>
      </c>
      <c r="F7" s="6" t="str">
        <f t="shared" ref="F7:F26" ca="1" si="0">IF(C7="","",$C$4&amp;"/"&amp;C7)</f>
        <v>m2/uur</v>
      </c>
      <c r="G7" s="58">
        <f t="shared" ref="G7:G70" si="1">IF(E7="","",1/E7)</f>
        <v>5.3333333333333337E-2</v>
      </c>
      <c r="H7" s="2">
        <f ca="1">IF(D7="","",D7*G7)</f>
        <v>3.0373333333333337</v>
      </c>
    </row>
    <row r="8" spans="1:10">
      <c r="A8" s="84">
        <v>300010</v>
      </c>
      <c r="B8" t="str">
        <f ca="1">IF(A8=VLOOKUP(A8,INDIRECT("tarieven!$A$3:$D$"&amp;tarieven!$A$1+3,TRUE),1),VLOOKUP(A8,INDIRECT("tarieven!$A$3:$D$"&amp;tarieven!$A$1+3,TRUE),2),"")</f>
        <v>mobiele (rups) kraan 2.500 incl. bak en benodigdheden</v>
      </c>
      <c r="C8" t="str">
        <f ca="1">IF(A8=VLOOKUP(A8,INDIRECT("tarieven!$A$3:$D$"&amp;tarieven!$A$1+3,TRUE),1),VLOOKUP(A8,INDIRECT("tarieven!$A$3:$D$"&amp;tarieven!$A$1+3,TRUE),3),"")</f>
        <v>uur</v>
      </c>
      <c r="D8" s="3">
        <f ca="1">IF(A8=VLOOKUP(A8,INDIRECT("tarieven!$A$3:$D$"&amp;tarieven!$A$1+3,TRUE),1),VLOOKUP(A8,INDIRECT("tarieven!$A$3:$D$"&amp;tarieven!$A$1+3,TRUE),4),"")</f>
        <v>94.4</v>
      </c>
      <c r="E8" s="86">
        <f>2.5*7.5</f>
        <v>18.75</v>
      </c>
      <c r="F8" s="6" t="str">
        <f t="shared" ca="1" si="0"/>
        <v>m2/uur</v>
      </c>
      <c r="G8" s="58">
        <f t="shared" si="1"/>
        <v>5.3333333333333337E-2</v>
      </c>
      <c r="H8" s="2">
        <f t="shared" ref="H8:H25" ca="1" si="2">IF(D8="","",D8*G8)</f>
        <v>5.0346666666666673</v>
      </c>
      <c r="I8" t="s">
        <v>538</v>
      </c>
    </row>
    <row r="9" spans="1:10">
      <c r="A9" s="84">
        <v>300030</v>
      </c>
      <c r="B9" t="str">
        <f ca="1">IF(A9=VLOOKUP(A9,INDIRECT("tarieven!$A$3:$D$"&amp;tarieven!$A$1+3,TRUE),1),VLOOKUP(A9,INDIRECT("tarieven!$A$3:$D$"&amp;tarieven!$A$1+3,TRUE),2),"")</f>
        <v xml:space="preserve">vrachtwagen 10x 8 </v>
      </c>
      <c r="C9" t="str">
        <f ca="1">IF(A9=VLOOKUP(A9,INDIRECT("tarieven!$A$3:$D$"&amp;tarieven!$A$1+3,TRUE),1),VLOOKUP(A9,INDIRECT("tarieven!$A$3:$D$"&amp;tarieven!$A$1+3,TRUE),3),"")</f>
        <v>uur</v>
      </c>
      <c r="D9" s="3">
        <f ca="1">IF(A9=VLOOKUP(A9,INDIRECT("tarieven!$A$3:$D$"&amp;tarieven!$A$1+3,TRUE),1),VLOOKUP(A9,INDIRECT("tarieven!$A$3:$D$"&amp;tarieven!$A$1+3,TRUE),4),"")</f>
        <v>102.25</v>
      </c>
      <c r="E9" s="86">
        <f>2.5*7.5</f>
        <v>18.75</v>
      </c>
      <c r="F9" s="6" t="str">
        <f t="shared" ca="1" si="0"/>
        <v>m2/uur</v>
      </c>
      <c r="G9" s="58">
        <f t="shared" si="1"/>
        <v>5.3333333333333337E-2</v>
      </c>
      <c r="H9" s="2">
        <f t="shared" ca="1" si="2"/>
        <v>5.453333333333334</v>
      </c>
    </row>
    <row r="10" spans="1:10">
      <c r="A10" s="84">
        <v>201610</v>
      </c>
      <c r="B10" t="str">
        <f ca="1">IF(A10=VLOOKUP(A10,INDIRECT("tarieven!$A$3:$D$"&amp;tarieven!$A$1+3,TRUE),1),VLOOKUP(A10,INDIRECT("tarieven!$A$3:$D$"&amp;tarieven!$A$1+3,TRUE),2),"")</f>
        <v>Schoonmaken oppervlak t.b.v. reparaties</v>
      </c>
      <c r="C10" t="str">
        <f ca="1">IF(A10=VLOOKUP(A10,INDIRECT("tarieven!$A$3:$D$"&amp;tarieven!$A$1+3,TRUE),1),VLOOKUP(A10,INDIRECT("tarieven!$A$3:$D$"&amp;tarieven!$A$1+3,TRUE),3),"")</f>
        <v>m2</v>
      </c>
      <c r="D10" s="3">
        <f ca="1">IF(A10=VLOOKUP(A10,INDIRECT("tarieven!$A$3:$D$"&amp;tarieven!$A$1+3,TRUE),1),VLOOKUP(A10,INDIRECT("tarieven!$A$3:$D$"&amp;tarieven!$A$1+3,TRUE),4),"")</f>
        <v>0.4</v>
      </c>
      <c r="E10" s="86">
        <v>1</v>
      </c>
      <c r="F10" s="6" t="str">
        <f t="shared" ca="1" si="0"/>
        <v>m2/m2</v>
      </c>
      <c r="G10" s="58">
        <f t="shared" si="1"/>
        <v>1</v>
      </c>
      <c r="H10" s="2">
        <f t="shared" ca="1" si="2"/>
        <v>0.4</v>
      </c>
    </row>
    <row r="11" spans="1:10">
      <c r="A11" s="84">
        <v>303110</v>
      </c>
      <c r="B11" t="str">
        <f ca="1">IF(A11=VLOOKUP(A11,INDIRECT("tarieven!$A$3:$D$"&amp;tarieven!$A$1+3,TRUE),1),VLOOKUP(A11,INDIRECT("tarieven!$A$3:$D$"&amp;tarieven!$A$1+3,TRUE),2),"")</f>
        <v>betonpomp 40m3/u</v>
      </c>
      <c r="C11" t="str">
        <f ca="1">IF(A11=VLOOKUP(A11,INDIRECT("tarieven!$A$3:$D$"&amp;tarieven!$A$1+3,TRUE),1),VLOOKUP(A11,INDIRECT("tarieven!$A$3:$D$"&amp;tarieven!$A$1+3,TRUE),3),"")</f>
        <v>dag</v>
      </c>
      <c r="D11" s="3">
        <f ca="1">IF(A11=VLOOKUP(A11,INDIRECT("tarieven!$A$3:$D$"&amp;tarieven!$A$1+3,TRUE),1),VLOOKUP(A11,INDIRECT("tarieven!$A$3:$D$"&amp;tarieven!$A$1+3,TRUE),4),"")</f>
        <v>1100</v>
      </c>
      <c r="E11" s="86">
        <f>40*8/0.5</f>
        <v>640</v>
      </c>
      <c r="F11" s="6" t="str">
        <f t="shared" ca="1" si="0"/>
        <v>m2/dag</v>
      </c>
      <c r="G11" s="58">
        <f t="shared" si="1"/>
        <v>1.5625000000000001E-3</v>
      </c>
      <c r="H11" s="2">
        <f t="shared" ca="1" si="2"/>
        <v>1.71875</v>
      </c>
    </row>
    <row r="12" spans="1:10">
      <c r="A12" s="84">
        <v>303010</v>
      </c>
      <c r="B12" t="str">
        <f ca="1">IF(A12=VLOOKUP(A12,INDIRECT("tarieven!$A$3:$D$"&amp;tarieven!$A$1+3,TRUE),1),VLOOKUP(A12,INDIRECT("tarieven!$A$3:$D$"&amp;tarieven!$A$1+3,TRUE),2),"")</f>
        <v>slipformpaver fietspad machine(+ aan- en afvoerkosten)</v>
      </c>
      <c r="C12" t="str">
        <f ca="1">IF(A12=VLOOKUP(A12,INDIRECT("tarieven!$A$3:$D$"&amp;tarieven!$A$1+3,TRUE),1),VLOOKUP(A12,INDIRECT("tarieven!$A$3:$D$"&amp;tarieven!$A$1+3,TRUE),3),"")</f>
        <v>dag</v>
      </c>
      <c r="D12" s="3">
        <f ca="1">IF(A12=VLOOKUP(A12,INDIRECT("tarieven!$A$3:$D$"&amp;tarieven!$A$1+3,TRUE),1),VLOOKUP(A12,INDIRECT("tarieven!$A$3:$D$"&amp;tarieven!$A$1+3,TRUE),4),"")</f>
        <v>4000</v>
      </c>
      <c r="E12" s="86">
        <f>2.5*7.5*4</f>
        <v>75</v>
      </c>
      <c r="F12" s="6" t="str">
        <f t="shared" ca="1" si="0"/>
        <v>m2/dag</v>
      </c>
      <c r="G12" s="58">
        <f t="shared" si="1"/>
        <v>1.3333333333333334E-2</v>
      </c>
      <c r="H12" s="2">
        <f t="shared" ca="1" si="2"/>
        <v>53.333333333333336</v>
      </c>
    </row>
    <row r="13" spans="1:10">
      <c r="A13" s="84">
        <v>100010</v>
      </c>
      <c r="B13" t="str">
        <f ca="1">IF(A13=VLOOKUP(A13,INDIRECT("tarieven!$A$3:$D$"&amp;tarieven!$A$1+3,TRUE),1),VLOOKUP(A13,INDIRECT("tarieven!$A$3:$D$"&amp;tarieven!$A$1+3,TRUE),2),"")</f>
        <v>arbeider/grondwerker/stratenmaker</v>
      </c>
      <c r="C13" t="str">
        <f ca="1">IF(A13=VLOOKUP(A13,INDIRECT("tarieven!$A$3:$D$"&amp;tarieven!$A$1+3,TRUE),1),VLOOKUP(A13,INDIRECT("tarieven!$A$3:$D$"&amp;tarieven!$A$1+3,TRUE),3),"")</f>
        <v>uur</v>
      </c>
      <c r="D13" s="3">
        <f ca="1">IF(A13=VLOOKUP(A13,INDIRECT("tarieven!$A$3:$D$"&amp;tarieven!$A$1+3,TRUE),1),VLOOKUP(A13,INDIRECT("tarieven!$A$3:$D$"&amp;tarieven!$A$1+3,TRUE),4),"")</f>
        <v>44.38</v>
      </c>
      <c r="E13" s="86">
        <f>2.5*7.5*4*3</f>
        <v>225</v>
      </c>
      <c r="F13" s="6" t="str">
        <f t="shared" ca="1" si="0"/>
        <v>m2/uur</v>
      </c>
      <c r="G13" s="58">
        <f t="shared" si="1"/>
        <v>4.4444444444444444E-3</v>
      </c>
      <c r="H13" s="2">
        <f t="shared" ca="1" si="2"/>
        <v>0.19724444444444444</v>
      </c>
      <c r="I13" t="s">
        <v>539</v>
      </c>
    </row>
    <row r="14" spans="1:10">
      <c r="A14" s="84">
        <v>303210</v>
      </c>
      <c r="B14" t="str">
        <f ca="1">IF(A14=VLOOKUP(A14,INDIRECT("tarieven!$A$3:$D$"&amp;tarieven!$A$1+3,TRUE),1),VLOOKUP(A14,INDIRECT("tarieven!$A$3:$D$"&amp;tarieven!$A$1+3,TRUE),2),"")</f>
        <v>levering betonmortel, C28/35, CEM III, XF4, C1, grind 4-32mm</v>
      </c>
      <c r="C14" t="str">
        <f ca="1">IF(A14=VLOOKUP(A14,INDIRECT("tarieven!$A$3:$D$"&amp;tarieven!$A$1+3,TRUE),1),VLOOKUP(A14,INDIRECT("tarieven!$A$3:$D$"&amp;tarieven!$A$1+3,TRUE),3),"")</f>
        <v>m3</v>
      </c>
      <c r="D14" s="3">
        <f ca="1">IF(A14=VLOOKUP(A14,INDIRECT("tarieven!$A$3:$D$"&amp;tarieven!$A$1+3,TRUE),1),VLOOKUP(A14,INDIRECT("tarieven!$A$3:$D$"&amp;tarieven!$A$1+3,TRUE),4),"")</f>
        <v>120.35</v>
      </c>
      <c r="E14" s="86">
        <v>5</v>
      </c>
      <c r="F14" s="6" t="str">
        <f t="shared" ca="1" si="0"/>
        <v>m2/m3</v>
      </c>
      <c r="G14" s="58">
        <f t="shared" si="1"/>
        <v>0.2</v>
      </c>
      <c r="H14" s="2">
        <f t="shared" ca="1" si="2"/>
        <v>24.07</v>
      </c>
    </row>
    <row r="15" spans="1:10">
      <c r="A15" s="84">
        <v>401010</v>
      </c>
      <c r="B15" t="str">
        <f ca="1">IF(A15=VLOOKUP(A15,INDIRECT("tarieven!$A$3:$D$"&amp;tarieven!$A$1+3,TRUE),1),VLOOKUP(A15,INDIRECT("tarieven!$A$3:$D$"&amp;tarieven!$A$1+3,TRUE),2),"")</f>
        <v/>
      </c>
      <c r="C15" t="str">
        <f ca="1">IF(A15=VLOOKUP(A15,INDIRECT("tarieven!$A$3:$D$"&amp;tarieven!$A$1+3,TRUE),1),VLOOKUP(A15,INDIRECT("tarieven!$A$3:$D$"&amp;tarieven!$A$1+3,TRUE),3),"")</f>
        <v/>
      </c>
      <c r="D15" s="3" t="str">
        <f ca="1">IF(A15=VLOOKUP(A15,INDIRECT("tarieven!$A$3:$D$"&amp;tarieven!$A$1+3,TRUE),1),VLOOKUP(A15,INDIRECT("tarieven!$A$3:$D$"&amp;tarieven!$A$1+3,TRUE),4),"")</f>
        <v/>
      </c>
      <c r="E15" s="86">
        <f>75*2</f>
        <v>150</v>
      </c>
      <c r="F15" s="6" t="str">
        <f t="shared" ca="1" si="0"/>
        <v/>
      </c>
      <c r="G15" s="58">
        <f t="shared" si="1"/>
        <v>6.6666666666666671E-3</v>
      </c>
      <c r="H15" s="2" t="str">
        <f t="shared" ca="1" si="2"/>
        <v/>
      </c>
      <c r="I15" t="s">
        <v>540</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c r="E16" s="86"/>
      <c r="F16" s="6" t="str">
        <f t="shared" ca="1" si="0"/>
        <v/>
      </c>
      <c r="G16" s="58" t="str">
        <f t="shared" si="1"/>
        <v/>
      </c>
      <c r="H16" s="2" t="str">
        <f t="shared" si="2"/>
        <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c r="E17" s="86"/>
      <c r="F17" s="6" t="str">
        <f t="shared" ca="1" si="0"/>
        <v/>
      </c>
      <c r="G17" s="58" t="str">
        <f t="shared" si="1"/>
        <v/>
      </c>
      <c r="H17" s="2" t="str">
        <f t="shared" si="2"/>
        <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c r="E18" s="86"/>
      <c r="F18" s="6" t="str">
        <f t="shared" ca="1" si="0"/>
        <v/>
      </c>
      <c r="G18" s="58" t="str">
        <f t="shared" si="1"/>
        <v/>
      </c>
      <c r="H18" s="2" t="str">
        <f t="shared" si="2"/>
        <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c r="E19" s="86"/>
      <c r="F19" s="6" t="str">
        <f t="shared" ca="1" si="0"/>
        <v/>
      </c>
      <c r="G19" s="58" t="str">
        <f t="shared" si="1"/>
        <v/>
      </c>
      <c r="H19" s="2" t="str">
        <f t="shared" si="2"/>
        <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c r="E20" s="86"/>
      <c r="F20" s="6" t="str">
        <f t="shared" ca="1" si="0"/>
        <v/>
      </c>
      <c r="G20" s="58" t="str">
        <f t="shared" si="1"/>
        <v/>
      </c>
      <c r="H20" s="2" t="str">
        <f t="shared" si="2"/>
        <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c r="E21" s="86"/>
      <c r="F21" s="6" t="str">
        <f t="shared" ca="1" si="0"/>
        <v/>
      </c>
      <c r="G21" s="58" t="str">
        <f t="shared" si="1"/>
        <v/>
      </c>
      <c r="H21" s="2" t="str">
        <f t="shared" si="2"/>
        <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c r="E22" s="86"/>
      <c r="F22" s="6" t="str">
        <f t="shared" ca="1" si="0"/>
        <v/>
      </c>
      <c r="G22" s="58" t="str">
        <f t="shared" si="1"/>
        <v/>
      </c>
      <c r="H22" s="2" t="str">
        <f t="shared" si="2"/>
        <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c r="E23" s="86"/>
      <c r="F23" s="6" t="str">
        <f t="shared" ca="1" si="0"/>
        <v/>
      </c>
      <c r="G23" s="58" t="str">
        <f t="shared" si="1"/>
        <v/>
      </c>
      <c r="H23" s="2" t="str">
        <f t="shared" si="2"/>
        <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c r="E24" s="86"/>
      <c r="F24" s="6" t="str">
        <f t="shared" ca="1" si="0"/>
        <v/>
      </c>
      <c r="G24" s="58" t="str">
        <f t="shared" si="1"/>
        <v/>
      </c>
      <c r="H24" s="2" t="str">
        <f t="shared" si="2"/>
        <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c r="E25" s="86"/>
      <c r="F25" s="6" t="str">
        <f t="shared" ca="1" si="0"/>
        <v/>
      </c>
      <c r="G25" s="58" t="str">
        <f t="shared" si="1"/>
        <v/>
      </c>
      <c r="H25" s="2" t="str">
        <f t="shared" si="2"/>
        <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INDIRECT("tarieven!$A$3:$A$"&amp;tarieven!$A$1+3,TRUE)</xm:f>
          </x14:formula1>
          <xm:sqref>A7:A25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J105"/>
  <sheetViews>
    <sheetView workbookViewId="0">
      <selection activeCell="C28" sqref="C28"/>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457</v>
      </c>
    </row>
    <row r="4" spans="1:10" ht="33" thickBot="1">
      <c r="A4" s="54">
        <v>1</v>
      </c>
      <c r="B4" s="55" t="s">
        <v>541</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304210</v>
      </c>
      <c r="B7" t="str">
        <f ca="1">IF(A7=VLOOKUP(A7,INDIRECT("tarieven!$A$3:$D$"&amp;tarieven!$A$1+3,TRUE),1),VLOOKUP(A7,INDIRECT("tarieven!$A$3:$D$"&amp;tarieven!$A$1+3,TRUE),2),"")</f>
        <v>Herstraten open verhardingen (plaatselijk)</v>
      </c>
      <c r="C7" t="str">
        <f ca="1">IF(A7=VLOOKUP(A7,INDIRECT("tarieven!$A$3:$D$"&amp;tarieven!$A$1+3,TRUE),1),VLOOKUP(A7,INDIRECT("tarieven!$A$3:$D$"&amp;tarieven!$A$1+3,TRUE),3),"")</f>
        <v>m2</v>
      </c>
      <c r="D7" s="3">
        <f ca="1">IF(A7=VLOOKUP(A7,INDIRECT("tarieven!$A$3:$D$"&amp;tarieven!$A$1+3,TRUE),1),VLOOKUP(A7,INDIRECT("tarieven!$A$3:$D$"&amp;tarieven!$A$1+3,TRUE),4),"")</f>
        <v>20.7</v>
      </c>
      <c r="E7" s="86">
        <v>1</v>
      </c>
      <c r="F7" s="6" t="str">
        <f t="shared" ref="F7:F26" ca="1" si="0">IF(C7="","",$C$4&amp;"/"&amp;C7)</f>
        <v>m2/m2</v>
      </c>
      <c r="G7" s="58">
        <f t="shared" ref="G7:G70" si="1">IF(E7="","",1/E7)</f>
        <v>1</v>
      </c>
      <c r="H7" s="2">
        <f ca="1">IF(D7="","",D7*G7)</f>
        <v>20.7</v>
      </c>
    </row>
    <row r="8" spans="1:10">
      <c r="A8" s="84" t="s">
        <v>6</v>
      </c>
      <c r="B8" t="str">
        <f ca="1">IF(A8=VLOOKUP(A8,INDIRECT("tarieven!$A$3:$D$"&amp;tarieven!$A$1+3,TRUE),1),VLOOKUP(A8,INDIRECT("tarieven!$A$3:$D$"&amp;tarieven!$A$1+3,TRUE),2),"")</f>
        <v/>
      </c>
      <c r="C8" t="str">
        <f ca="1">IF(A8=VLOOKUP(A8,INDIRECT("tarieven!$A$3:$D$"&amp;tarieven!$A$1+3,TRUE),1),VLOOKUP(A8,INDIRECT("tarieven!$A$3:$D$"&amp;tarieven!$A$1+3,TRUE),3),"")</f>
        <v/>
      </c>
      <c r="D8" s="3">
        <f ca="1">IF(A8=VLOOKUP(A8,INDIRECT("tarieven!$A$3:$D$"&amp;tarieven!$A$1+3,TRUE),1),VLOOKUP(A8,INDIRECT("tarieven!$A$3:$D$"&amp;tarieven!$A$1+3,TRUE),4),"")</f>
        <v>0</v>
      </c>
      <c r="E8" s="86"/>
      <c r="F8" s="6" t="str">
        <f t="shared" ca="1" si="0"/>
        <v/>
      </c>
      <c r="G8" s="58" t="str">
        <f t="shared" si="1"/>
        <v/>
      </c>
      <c r="H8" s="2" t="e">
        <f t="shared" ref="H8:H25" ca="1" si="2">IF(D8="","",D8*G8)</f>
        <v>#VALUE!</v>
      </c>
    </row>
    <row r="9" spans="1:10">
      <c r="A9" s="84" t="s">
        <v>6</v>
      </c>
      <c r="B9" t="str">
        <f ca="1">IF(A9=VLOOKUP(A9,INDIRECT("tarieven!$A$3:$D$"&amp;tarieven!$A$1+3,TRUE),1),VLOOKUP(A9,INDIRECT("tarieven!$A$3:$D$"&amp;tarieven!$A$1+3,TRUE),2),"")</f>
        <v/>
      </c>
      <c r="C9" t="str">
        <f ca="1">IF(A9=VLOOKUP(A9,INDIRECT("tarieven!$A$3:$D$"&amp;tarieven!$A$1+3,TRUE),1),VLOOKUP(A9,INDIRECT("tarieven!$A$3:$D$"&amp;tarieven!$A$1+3,TRUE),3),"")</f>
        <v/>
      </c>
      <c r="D9" s="3">
        <f ca="1">IF(A9=VLOOKUP(A9,INDIRECT("tarieven!$A$3:$D$"&amp;tarieven!$A$1+3,TRUE),1),VLOOKUP(A9,INDIRECT("tarieven!$A$3:$D$"&amp;tarieven!$A$1+3,TRUE),4),"")</f>
        <v>0</v>
      </c>
      <c r="E9" s="86"/>
      <c r="F9" s="6" t="str">
        <f t="shared" ca="1" si="0"/>
        <v/>
      </c>
      <c r="G9" s="58" t="str">
        <f t="shared" si="1"/>
        <v/>
      </c>
      <c r="H9" s="2" t="e">
        <f t="shared" ca="1" si="2"/>
        <v>#VALUE!</v>
      </c>
    </row>
    <row r="10" spans="1:10">
      <c r="A10" s="84" t="s">
        <v>6</v>
      </c>
      <c r="B10" t="str">
        <f ca="1">IF(A10=VLOOKUP(A10,INDIRECT("tarieven!$A$3:$D$"&amp;tarieven!$A$1+3,TRUE),1),VLOOKUP(A10,INDIRECT("tarieven!$A$3:$D$"&amp;tarieven!$A$1+3,TRUE),2),"")</f>
        <v/>
      </c>
      <c r="C10" t="str">
        <f ca="1">IF(A10=VLOOKUP(A10,INDIRECT("tarieven!$A$3:$D$"&amp;tarieven!$A$1+3,TRUE),1),VLOOKUP(A10,INDIRECT("tarieven!$A$3:$D$"&amp;tarieven!$A$1+3,TRUE),3),"")</f>
        <v/>
      </c>
      <c r="D10" s="3">
        <f ca="1">IF(A10=VLOOKUP(A10,INDIRECT("tarieven!$A$3:$D$"&amp;tarieven!$A$1+3,TRUE),1),VLOOKUP(A10,INDIRECT("tarieven!$A$3:$D$"&amp;tarieven!$A$1+3,TRUE),4),"")</f>
        <v>0</v>
      </c>
      <c r="E10" s="86"/>
      <c r="F10" s="6" t="str">
        <f t="shared" ca="1" si="0"/>
        <v/>
      </c>
      <c r="G10" s="58" t="str">
        <f t="shared" si="1"/>
        <v/>
      </c>
      <c r="H10" s="2" t="e">
        <f t="shared" ca="1" si="2"/>
        <v>#VALUE!</v>
      </c>
    </row>
    <row r="11" spans="1:10">
      <c r="A11" s="84" t="s">
        <v>6</v>
      </c>
      <c r="B11" t="str">
        <f ca="1">IF(A11=VLOOKUP(A11,INDIRECT("tarieven!$A$3:$D$"&amp;tarieven!$A$1+3,TRUE),1),VLOOKUP(A11,INDIRECT("tarieven!$A$3:$D$"&amp;tarieven!$A$1+3,TRUE),2),"")</f>
        <v/>
      </c>
      <c r="C11" t="str">
        <f ca="1">IF(A11=VLOOKUP(A11,INDIRECT("tarieven!$A$3:$D$"&amp;tarieven!$A$1+3,TRUE),1),VLOOKUP(A11,INDIRECT("tarieven!$A$3:$D$"&amp;tarieven!$A$1+3,TRUE),3),"")</f>
        <v/>
      </c>
      <c r="D11" s="3">
        <f ca="1">IF(A11=VLOOKUP(A11,INDIRECT("tarieven!$A$3:$D$"&amp;tarieven!$A$1+3,TRUE),1),VLOOKUP(A11,INDIRECT("tarieven!$A$3:$D$"&amp;tarieven!$A$1+3,TRUE),4),"")</f>
        <v>0</v>
      </c>
      <c r="E11" s="86"/>
      <c r="F11" s="6" t="str">
        <f t="shared" ca="1" si="0"/>
        <v/>
      </c>
      <c r="G11" s="58" t="str">
        <f t="shared" si="1"/>
        <v/>
      </c>
      <c r="H11" s="2" t="e">
        <f t="shared" ca="1" si="2"/>
        <v>#VALUE!</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f ca="1">IF(A12=VLOOKUP(A12,INDIRECT("tarieven!$A$3:$D$"&amp;tarieven!$A$1+3,TRUE),1),VLOOKUP(A12,INDIRECT("tarieven!$A$3:$D$"&amp;tarieven!$A$1+3,TRUE),4),"")</f>
        <v>0</v>
      </c>
      <c r="E12" s="86"/>
      <c r="F12" s="6" t="str">
        <f t="shared" ca="1" si="0"/>
        <v/>
      </c>
      <c r="G12" s="58" t="str">
        <f t="shared" si="1"/>
        <v/>
      </c>
      <c r="H12" s="2" t="e">
        <f t="shared" ca="1" si="2"/>
        <v>#VALUE!</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f ca="1">IF(A13=VLOOKUP(A13,INDIRECT("tarieven!$A$3:$D$"&amp;tarieven!$A$1+3,TRUE),1),VLOOKUP(A13,INDIRECT("tarieven!$A$3:$D$"&amp;tarieven!$A$1+3,TRUE),4),"")</f>
        <v>0</v>
      </c>
      <c r="E13" s="86"/>
      <c r="F13" s="6" t="str">
        <f t="shared" ca="1" si="0"/>
        <v/>
      </c>
      <c r="G13" s="58" t="str">
        <f t="shared" si="1"/>
        <v/>
      </c>
      <c r="H13" s="2" t="e">
        <f t="shared" ca="1" si="2"/>
        <v>#VALUE!</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6"/>
      <c r="F14" s="6" t="str">
        <f t="shared" ca="1" si="0"/>
        <v/>
      </c>
      <c r="G14" s="58" t="str">
        <f t="shared" si="1"/>
        <v/>
      </c>
      <c r="H14" s="2" t="e">
        <f t="shared" ca="1" si="2"/>
        <v>#VALUE!</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6"/>
      <c r="F15" s="6" t="str">
        <f t="shared" ca="1" si="0"/>
        <v/>
      </c>
      <c r="G15" s="58" t="str">
        <f t="shared" si="1"/>
        <v/>
      </c>
      <c r="H15" s="2" t="e">
        <f t="shared" ca="1" si="2"/>
        <v>#VALUE!</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6"/>
      <c r="F16" s="6" t="str">
        <f t="shared" ca="1" si="0"/>
        <v/>
      </c>
      <c r="G16" s="58" t="str">
        <f t="shared" si="1"/>
        <v/>
      </c>
      <c r="H16" s="2"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6"/>
      <c r="F17" s="6" t="str">
        <f t="shared" ca="1" si="0"/>
        <v/>
      </c>
      <c r="G17" s="58" t="str">
        <f t="shared" si="1"/>
        <v/>
      </c>
      <c r="H17" s="2"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6"/>
      <c r="F18" s="6" t="str">
        <f t="shared" ca="1" si="0"/>
        <v/>
      </c>
      <c r="G18" s="58" t="str">
        <f t="shared" si="1"/>
        <v/>
      </c>
      <c r="H18" s="2"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INDIRECT("tarieven!$A$3:$A$"&amp;tarieven!$A$1+3,TRUE)</xm:f>
          </x14:formula1>
          <xm:sqref>A7:A25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J105"/>
  <sheetViews>
    <sheetView workbookViewId="0">
      <selection activeCell="C28" sqref="C28"/>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457</v>
      </c>
    </row>
    <row r="4" spans="1:10" ht="17.100000000000001" thickBot="1">
      <c r="A4" s="54">
        <v>1</v>
      </c>
      <c r="B4" s="55" t="s">
        <v>542</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304220</v>
      </c>
      <c r="B7" t="str">
        <f ca="1">IF(A7=VLOOKUP(A7,INDIRECT("tarieven!$A$3:$D$"&amp;tarieven!$A$1+3,TRUE),1),VLOOKUP(A7,INDIRECT("tarieven!$A$3:$D$"&amp;tarieven!$A$1+3,TRUE),2),"")</f>
        <v>Herstraten open verhardingen (geheel)</v>
      </c>
      <c r="C7" t="str">
        <f ca="1">IF(A7=VLOOKUP(A7,INDIRECT("tarieven!$A$3:$D$"&amp;tarieven!$A$1+3,TRUE),1),VLOOKUP(A7,INDIRECT("tarieven!$A$3:$D$"&amp;tarieven!$A$1+3,TRUE),3),"")</f>
        <v>m2</v>
      </c>
      <c r="D7" s="3">
        <f ca="1">IF(A7=VLOOKUP(A7,INDIRECT("tarieven!$A$3:$D$"&amp;tarieven!$A$1+3,TRUE),1),VLOOKUP(A7,INDIRECT("tarieven!$A$3:$D$"&amp;tarieven!$A$1+3,TRUE),4),"")</f>
        <v>15.9</v>
      </c>
      <c r="E7" s="86">
        <v>1</v>
      </c>
      <c r="F7" s="6" t="str">
        <f t="shared" ref="F7:F26" ca="1" si="0">IF(C7="","",$C$4&amp;"/"&amp;C7)</f>
        <v>m2/m2</v>
      </c>
      <c r="G7" s="58">
        <f t="shared" ref="G7:G70" si="1">IF(E7="","",1/E7)</f>
        <v>1</v>
      </c>
      <c r="H7" s="2">
        <f ca="1">IF(D7="","",D7*G7)</f>
        <v>15.9</v>
      </c>
    </row>
    <row r="8" spans="1:10">
      <c r="A8" s="84" t="s">
        <v>6</v>
      </c>
      <c r="B8" t="str">
        <f ca="1">IF(A8=VLOOKUP(A8,INDIRECT("tarieven!$A$3:$D$"&amp;tarieven!$A$1+3,TRUE),1),VLOOKUP(A8,INDIRECT("tarieven!$A$3:$D$"&amp;tarieven!$A$1+3,TRUE),2),"")</f>
        <v/>
      </c>
      <c r="C8" t="str">
        <f ca="1">IF(A8=VLOOKUP(A8,INDIRECT("tarieven!$A$3:$D$"&amp;tarieven!$A$1+3,TRUE),1),VLOOKUP(A8,INDIRECT("tarieven!$A$3:$D$"&amp;tarieven!$A$1+3,TRUE),3),"")</f>
        <v/>
      </c>
      <c r="D8" s="3">
        <f ca="1">IF(A8=VLOOKUP(A8,INDIRECT("tarieven!$A$3:$D$"&amp;tarieven!$A$1+3,TRUE),1),VLOOKUP(A8,INDIRECT("tarieven!$A$3:$D$"&amp;tarieven!$A$1+3,TRUE),4),"")</f>
        <v>0</v>
      </c>
      <c r="E8" s="86"/>
      <c r="F8" s="6" t="str">
        <f t="shared" ca="1" si="0"/>
        <v/>
      </c>
      <c r="G8" s="58" t="str">
        <f t="shared" si="1"/>
        <v/>
      </c>
      <c r="H8" s="2" t="e">
        <f t="shared" ref="H8:H25" ca="1" si="2">IF(D8="","",D8*G8)</f>
        <v>#VALUE!</v>
      </c>
    </row>
    <row r="9" spans="1:10">
      <c r="A9" s="84" t="s">
        <v>6</v>
      </c>
      <c r="B9" t="str">
        <f ca="1">IF(A9=VLOOKUP(A9,INDIRECT("tarieven!$A$3:$D$"&amp;tarieven!$A$1+3,TRUE),1),VLOOKUP(A9,INDIRECT("tarieven!$A$3:$D$"&amp;tarieven!$A$1+3,TRUE),2),"")</f>
        <v/>
      </c>
      <c r="C9" t="str">
        <f ca="1">IF(A9=VLOOKUP(A9,INDIRECT("tarieven!$A$3:$D$"&amp;tarieven!$A$1+3,TRUE),1),VLOOKUP(A9,INDIRECT("tarieven!$A$3:$D$"&amp;tarieven!$A$1+3,TRUE),3),"")</f>
        <v/>
      </c>
      <c r="D9" s="3">
        <f ca="1">IF(A9=VLOOKUP(A9,INDIRECT("tarieven!$A$3:$D$"&amp;tarieven!$A$1+3,TRUE),1),VLOOKUP(A9,INDIRECT("tarieven!$A$3:$D$"&amp;tarieven!$A$1+3,TRUE),4),"")</f>
        <v>0</v>
      </c>
      <c r="E9" s="86"/>
      <c r="F9" s="6" t="str">
        <f t="shared" ca="1" si="0"/>
        <v/>
      </c>
      <c r="G9" s="58" t="str">
        <f t="shared" si="1"/>
        <v/>
      </c>
      <c r="H9" s="2" t="e">
        <f t="shared" ca="1" si="2"/>
        <v>#VALUE!</v>
      </c>
    </row>
    <row r="10" spans="1:10">
      <c r="A10" s="84" t="s">
        <v>6</v>
      </c>
      <c r="B10" t="str">
        <f ca="1">IF(A10=VLOOKUP(A10,INDIRECT("tarieven!$A$3:$D$"&amp;tarieven!$A$1+3,TRUE),1),VLOOKUP(A10,INDIRECT("tarieven!$A$3:$D$"&amp;tarieven!$A$1+3,TRUE),2),"")</f>
        <v/>
      </c>
      <c r="C10" t="str">
        <f ca="1">IF(A10=VLOOKUP(A10,INDIRECT("tarieven!$A$3:$D$"&amp;tarieven!$A$1+3,TRUE),1),VLOOKUP(A10,INDIRECT("tarieven!$A$3:$D$"&amp;tarieven!$A$1+3,TRUE),3),"")</f>
        <v/>
      </c>
      <c r="D10" s="3">
        <f ca="1">IF(A10=VLOOKUP(A10,INDIRECT("tarieven!$A$3:$D$"&amp;tarieven!$A$1+3,TRUE),1),VLOOKUP(A10,INDIRECT("tarieven!$A$3:$D$"&amp;tarieven!$A$1+3,TRUE),4),"")</f>
        <v>0</v>
      </c>
      <c r="E10" s="86"/>
      <c r="F10" s="6" t="str">
        <f t="shared" ca="1" si="0"/>
        <v/>
      </c>
      <c r="G10" s="58" t="str">
        <f t="shared" si="1"/>
        <v/>
      </c>
      <c r="H10" s="2" t="e">
        <f t="shared" ca="1" si="2"/>
        <v>#VALUE!</v>
      </c>
    </row>
    <row r="11" spans="1:10">
      <c r="A11" s="84" t="s">
        <v>6</v>
      </c>
      <c r="B11" t="str">
        <f ca="1">IF(A11=VLOOKUP(A11,INDIRECT("tarieven!$A$3:$D$"&amp;tarieven!$A$1+3,TRUE),1),VLOOKUP(A11,INDIRECT("tarieven!$A$3:$D$"&amp;tarieven!$A$1+3,TRUE),2),"")</f>
        <v/>
      </c>
      <c r="C11" t="str">
        <f ca="1">IF(A11=VLOOKUP(A11,INDIRECT("tarieven!$A$3:$D$"&amp;tarieven!$A$1+3,TRUE),1),VLOOKUP(A11,INDIRECT("tarieven!$A$3:$D$"&amp;tarieven!$A$1+3,TRUE),3),"")</f>
        <v/>
      </c>
      <c r="D11" s="3">
        <f ca="1">IF(A11=VLOOKUP(A11,INDIRECT("tarieven!$A$3:$D$"&amp;tarieven!$A$1+3,TRUE),1),VLOOKUP(A11,INDIRECT("tarieven!$A$3:$D$"&amp;tarieven!$A$1+3,TRUE),4),"")</f>
        <v>0</v>
      </c>
      <c r="E11" s="86"/>
      <c r="F11" s="6" t="str">
        <f t="shared" ca="1" si="0"/>
        <v/>
      </c>
      <c r="G11" s="58" t="str">
        <f t="shared" si="1"/>
        <v/>
      </c>
      <c r="H11" s="2" t="e">
        <f t="shared" ca="1" si="2"/>
        <v>#VALUE!</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f ca="1">IF(A12=VLOOKUP(A12,INDIRECT("tarieven!$A$3:$D$"&amp;tarieven!$A$1+3,TRUE),1),VLOOKUP(A12,INDIRECT("tarieven!$A$3:$D$"&amp;tarieven!$A$1+3,TRUE),4),"")</f>
        <v>0</v>
      </c>
      <c r="E12" s="86"/>
      <c r="F12" s="6" t="str">
        <f t="shared" ca="1" si="0"/>
        <v/>
      </c>
      <c r="G12" s="58" t="str">
        <f t="shared" si="1"/>
        <v/>
      </c>
      <c r="H12" s="2" t="e">
        <f t="shared" ca="1" si="2"/>
        <v>#VALUE!</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f ca="1">IF(A13=VLOOKUP(A13,INDIRECT("tarieven!$A$3:$D$"&amp;tarieven!$A$1+3,TRUE),1),VLOOKUP(A13,INDIRECT("tarieven!$A$3:$D$"&amp;tarieven!$A$1+3,TRUE),4),"")</f>
        <v>0</v>
      </c>
      <c r="E13" s="86"/>
      <c r="F13" s="6" t="str">
        <f t="shared" ca="1" si="0"/>
        <v/>
      </c>
      <c r="G13" s="58" t="str">
        <f t="shared" si="1"/>
        <v/>
      </c>
      <c r="H13" s="2" t="e">
        <f t="shared" ca="1" si="2"/>
        <v>#VALUE!</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6"/>
      <c r="F14" s="6" t="str">
        <f t="shared" ca="1" si="0"/>
        <v/>
      </c>
      <c r="G14" s="58" t="str">
        <f t="shared" si="1"/>
        <v/>
      </c>
      <c r="H14" s="2" t="e">
        <f t="shared" ca="1" si="2"/>
        <v>#VALUE!</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6"/>
      <c r="F15" s="6" t="str">
        <f t="shared" ca="1" si="0"/>
        <v/>
      </c>
      <c r="G15" s="58" t="str">
        <f t="shared" si="1"/>
        <v/>
      </c>
      <c r="H15" s="2" t="e">
        <f t="shared" ca="1" si="2"/>
        <v>#VALUE!</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6"/>
      <c r="F16" s="6" t="str">
        <f t="shared" ca="1" si="0"/>
        <v/>
      </c>
      <c r="G16" s="58" t="str">
        <f t="shared" si="1"/>
        <v/>
      </c>
      <c r="H16" s="2"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6"/>
      <c r="F17" s="6" t="str">
        <f t="shared" ca="1" si="0"/>
        <v/>
      </c>
      <c r="G17" s="58" t="str">
        <f t="shared" si="1"/>
        <v/>
      </c>
      <c r="H17" s="2"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6"/>
      <c r="F18" s="6" t="str">
        <f t="shared" ca="1" si="0"/>
        <v/>
      </c>
      <c r="G18" s="58" t="str">
        <f t="shared" si="1"/>
        <v/>
      </c>
      <c r="H18" s="2"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INDIRECT("tarieven!$A$3:$A$"&amp;tarieven!$A$1+3,TRUE)</xm:f>
          </x14:formula1>
          <xm:sqref>A7:A25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J105"/>
  <sheetViews>
    <sheetView workbookViewId="0">
      <selection activeCell="C28" sqref="C28"/>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457</v>
      </c>
    </row>
    <row r="4" spans="1:10" ht="33" thickBot="1">
      <c r="A4" s="54">
        <v>1</v>
      </c>
      <c r="B4" s="55" t="s">
        <v>543</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102030</v>
      </c>
      <c r="B7" t="str">
        <f ca="1">IF(A7=VLOOKUP(A7,INDIRECT("tarieven!$A$3:$D$"&amp;tarieven!$A$1+3,TRUE),1),VLOOKUP(A7,INDIRECT("tarieven!$A$3:$D$"&amp;tarieven!$A$1+3,TRUE),2),"")</f>
        <v>machinist/chauffeur</v>
      </c>
      <c r="C7" t="str">
        <f ca="1">IF(A7=VLOOKUP(A7,INDIRECT("tarieven!$A$3:$D$"&amp;tarieven!$A$1+3,TRUE),1),VLOOKUP(A7,INDIRECT("tarieven!$A$3:$D$"&amp;tarieven!$A$1+3,TRUE),3),"")</f>
        <v>uur</v>
      </c>
      <c r="D7" s="3">
        <f ca="1">IF(A7=VLOOKUP(A7,INDIRECT("tarieven!$A$3:$D$"&amp;tarieven!$A$1+3,TRUE),1),VLOOKUP(A7,INDIRECT("tarieven!$A$3:$D$"&amp;tarieven!$A$1+3,TRUE),4),"")</f>
        <v>43.34</v>
      </c>
      <c r="E7" s="86">
        <v>100</v>
      </c>
      <c r="F7" s="6" t="str">
        <f t="shared" ref="F7:F26" ca="1" si="0">IF(C7="","",$C$4&amp;"/"&amp;C7)</f>
        <v>m2/uur</v>
      </c>
      <c r="G7" s="58">
        <f t="shared" ref="G7:G70" si="1">IF(E7="","",1/E7)</f>
        <v>0.01</v>
      </c>
      <c r="H7" s="2">
        <f ca="1">IF(D7="","",D7*G7)</f>
        <v>0.43340000000000006</v>
      </c>
    </row>
    <row r="8" spans="1:10">
      <c r="A8" s="84">
        <v>300020</v>
      </c>
      <c r="B8" t="str">
        <f ca="1">IF(A8=VLOOKUP(A8,INDIRECT("tarieven!$A$3:$D$"&amp;tarieven!$A$1+3,TRUE),1),VLOOKUP(A8,INDIRECT("tarieven!$A$3:$D$"&amp;tarieven!$A$1+3,TRUE),2),"")</f>
        <v>laadschop 2.500 liter incl</v>
      </c>
      <c r="C8" t="str">
        <f ca="1">IF(A8=VLOOKUP(A8,INDIRECT("tarieven!$A$3:$D$"&amp;tarieven!$A$1+3,TRUE),1),VLOOKUP(A8,INDIRECT("tarieven!$A$3:$D$"&amp;tarieven!$A$1+3,TRUE),3),"")</f>
        <v>uur</v>
      </c>
      <c r="D8" s="3">
        <f ca="1">IF(A8=VLOOKUP(A8,INDIRECT("tarieven!$A$3:$D$"&amp;tarieven!$A$1+3,TRUE),1),VLOOKUP(A8,INDIRECT("tarieven!$A$3:$D$"&amp;tarieven!$A$1+3,TRUE),4),"")</f>
        <v>82.6</v>
      </c>
      <c r="E8" s="86">
        <v>100</v>
      </c>
      <c r="F8" s="6" t="str">
        <f t="shared" ca="1" si="0"/>
        <v>m2/uur</v>
      </c>
      <c r="G8" s="58">
        <f t="shared" si="1"/>
        <v>0.01</v>
      </c>
      <c r="H8" s="2">
        <f t="shared" ref="H8:H25" ca="1" si="2">IF(D8="","",D8*G8)</f>
        <v>0.82599999999999996</v>
      </c>
      <c r="I8" t="s">
        <v>544</v>
      </c>
    </row>
    <row r="9" spans="1:10">
      <c r="A9" s="84">
        <v>304120</v>
      </c>
      <c r="B9" t="str">
        <f ca="1">IF(A9=VLOOKUP(A9,INDIRECT("tarieven!$A$3:$D$"&amp;tarieven!$A$1+3,TRUE),1),VLOOKUP(A9,INDIRECT("tarieven!$A$3:$D$"&amp;tarieven!$A$1+3,TRUE),2),"")</f>
        <v>Opbreken open verhardingen (machinaal)</v>
      </c>
      <c r="C9" t="str">
        <f ca="1">IF(A9=VLOOKUP(A9,INDIRECT("tarieven!$A$3:$D$"&amp;tarieven!$A$1+3,TRUE),1),VLOOKUP(A9,INDIRECT("tarieven!$A$3:$D$"&amp;tarieven!$A$1+3,TRUE),3),"")</f>
        <v>m2</v>
      </c>
      <c r="D9" s="3">
        <f ca="1">IF(A9=VLOOKUP(A9,INDIRECT("tarieven!$A$3:$D$"&amp;tarieven!$A$1+3,TRUE),1),VLOOKUP(A9,INDIRECT("tarieven!$A$3:$D$"&amp;tarieven!$A$1+3,TRUE),4),"")</f>
        <v>2.64</v>
      </c>
      <c r="E9" s="86">
        <v>1</v>
      </c>
      <c r="F9" s="6" t="str">
        <f t="shared" ca="1" si="0"/>
        <v>m2/m2</v>
      </c>
      <c r="G9" s="58">
        <f t="shared" si="1"/>
        <v>1</v>
      </c>
      <c r="H9" s="2">
        <f t="shared" ca="1" si="2"/>
        <v>2.64</v>
      </c>
      <c r="I9" t="s">
        <v>545</v>
      </c>
    </row>
    <row r="10" spans="1:10">
      <c r="A10" s="84">
        <v>100010</v>
      </c>
      <c r="B10" t="str">
        <f ca="1">IF(A10=VLOOKUP(A10,INDIRECT("tarieven!$A$3:$D$"&amp;tarieven!$A$1+3,TRUE),1),VLOOKUP(A10,INDIRECT("tarieven!$A$3:$D$"&amp;tarieven!$A$1+3,TRUE),2),"")</f>
        <v>arbeider/grondwerker/stratenmaker</v>
      </c>
      <c r="C10" t="str">
        <f ca="1">IF(A10=VLOOKUP(A10,INDIRECT("tarieven!$A$3:$D$"&amp;tarieven!$A$1+3,TRUE),1),VLOOKUP(A10,INDIRECT("tarieven!$A$3:$D$"&amp;tarieven!$A$1+3,TRUE),3),"")</f>
        <v>uur</v>
      </c>
      <c r="D10" s="3">
        <f ca="1">IF(A10=VLOOKUP(A10,INDIRECT("tarieven!$A$3:$D$"&amp;tarieven!$A$1+3,TRUE),1),VLOOKUP(A10,INDIRECT("tarieven!$A$3:$D$"&amp;tarieven!$A$1+3,TRUE),4),"")</f>
        <v>44.38</v>
      </c>
      <c r="E10" s="86">
        <v>225</v>
      </c>
      <c r="F10" s="6" t="str">
        <f t="shared" ca="1" si="0"/>
        <v>m2/uur</v>
      </c>
      <c r="G10" s="58">
        <f t="shared" si="1"/>
        <v>4.4444444444444444E-3</v>
      </c>
      <c r="H10" s="2">
        <f t="shared" ca="1" si="2"/>
        <v>0.19724444444444444</v>
      </c>
      <c r="I10" t="s">
        <v>546</v>
      </c>
    </row>
    <row r="11" spans="1:10">
      <c r="A11" s="84">
        <v>200440</v>
      </c>
      <c r="B11" t="str">
        <f ca="1">IF(A11=VLOOKUP(A11,INDIRECT("tarieven!$A$3:$D$"&amp;tarieven!$A$1+3,TRUE),1),VLOOKUP(A11,INDIRECT("tarieven!$A$3:$D$"&amp;tarieven!$A$1+3,TRUE),2),"")</f>
        <v>Fundering van puin (200mm) en straatzand (50mm) verwijderen</v>
      </c>
      <c r="C11" t="str">
        <f ca="1">IF(A11=VLOOKUP(A11,INDIRECT("tarieven!$A$3:$D$"&amp;tarieven!$A$1+3,TRUE),1),VLOOKUP(A11,INDIRECT("tarieven!$A$3:$D$"&amp;tarieven!$A$1+3,TRUE),3),"")</f>
        <v>m2</v>
      </c>
      <c r="D11" s="3">
        <f ca="1">IF(A11=VLOOKUP(A11,INDIRECT("tarieven!$A$3:$D$"&amp;tarieven!$A$1+3,TRUE),1),VLOOKUP(A11,INDIRECT("tarieven!$A$3:$D$"&amp;tarieven!$A$1+3,TRUE),4),"")</f>
        <v>3.8825000000000003</v>
      </c>
      <c r="E11" s="86">
        <v>1</v>
      </c>
      <c r="F11" s="6" t="str">
        <f t="shared" ca="1" si="0"/>
        <v>m2/m2</v>
      </c>
      <c r="G11" s="58">
        <f t="shared" si="1"/>
        <v>1</v>
      </c>
      <c r="H11" s="2">
        <f t="shared" ca="1" si="2"/>
        <v>3.8825000000000003</v>
      </c>
    </row>
    <row r="12" spans="1:10">
      <c r="A12" s="84">
        <v>200410</v>
      </c>
      <c r="B12" t="str">
        <f ca="1">IF(A12=VLOOKUP(A12,INDIRECT("tarieven!$A$3:$D$"&amp;tarieven!$A$1+3,TRUE),1),VLOOKUP(A12,INDIRECT("tarieven!$A$3:$D$"&amp;tarieven!$A$1+3,TRUE),2),"")</f>
        <v xml:space="preserve">Fundering van zand verwijderen (0,50m) </v>
      </c>
      <c r="C12" t="str">
        <f ca="1">IF(A12=VLOOKUP(A12,INDIRECT("tarieven!$A$3:$D$"&amp;tarieven!$A$1+3,TRUE),1),VLOOKUP(A12,INDIRECT("tarieven!$A$3:$D$"&amp;tarieven!$A$1+3,TRUE),3),"")</f>
        <v>m2</v>
      </c>
      <c r="D12" s="3">
        <f ca="1">IF(A12=VLOOKUP(A12,INDIRECT("tarieven!$A$3:$D$"&amp;tarieven!$A$1+3,TRUE),1),VLOOKUP(A12,INDIRECT("tarieven!$A$3:$D$"&amp;tarieven!$A$1+3,TRUE),4),"")</f>
        <v>5.2650000000000006</v>
      </c>
      <c r="E12" s="86">
        <v>1</v>
      </c>
      <c r="F12" s="6" t="str">
        <f t="shared" ca="1" si="0"/>
        <v>m2/m2</v>
      </c>
      <c r="G12" s="58">
        <f t="shared" si="1"/>
        <v>1</v>
      </c>
      <c r="H12" s="2">
        <f t="shared" ca="1" si="2"/>
        <v>5.2650000000000006</v>
      </c>
    </row>
    <row r="13" spans="1:10">
      <c r="A13" s="84">
        <v>310010</v>
      </c>
      <c r="B13" t="str">
        <f ca="1">IF(A13=VLOOKUP(A13,INDIRECT("tarieven!$A$3:$D$"&amp;tarieven!$A$1+3,TRUE),1),VLOOKUP(A13,INDIRECT("tarieven!$A$3:$D$"&amp;tarieven!$A$1+3,TRUE),2),"")</f>
        <v>Aanbrengen zand in zandbed</v>
      </c>
      <c r="C13" t="str">
        <f ca="1">IF(A13=VLOOKUP(A13,INDIRECT("tarieven!$A$3:$D$"&amp;tarieven!$A$1+3,TRUE),1),VLOOKUP(A13,INDIRECT("tarieven!$A$3:$D$"&amp;tarieven!$A$1+3,TRUE),3),"")</f>
        <v>m2</v>
      </c>
      <c r="D13" s="3">
        <f ca="1">IF(A13=VLOOKUP(A13,INDIRECT("tarieven!$A$3:$D$"&amp;tarieven!$A$1+3,TRUE),1),VLOOKUP(A13,INDIRECT("tarieven!$A$3:$D$"&amp;tarieven!$A$1+3,TRUE),4),"")</f>
        <v>0</v>
      </c>
      <c r="E13" s="86">
        <v>1</v>
      </c>
      <c r="F13" s="6" t="str">
        <f t="shared" ca="1" si="0"/>
        <v>m2/m2</v>
      </c>
      <c r="G13" s="58">
        <f t="shared" si="1"/>
        <v>1</v>
      </c>
      <c r="H13" s="2">
        <f t="shared" ca="1" si="2"/>
        <v>0</v>
      </c>
    </row>
    <row r="14" spans="1:10">
      <c r="A14" s="84">
        <v>310120</v>
      </c>
      <c r="B14" t="str">
        <f ca="1">IF(A14=VLOOKUP(A14,INDIRECT("tarieven!$A$3:$D$"&amp;tarieven!$A$1+3,TRUE),1),VLOOKUP(A14,INDIRECT("tarieven!$A$3:$D$"&amp;tarieven!$A$1+3,TRUE),2),"")</f>
        <v>Aanbrengen fundering 250mm betongranulaat</v>
      </c>
      <c r="C14" t="str">
        <f ca="1">IF(A14=VLOOKUP(A14,INDIRECT("tarieven!$A$3:$D$"&amp;tarieven!$A$1+3,TRUE),1),VLOOKUP(A14,INDIRECT("tarieven!$A$3:$D$"&amp;tarieven!$A$1+3,TRUE),3),"")</f>
        <v>m2</v>
      </c>
      <c r="D14" s="3">
        <f ca="1">IF(A14=VLOOKUP(A14,INDIRECT("tarieven!$A$3:$D$"&amp;tarieven!$A$1+3,TRUE),1),VLOOKUP(A14,INDIRECT("tarieven!$A$3:$D$"&amp;tarieven!$A$1+3,TRUE),4),"")</f>
        <v>6.07</v>
      </c>
      <c r="E14" s="86">
        <v>1</v>
      </c>
      <c r="F14" s="6" t="str">
        <f t="shared" ca="1" si="0"/>
        <v>m2/m2</v>
      </c>
      <c r="G14" s="58">
        <f t="shared" si="1"/>
        <v>1</v>
      </c>
      <c r="H14" s="2">
        <f t="shared" ca="1" si="2"/>
        <v>6.07</v>
      </c>
    </row>
    <row r="15" spans="1:10">
      <c r="A15" s="84">
        <v>310130</v>
      </c>
      <c r="B15" t="str">
        <f ca="1">IF(A15=VLOOKUP(A15,INDIRECT("tarieven!$A$3:$D$"&amp;tarieven!$A$1+3,TRUE),1),VLOOKUP(A15,INDIRECT("tarieven!$A$3:$D$"&amp;tarieven!$A$1+3,TRUE),2),"")</f>
        <v/>
      </c>
      <c r="C15" t="str">
        <f ca="1">IF(A15=VLOOKUP(A15,INDIRECT("tarieven!$A$3:$D$"&amp;tarieven!$A$1+3,TRUE),1),VLOOKUP(A15,INDIRECT("tarieven!$A$3:$D$"&amp;tarieven!$A$1+3,TRUE),3),"")</f>
        <v/>
      </c>
      <c r="D15" s="3" t="str">
        <f ca="1">IF(A15=VLOOKUP(A15,INDIRECT("tarieven!$A$3:$D$"&amp;tarieven!$A$1+3,TRUE),1),VLOOKUP(A15,INDIRECT("tarieven!$A$3:$D$"&amp;tarieven!$A$1+3,TRUE),4),"")</f>
        <v/>
      </c>
      <c r="E15" s="86">
        <v>1</v>
      </c>
      <c r="F15" s="6" t="str">
        <f t="shared" ca="1" si="0"/>
        <v/>
      </c>
      <c r="G15" s="58">
        <f t="shared" si="1"/>
        <v>1</v>
      </c>
      <c r="H15" s="2" t="str">
        <f t="shared" ca="1" si="2"/>
        <v/>
      </c>
    </row>
    <row r="16" spans="1:10">
      <c r="A16" s="84">
        <v>300060</v>
      </c>
      <c r="B16" t="str">
        <f ca="1">IF(A16=VLOOKUP(A16,INDIRECT("tarieven!$A$3:$D$"&amp;tarieven!$A$1+3,TRUE),1),VLOOKUP(A16,INDIRECT("tarieven!$A$3:$D$"&amp;tarieven!$A$1+3,TRUE),2),"")</f>
        <v>trilwals (+ aan en afvoerkosten)</v>
      </c>
      <c r="C16" t="str">
        <f ca="1">IF(A16=VLOOKUP(A16,INDIRECT("tarieven!$A$3:$D$"&amp;tarieven!$A$1+3,TRUE),1),VLOOKUP(A16,INDIRECT("tarieven!$A$3:$D$"&amp;tarieven!$A$1+3,TRUE),3),"")</f>
        <v>dag</v>
      </c>
      <c r="D16" s="3">
        <f ca="1">IF(A16=VLOOKUP(A16,INDIRECT("tarieven!$A$3:$D$"&amp;tarieven!$A$1+3,TRUE),1),VLOOKUP(A16,INDIRECT("tarieven!$A$3:$D$"&amp;tarieven!$A$1+3,TRUE),4),"")</f>
        <v>775</v>
      </c>
      <c r="E16" s="86">
        <v>2000</v>
      </c>
      <c r="F16" s="6" t="str">
        <f t="shared" ca="1" si="0"/>
        <v>m2/dag</v>
      </c>
      <c r="G16" s="58">
        <f t="shared" si="1"/>
        <v>5.0000000000000001E-4</v>
      </c>
      <c r="H16" s="2">
        <f t="shared" ca="1" si="2"/>
        <v>0.38750000000000001</v>
      </c>
    </row>
    <row r="17" spans="1:8">
      <c r="A17" s="84">
        <v>102030</v>
      </c>
      <c r="B17" t="str">
        <f ca="1">IF(A17=VLOOKUP(A17,INDIRECT("tarieven!$A$3:$D$"&amp;tarieven!$A$1+3,TRUE),1),VLOOKUP(A17,INDIRECT("tarieven!$A$3:$D$"&amp;tarieven!$A$1+3,TRUE),2),"")</f>
        <v>machinist/chauffeur</v>
      </c>
      <c r="C17" t="str">
        <f ca="1">IF(A17=VLOOKUP(A17,INDIRECT("tarieven!$A$3:$D$"&amp;tarieven!$A$1+3,TRUE),1),VLOOKUP(A17,INDIRECT("tarieven!$A$3:$D$"&amp;tarieven!$A$1+3,TRUE),3),"")</f>
        <v>uur</v>
      </c>
      <c r="D17" s="3">
        <f ca="1">IF(A17=VLOOKUP(A17,INDIRECT("tarieven!$A$3:$D$"&amp;tarieven!$A$1+3,TRUE),1),VLOOKUP(A17,INDIRECT("tarieven!$A$3:$D$"&amp;tarieven!$A$1+3,TRUE),4),"")</f>
        <v>43.34</v>
      </c>
      <c r="E17" s="86">
        <v>250</v>
      </c>
      <c r="F17" s="6" t="str">
        <f t="shared" ca="1" si="0"/>
        <v>m2/uur</v>
      </c>
      <c r="G17" s="58">
        <f t="shared" si="1"/>
        <v>4.0000000000000001E-3</v>
      </c>
      <c r="H17" s="2">
        <f t="shared" ca="1" si="2"/>
        <v>0.17336000000000001</v>
      </c>
    </row>
    <row r="18" spans="1:8">
      <c r="A18" s="84">
        <v>304320</v>
      </c>
      <c r="B18" t="str">
        <f ca="1">IF(A18=VLOOKUP(A18,INDIRECT("tarieven!$A$3:$D$"&amp;tarieven!$A$1+3,TRUE),1),VLOOKUP(A18,INDIRECT("tarieven!$A$3:$D$"&amp;tarieven!$A$1+3,TRUE),2),"")</f>
        <v>Machinaal bestraten open verharding (nieuw materiaal)</v>
      </c>
      <c r="C18" t="str">
        <f ca="1">IF(A18=VLOOKUP(A18,INDIRECT("tarieven!$A$3:$D$"&amp;tarieven!$A$1+3,TRUE),1),VLOOKUP(A18,INDIRECT("tarieven!$A$3:$D$"&amp;tarieven!$A$1+3,TRUE),3),"")</f>
        <v>m2</v>
      </c>
      <c r="D18" s="3">
        <f ca="1">IF(A18=VLOOKUP(A18,INDIRECT("tarieven!$A$3:$D$"&amp;tarieven!$A$1+3,TRUE),1),VLOOKUP(A18,INDIRECT("tarieven!$A$3:$D$"&amp;tarieven!$A$1+3,TRUE),4),"")</f>
        <v>19.75</v>
      </c>
      <c r="E18" s="86">
        <v>1</v>
      </c>
      <c r="F18" s="6" t="str">
        <f t="shared" ca="1" si="0"/>
        <v>m2/m2</v>
      </c>
      <c r="G18" s="58">
        <f t="shared" si="1"/>
        <v>1</v>
      </c>
      <c r="H18" s="2">
        <f t="shared" ca="1" si="2"/>
        <v>19.75</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INDIRECT("tarieven!$A$3:$A$"&amp;tarieven!$A$1+3,TRUE)</xm:f>
          </x14:formula1>
          <xm:sqref>A7:A25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J105"/>
  <sheetViews>
    <sheetView workbookViewId="0">
      <selection activeCell="B14" sqref="B14"/>
    </sheetView>
  </sheetViews>
  <sheetFormatPr defaultColWidth="8.875" defaultRowHeight="15"/>
  <cols>
    <col min="1" max="1" width="7.375" bestFit="1" customWidth="1"/>
    <col min="2" max="2" width="42.125" customWidth="1"/>
    <col min="4" max="4" width="10.625" style="3" customWidth="1"/>
    <col min="5" max="5" width="15.375" style="9" bestFit="1" customWidth="1"/>
    <col min="6" max="6" width="10.625" style="9" customWidth="1"/>
    <col min="7" max="7" width="10.625" style="7" customWidth="1"/>
    <col min="8" max="8" width="13.125" style="3" customWidth="1"/>
    <col min="9" max="9" width="36" customWidth="1"/>
  </cols>
  <sheetData>
    <row r="2" spans="1:10">
      <c r="A2" t="s">
        <v>6</v>
      </c>
      <c r="B2" s="1" t="s">
        <v>7</v>
      </c>
      <c r="C2" s="1" t="s">
        <v>9</v>
      </c>
      <c r="D2" s="2" t="s">
        <v>10</v>
      </c>
      <c r="E2" s="6"/>
      <c r="F2" s="6"/>
    </row>
    <row r="3" spans="1:10">
      <c r="B3" s="1" t="s">
        <v>547</v>
      </c>
      <c r="C3" s="1"/>
      <c r="D3" s="2"/>
      <c r="E3" s="6"/>
      <c r="F3" s="6"/>
    </row>
    <row r="4" spans="1:10" ht="15.95" thickBot="1">
      <c r="A4" s="4">
        <v>1</v>
      </c>
      <c r="B4" s="4" t="s">
        <v>548</v>
      </c>
      <c r="C4" s="4" t="s">
        <v>362</v>
      </c>
      <c r="D4" s="5" t="e">
        <f ca="1">SUM(H7:H25)</f>
        <v>#VALUE!</v>
      </c>
      <c r="E4" s="8"/>
      <c r="F4" s="8"/>
    </row>
    <row r="5" spans="1:10" ht="15.95" thickTop="1">
      <c r="B5" t="s">
        <v>459</v>
      </c>
    </row>
    <row r="6" spans="1:10">
      <c r="A6" t="s">
        <v>350</v>
      </c>
      <c r="B6" t="s">
        <v>351</v>
      </c>
      <c r="C6" t="s">
        <v>9</v>
      </c>
      <c r="D6" s="3" t="s">
        <v>10</v>
      </c>
      <c r="E6" s="9" t="s">
        <v>460</v>
      </c>
      <c r="F6" s="9" t="s">
        <v>461</v>
      </c>
      <c r="G6" s="7" t="s">
        <v>8</v>
      </c>
      <c r="H6" s="3" t="s">
        <v>11</v>
      </c>
      <c r="I6" t="s">
        <v>462</v>
      </c>
      <c r="J6" t="s">
        <v>463</v>
      </c>
    </row>
    <row r="7" spans="1:10">
      <c r="A7" s="84">
        <v>201610</v>
      </c>
      <c r="B7" t="str">
        <f ca="1">IF(A7=VLOOKUP(A7,INDIRECT("tarieven!$A$3:$D$"&amp;tarieven!$A$1+3,TRUE),1),VLOOKUP(A7,INDIRECT("tarieven!$A$3:$D$"&amp;tarieven!$A$1+3,TRUE),2),"")</f>
        <v>Schoonmaken oppervlak t.b.v. reparaties</v>
      </c>
      <c r="C7" t="str">
        <f ca="1">IF(A7=VLOOKUP(A7,INDIRECT("tarieven!$A$3:$D$"&amp;tarieven!$A$1+3,TRUE),1),VLOOKUP(A7,INDIRECT("tarieven!$A$3:$D$"&amp;tarieven!$A$1+3,TRUE),3),"")</f>
        <v>m2</v>
      </c>
      <c r="D7" s="3">
        <f ca="1">IF(A7=VLOOKUP(A7,INDIRECT("tarieven!$A$3:$D$"&amp;tarieven!$A$1+3,TRUE),1),VLOOKUP(A7,INDIRECT("tarieven!$A$3:$D$"&amp;tarieven!$A$1+3,TRUE),4),"")</f>
        <v>0.4</v>
      </c>
      <c r="E7" s="85">
        <v>1</v>
      </c>
      <c r="F7" s="9" t="str">
        <f t="shared" ref="F7:F26" ca="1" si="0">IF(C7="","",$C$4&amp;"/"&amp;C7)</f>
        <v>m2/m2</v>
      </c>
      <c r="G7" s="10">
        <f t="shared" ref="G7:G70" si="1">IF(E7="","",1/E7)</f>
        <v>1</v>
      </c>
      <c r="H7" s="3">
        <f ca="1">IF(D7="","",D7*G7)</f>
        <v>0.4</v>
      </c>
    </row>
    <row r="8" spans="1:10">
      <c r="A8" s="84">
        <v>302810</v>
      </c>
      <c r="B8" t="str">
        <f ca="1">IF(A8=VLOOKUP(A8,INDIRECT("tarieven!$A$3:$D$"&amp;tarieven!$A$1+3,TRUE),1),VLOOKUP(A8,INDIRECT("tarieven!$A$3:$D$"&amp;tarieven!$A$1+3,TRUE),2),"")</f>
        <v>kleeflaag 0,3kg/m2</v>
      </c>
      <c r="C8" t="str">
        <f ca="1">IF(A8=VLOOKUP(A8,INDIRECT("tarieven!$A$3:$D$"&amp;tarieven!$A$1+3,TRUE),1),VLOOKUP(A8,INDIRECT("tarieven!$A$3:$D$"&amp;tarieven!$A$1+3,TRUE),3),"")</f>
        <v>m2</v>
      </c>
      <c r="D8" s="3">
        <f ca="1">IF(A8=VLOOKUP(A8,INDIRECT("tarieven!$A$3:$D$"&amp;tarieven!$A$1+3,TRUE),1),VLOOKUP(A8,INDIRECT("tarieven!$A$3:$D$"&amp;tarieven!$A$1+3,TRUE),4),"")</f>
        <v>0.35</v>
      </c>
      <c r="E8" s="85">
        <v>1</v>
      </c>
      <c r="F8" s="9" t="str">
        <f t="shared" ca="1" si="0"/>
        <v>m2/m2</v>
      </c>
      <c r="G8" s="10">
        <f t="shared" si="1"/>
        <v>1</v>
      </c>
      <c r="H8" s="3">
        <f t="shared" ref="H8:H25" ca="1" si="2">IF(D8="","",D8*G8)</f>
        <v>0.35</v>
      </c>
    </row>
    <row r="9" spans="1:10">
      <c r="A9" s="84">
        <v>300050</v>
      </c>
      <c r="B9" t="str">
        <f ca="1">IF(A9=VLOOKUP(A9,INDIRECT("tarieven!$A$3:$D$"&amp;tarieven!$A$1+3,TRUE),1),VLOOKUP(A9,INDIRECT("tarieven!$A$3:$D$"&amp;tarieven!$A$1+3,TRUE),2),"")</f>
        <v>asfaltset klein met transport incl. (+ aan en afvoerkosten)</v>
      </c>
      <c r="C9" t="str">
        <f ca="1">IF(A9=VLOOKUP(A9,INDIRECT("tarieven!$A$3:$D$"&amp;tarieven!$A$1+3,TRUE),1),VLOOKUP(A9,INDIRECT("tarieven!$A$3:$D$"&amp;tarieven!$A$1+3,TRUE),3),"")</f>
        <v>dag</v>
      </c>
      <c r="D9" s="3">
        <f ca="1">IF(A9=VLOOKUP(A9,INDIRECT("tarieven!$A$3:$D$"&amp;tarieven!$A$1+3,TRUE),1),VLOOKUP(A9,INDIRECT("tarieven!$A$3:$D$"&amp;tarieven!$A$1+3,TRUE),4),"")</f>
        <v>4915.2</v>
      </c>
      <c r="E9" s="85">
        <v>4500</v>
      </c>
      <c r="F9" s="9" t="str">
        <f t="shared" ca="1" si="0"/>
        <v>m2/dag</v>
      </c>
      <c r="G9" s="10">
        <f t="shared" si="1"/>
        <v>2.2222222222222223E-4</v>
      </c>
      <c r="H9" s="3">
        <f t="shared" ca="1" si="2"/>
        <v>1.0922666666666667</v>
      </c>
    </row>
    <row r="10" spans="1:10">
      <c r="A10" s="84">
        <v>301010</v>
      </c>
      <c r="B10" t="str">
        <f ca="1">IF(A10=VLOOKUP(A10,INDIRECT("tarieven!$A$3:$D$"&amp;tarieven!$A$1+3,TRUE),1),VLOOKUP(A10,INDIRECT("tarieven!$A$3:$D$"&amp;tarieven!$A$1+3,TRUE),2),"")</f>
        <v xml:space="preserve">asfalt deklaag incl. </v>
      </c>
      <c r="C10" t="str">
        <f ca="1">IF(A10=VLOOKUP(A10,INDIRECT("tarieven!$A$3:$D$"&amp;tarieven!$A$1+3,TRUE),1),VLOOKUP(A10,INDIRECT("tarieven!$A$3:$D$"&amp;tarieven!$A$1+3,TRUE),3),"")</f>
        <v>ton</v>
      </c>
      <c r="D10" s="3">
        <f ca="1">IF(A10=VLOOKUP(A10,INDIRECT("tarieven!$A$3:$D$"&amp;tarieven!$A$1+3,TRUE),1),VLOOKUP(A10,INDIRECT("tarieven!$A$3:$D$"&amp;tarieven!$A$1+3,TRUE),4),"")</f>
        <v>96.25</v>
      </c>
      <c r="E10" s="85">
        <f>0.4/0.04</f>
        <v>10</v>
      </c>
      <c r="F10" s="9" t="str">
        <f t="shared" ca="1" si="0"/>
        <v>m2/ton</v>
      </c>
      <c r="G10" s="10">
        <f t="shared" si="1"/>
        <v>0.1</v>
      </c>
      <c r="H10" s="3">
        <f t="shared" ca="1" si="2"/>
        <v>9.625</v>
      </c>
    </row>
    <row r="11" spans="1:10">
      <c r="A11" s="84">
        <v>401010</v>
      </c>
      <c r="B11" t="str">
        <f ca="1">IF(A11=VLOOKUP(A11,INDIRECT("tarieven!$A$3:$D$"&amp;tarieven!$A$1+3,TRUE),1),VLOOKUP(A11,INDIRECT("tarieven!$A$3:$D$"&amp;tarieven!$A$1+3,TRUE),2),"")</f>
        <v/>
      </c>
      <c r="C11" t="str">
        <f ca="1">IF(A11=VLOOKUP(A11,INDIRECT("tarieven!$A$3:$D$"&amp;tarieven!$A$1+3,TRUE),1),VLOOKUP(A11,INDIRECT("tarieven!$A$3:$D$"&amp;tarieven!$A$1+3,TRUE),3),"")</f>
        <v/>
      </c>
      <c r="D11" s="3" t="str">
        <f ca="1">IF(A11=VLOOKUP(A11,INDIRECT("tarieven!$A$3:$D$"&amp;tarieven!$A$1+3,TRUE),1),VLOOKUP(A11,INDIRECT("tarieven!$A$3:$D$"&amp;tarieven!$A$1+3,TRUE),4),"")</f>
        <v/>
      </c>
      <c r="E11" s="85">
        <v>4500</v>
      </c>
      <c r="F11" s="9" t="str">
        <f t="shared" ca="1" si="0"/>
        <v/>
      </c>
      <c r="G11" s="10">
        <f t="shared" si="1"/>
        <v>2.2222222222222223E-4</v>
      </c>
      <c r="H11" s="3" t="str">
        <f t="shared" ca="1" si="2"/>
        <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f ca="1">IF(A12=VLOOKUP(A12,INDIRECT("tarieven!$A$3:$D$"&amp;tarieven!$A$1+3,TRUE),1),VLOOKUP(A12,INDIRECT("tarieven!$A$3:$D$"&amp;tarieven!$A$1+3,TRUE),4),"")</f>
        <v>0</v>
      </c>
      <c r="E12" s="85"/>
      <c r="F12" s="9" t="str">
        <f t="shared" ca="1" si="0"/>
        <v/>
      </c>
      <c r="G12" s="10" t="str">
        <f t="shared" si="1"/>
        <v/>
      </c>
      <c r="H12" s="3" t="e">
        <f t="shared" ca="1" si="2"/>
        <v>#VALUE!</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f ca="1">IF(A13=VLOOKUP(A13,INDIRECT("tarieven!$A$3:$D$"&amp;tarieven!$A$1+3,TRUE),1),VLOOKUP(A13,INDIRECT("tarieven!$A$3:$D$"&amp;tarieven!$A$1+3,TRUE),4),"")</f>
        <v>0</v>
      </c>
      <c r="E13" s="85"/>
      <c r="F13" s="9" t="str">
        <f t="shared" ca="1" si="0"/>
        <v/>
      </c>
      <c r="G13" s="10" t="str">
        <f t="shared" si="1"/>
        <v/>
      </c>
      <c r="H13" s="3" t="e">
        <f t="shared" ca="1" si="2"/>
        <v>#VALUE!</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5"/>
      <c r="F14" s="9" t="str">
        <f t="shared" ca="1" si="0"/>
        <v/>
      </c>
      <c r="G14" s="10" t="str">
        <f t="shared" si="1"/>
        <v/>
      </c>
      <c r="H14" s="3" t="e">
        <f t="shared" ca="1" si="2"/>
        <v>#VALUE!</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5"/>
      <c r="F15" s="9" t="str">
        <f t="shared" ca="1" si="0"/>
        <v/>
      </c>
      <c r="G15" s="10" t="str">
        <f t="shared" si="1"/>
        <v/>
      </c>
      <c r="H15" s="3" t="e">
        <f t="shared" ca="1" si="2"/>
        <v>#VALUE!</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5"/>
      <c r="F16" s="9" t="str">
        <f t="shared" ca="1" si="0"/>
        <v/>
      </c>
      <c r="G16" s="10" t="str">
        <f t="shared" si="1"/>
        <v/>
      </c>
      <c r="H16" s="3"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5"/>
      <c r="F17" s="9" t="str">
        <f t="shared" ca="1" si="0"/>
        <v/>
      </c>
      <c r="G17" s="10" t="str">
        <f t="shared" si="1"/>
        <v/>
      </c>
      <c r="H17" s="3"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5"/>
      <c r="F18" s="9" t="str">
        <f t="shared" ca="1" si="0"/>
        <v/>
      </c>
      <c r="G18" s="10" t="str">
        <f t="shared" si="1"/>
        <v/>
      </c>
      <c r="H18" s="3"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5"/>
      <c r="F19" s="9" t="str">
        <f t="shared" ca="1" si="0"/>
        <v/>
      </c>
      <c r="G19" s="10" t="str">
        <f t="shared" si="1"/>
        <v/>
      </c>
      <c r="H19" s="3"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5"/>
      <c r="F20" s="9" t="str">
        <f t="shared" ca="1" si="0"/>
        <v/>
      </c>
      <c r="G20" s="10" t="str">
        <f t="shared" si="1"/>
        <v/>
      </c>
      <c r="H20" s="3"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5"/>
      <c r="F21" s="9" t="str">
        <f t="shared" ca="1" si="0"/>
        <v/>
      </c>
      <c r="G21" s="10" t="str">
        <f t="shared" si="1"/>
        <v/>
      </c>
      <c r="H21" s="3"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5"/>
      <c r="F22" s="9" t="str">
        <f t="shared" ca="1" si="0"/>
        <v/>
      </c>
      <c r="G22" s="10" t="str">
        <f t="shared" si="1"/>
        <v/>
      </c>
      <c r="H22" s="3"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5"/>
      <c r="F23" s="9" t="str">
        <f t="shared" ca="1" si="0"/>
        <v/>
      </c>
      <c r="G23" s="10" t="str">
        <f t="shared" si="1"/>
        <v/>
      </c>
      <c r="H23" s="3"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5"/>
      <c r="F24" s="9" t="str">
        <f t="shared" ca="1" si="0"/>
        <v/>
      </c>
      <c r="G24" s="10" t="str">
        <f t="shared" si="1"/>
        <v/>
      </c>
      <c r="H24" s="3"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5"/>
      <c r="F25" s="9" t="str">
        <f t="shared" ca="1" si="0"/>
        <v/>
      </c>
      <c r="G25" s="10" t="str">
        <f t="shared" si="1"/>
        <v/>
      </c>
      <c r="H25" s="3" t="e">
        <f t="shared" ca="1" si="2"/>
        <v>#VALUE!</v>
      </c>
    </row>
    <row r="26" spans="1:8">
      <c r="F26" s="9" t="str">
        <f t="shared" si="0"/>
        <v/>
      </c>
      <c r="G26" s="10" t="str">
        <f t="shared" si="1"/>
        <v/>
      </c>
      <c r="H26" s="3" t="str">
        <f t="shared" ref="H26:H89" si="3">IF(G26="","",D26*G26)</f>
        <v/>
      </c>
    </row>
    <row r="27" spans="1:8">
      <c r="G27" s="10" t="str">
        <f t="shared" si="1"/>
        <v/>
      </c>
      <c r="H27" s="3" t="str">
        <f t="shared" si="3"/>
        <v/>
      </c>
    </row>
    <row r="28" spans="1:8">
      <c r="G28" s="10" t="str">
        <f t="shared" si="1"/>
        <v/>
      </c>
      <c r="H28" s="3" t="str">
        <f t="shared" si="3"/>
        <v/>
      </c>
    </row>
    <row r="29" spans="1:8">
      <c r="G29" s="10" t="str">
        <f t="shared" si="1"/>
        <v/>
      </c>
      <c r="H29" s="3" t="str">
        <f t="shared" si="3"/>
        <v/>
      </c>
    </row>
    <row r="30" spans="1:8">
      <c r="G30" s="10" t="str">
        <f t="shared" si="1"/>
        <v/>
      </c>
      <c r="H30" s="3" t="str">
        <f t="shared" si="3"/>
        <v/>
      </c>
    </row>
    <row r="31" spans="1:8">
      <c r="G31" s="10" t="str">
        <f t="shared" si="1"/>
        <v/>
      </c>
      <c r="H31" s="3" t="str">
        <f t="shared" si="3"/>
        <v/>
      </c>
    </row>
    <row r="32" spans="1:8">
      <c r="G32" s="10" t="str">
        <f t="shared" si="1"/>
        <v/>
      </c>
      <c r="H32" s="3" t="str">
        <f t="shared" si="3"/>
        <v/>
      </c>
    </row>
    <row r="33" spans="7:8">
      <c r="G33" s="10" t="str">
        <f t="shared" si="1"/>
        <v/>
      </c>
      <c r="H33" s="3" t="str">
        <f t="shared" si="3"/>
        <v/>
      </c>
    </row>
    <row r="34" spans="7:8">
      <c r="G34" s="10" t="str">
        <f t="shared" si="1"/>
        <v/>
      </c>
      <c r="H34" s="3" t="str">
        <f t="shared" si="3"/>
        <v/>
      </c>
    </row>
    <row r="35" spans="7:8">
      <c r="G35" s="10" t="str">
        <f t="shared" si="1"/>
        <v/>
      </c>
      <c r="H35" s="3" t="str">
        <f t="shared" si="3"/>
        <v/>
      </c>
    </row>
    <row r="36" spans="7:8">
      <c r="G36" s="10" t="str">
        <f t="shared" si="1"/>
        <v/>
      </c>
      <c r="H36" s="3" t="str">
        <f t="shared" si="3"/>
        <v/>
      </c>
    </row>
    <row r="37" spans="7:8">
      <c r="G37" s="10" t="str">
        <f t="shared" si="1"/>
        <v/>
      </c>
      <c r="H37" s="3" t="str">
        <f t="shared" si="3"/>
        <v/>
      </c>
    </row>
    <row r="38" spans="7:8">
      <c r="G38" s="10" t="str">
        <f t="shared" si="1"/>
        <v/>
      </c>
      <c r="H38" s="3" t="str">
        <f t="shared" si="3"/>
        <v/>
      </c>
    </row>
    <row r="39" spans="7:8">
      <c r="G39" s="10" t="str">
        <f t="shared" si="1"/>
        <v/>
      </c>
      <c r="H39" s="3" t="str">
        <f t="shared" si="3"/>
        <v/>
      </c>
    </row>
    <row r="40" spans="7:8">
      <c r="G40" s="10" t="str">
        <f t="shared" si="1"/>
        <v/>
      </c>
      <c r="H40" s="3" t="str">
        <f t="shared" si="3"/>
        <v/>
      </c>
    </row>
    <row r="41" spans="7:8">
      <c r="G41" s="10" t="str">
        <f t="shared" si="1"/>
        <v/>
      </c>
      <c r="H41" s="3" t="str">
        <f t="shared" si="3"/>
        <v/>
      </c>
    </row>
    <row r="42" spans="7:8">
      <c r="G42" s="10" t="str">
        <f t="shared" si="1"/>
        <v/>
      </c>
      <c r="H42" s="3" t="str">
        <f t="shared" si="3"/>
        <v/>
      </c>
    </row>
    <row r="43" spans="7:8">
      <c r="G43" s="10" t="str">
        <f t="shared" si="1"/>
        <v/>
      </c>
      <c r="H43" s="3" t="str">
        <f t="shared" si="3"/>
        <v/>
      </c>
    </row>
    <row r="44" spans="7:8">
      <c r="G44" s="10" t="str">
        <f t="shared" si="1"/>
        <v/>
      </c>
      <c r="H44" s="3" t="str">
        <f t="shared" si="3"/>
        <v/>
      </c>
    </row>
    <row r="45" spans="7:8">
      <c r="G45" s="10" t="str">
        <f t="shared" si="1"/>
        <v/>
      </c>
      <c r="H45" s="3" t="str">
        <f t="shared" si="3"/>
        <v/>
      </c>
    </row>
    <row r="46" spans="7:8">
      <c r="G46" s="10" t="str">
        <f t="shared" si="1"/>
        <v/>
      </c>
      <c r="H46" s="3" t="str">
        <f t="shared" si="3"/>
        <v/>
      </c>
    </row>
    <row r="47" spans="7:8">
      <c r="G47" s="10" t="str">
        <f t="shared" si="1"/>
        <v/>
      </c>
      <c r="H47" s="3" t="str">
        <f t="shared" si="3"/>
        <v/>
      </c>
    </row>
    <row r="48" spans="7:8">
      <c r="G48" s="10" t="str">
        <f t="shared" si="1"/>
        <v/>
      </c>
      <c r="H48" s="3" t="str">
        <f t="shared" si="3"/>
        <v/>
      </c>
    </row>
    <row r="49" spans="7:8">
      <c r="G49" s="10" t="str">
        <f t="shared" si="1"/>
        <v/>
      </c>
      <c r="H49" s="3" t="str">
        <f t="shared" si="3"/>
        <v/>
      </c>
    </row>
    <row r="50" spans="7:8">
      <c r="G50" s="10" t="str">
        <f t="shared" si="1"/>
        <v/>
      </c>
      <c r="H50" s="3" t="str">
        <f t="shared" si="3"/>
        <v/>
      </c>
    </row>
    <row r="51" spans="7:8">
      <c r="G51" s="10" t="str">
        <f t="shared" si="1"/>
        <v/>
      </c>
      <c r="H51" s="3" t="str">
        <f t="shared" si="3"/>
        <v/>
      </c>
    </row>
    <row r="52" spans="7:8">
      <c r="G52" s="10" t="str">
        <f t="shared" si="1"/>
        <v/>
      </c>
      <c r="H52" s="3" t="str">
        <f t="shared" si="3"/>
        <v/>
      </c>
    </row>
    <row r="53" spans="7:8">
      <c r="G53" s="10" t="str">
        <f t="shared" si="1"/>
        <v/>
      </c>
      <c r="H53" s="3" t="str">
        <f t="shared" si="3"/>
        <v/>
      </c>
    </row>
    <row r="54" spans="7:8">
      <c r="G54" s="10" t="str">
        <f t="shared" si="1"/>
        <v/>
      </c>
      <c r="H54" s="3" t="str">
        <f t="shared" si="3"/>
        <v/>
      </c>
    </row>
    <row r="55" spans="7:8">
      <c r="G55" s="10" t="str">
        <f t="shared" si="1"/>
        <v/>
      </c>
      <c r="H55" s="3" t="str">
        <f t="shared" si="3"/>
        <v/>
      </c>
    </row>
    <row r="56" spans="7:8">
      <c r="G56" s="10" t="str">
        <f t="shared" si="1"/>
        <v/>
      </c>
      <c r="H56" s="3" t="str">
        <f t="shared" si="3"/>
        <v/>
      </c>
    </row>
    <row r="57" spans="7:8">
      <c r="G57" s="10" t="str">
        <f t="shared" si="1"/>
        <v/>
      </c>
      <c r="H57" s="3" t="str">
        <f t="shared" si="3"/>
        <v/>
      </c>
    </row>
    <row r="58" spans="7:8">
      <c r="G58" s="10" t="str">
        <f t="shared" si="1"/>
        <v/>
      </c>
      <c r="H58" s="3" t="str">
        <f t="shared" si="3"/>
        <v/>
      </c>
    </row>
    <row r="59" spans="7:8">
      <c r="G59" s="10" t="str">
        <f t="shared" si="1"/>
        <v/>
      </c>
      <c r="H59" s="3" t="str">
        <f t="shared" si="3"/>
        <v/>
      </c>
    </row>
    <row r="60" spans="7:8">
      <c r="G60" s="10" t="str">
        <f t="shared" si="1"/>
        <v/>
      </c>
      <c r="H60" s="3" t="str">
        <f t="shared" si="3"/>
        <v/>
      </c>
    </row>
    <row r="61" spans="7:8">
      <c r="G61" s="10" t="str">
        <f t="shared" si="1"/>
        <v/>
      </c>
      <c r="H61" s="3" t="str">
        <f t="shared" si="3"/>
        <v/>
      </c>
    </row>
    <row r="62" spans="7:8">
      <c r="G62" s="10" t="str">
        <f t="shared" si="1"/>
        <v/>
      </c>
      <c r="H62" s="3" t="str">
        <f t="shared" si="3"/>
        <v/>
      </c>
    </row>
    <row r="63" spans="7:8">
      <c r="G63" s="10" t="str">
        <f t="shared" si="1"/>
        <v/>
      </c>
      <c r="H63" s="3" t="str">
        <f t="shared" si="3"/>
        <v/>
      </c>
    </row>
    <row r="64" spans="7:8">
      <c r="G64" s="10" t="str">
        <f t="shared" si="1"/>
        <v/>
      </c>
      <c r="H64" s="3" t="str">
        <f t="shared" si="3"/>
        <v/>
      </c>
    </row>
    <row r="65" spans="7:8">
      <c r="G65" s="10" t="str">
        <f t="shared" si="1"/>
        <v/>
      </c>
      <c r="H65" s="3" t="str">
        <f t="shared" si="3"/>
        <v/>
      </c>
    </row>
    <row r="66" spans="7:8">
      <c r="G66" s="10" t="str">
        <f t="shared" si="1"/>
        <v/>
      </c>
      <c r="H66" s="3" t="str">
        <f t="shared" si="3"/>
        <v/>
      </c>
    </row>
    <row r="67" spans="7:8">
      <c r="G67" s="10" t="str">
        <f t="shared" si="1"/>
        <v/>
      </c>
      <c r="H67" s="3" t="str">
        <f t="shared" si="3"/>
        <v/>
      </c>
    </row>
    <row r="68" spans="7:8">
      <c r="G68" s="10" t="str">
        <f t="shared" si="1"/>
        <v/>
      </c>
      <c r="H68" s="3" t="str">
        <f t="shared" si="3"/>
        <v/>
      </c>
    </row>
    <row r="69" spans="7:8">
      <c r="G69" s="10" t="str">
        <f t="shared" si="1"/>
        <v/>
      </c>
      <c r="H69" s="3" t="str">
        <f t="shared" si="3"/>
        <v/>
      </c>
    </row>
    <row r="70" spans="7:8">
      <c r="G70" s="10" t="str">
        <f t="shared" si="1"/>
        <v/>
      </c>
      <c r="H70" s="3" t="str">
        <f t="shared" si="3"/>
        <v/>
      </c>
    </row>
    <row r="71" spans="7:8">
      <c r="G71" s="10" t="str">
        <f t="shared" ref="G71:G105" si="4">IF(E71="","",1/E71)</f>
        <v/>
      </c>
      <c r="H71" s="3" t="str">
        <f t="shared" si="3"/>
        <v/>
      </c>
    </row>
    <row r="72" spans="7:8">
      <c r="G72" s="10" t="str">
        <f t="shared" si="4"/>
        <v/>
      </c>
      <c r="H72" s="3" t="str">
        <f t="shared" si="3"/>
        <v/>
      </c>
    </row>
    <row r="73" spans="7:8">
      <c r="G73" s="10" t="str">
        <f t="shared" si="4"/>
        <v/>
      </c>
      <c r="H73" s="3" t="str">
        <f t="shared" si="3"/>
        <v/>
      </c>
    </row>
    <row r="74" spans="7:8">
      <c r="G74" s="10" t="str">
        <f t="shared" si="4"/>
        <v/>
      </c>
      <c r="H74" s="3" t="str">
        <f t="shared" si="3"/>
        <v/>
      </c>
    </row>
    <row r="75" spans="7:8">
      <c r="G75" s="10" t="str">
        <f t="shared" si="4"/>
        <v/>
      </c>
      <c r="H75" s="3" t="str">
        <f t="shared" si="3"/>
        <v/>
      </c>
    </row>
    <row r="76" spans="7:8">
      <c r="G76" s="10" t="str">
        <f t="shared" si="4"/>
        <v/>
      </c>
      <c r="H76" s="3" t="str">
        <f t="shared" si="3"/>
        <v/>
      </c>
    </row>
    <row r="77" spans="7:8">
      <c r="G77" s="10" t="str">
        <f t="shared" si="4"/>
        <v/>
      </c>
      <c r="H77" s="3" t="str">
        <f t="shared" si="3"/>
        <v/>
      </c>
    </row>
    <row r="78" spans="7:8">
      <c r="G78" s="10" t="str">
        <f t="shared" si="4"/>
        <v/>
      </c>
      <c r="H78" s="3" t="str">
        <f t="shared" si="3"/>
        <v/>
      </c>
    </row>
    <row r="79" spans="7:8">
      <c r="G79" s="10" t="str">
        <f t="shared" si="4"/>
        <v/>
      </c>
      <c r="H79" s="3" t="str">
        <f t="shared" si="3"/>
        <v/>
      </c>
    </row>
    <row r="80" spans="7:8">
      <c r="G80" s="10" t="str">
        <f t="shared" si="4"/>
        <v/>
      </c>
      <c r="H80" s="3" t="str">
        <f t="shared" si="3"/>
        <v/>
      </c>
    </row>
    <row r="81" spans="7:8">
      <c r="G81" s="10" t="str">
        <f t="shared" si="4"/>
        <v/>
      </c>
      <c r="H81" s="3" t="str">
        <f t="shared" si="3"/>
        <v/>
      </c>
    </row>
    <row r="82" spans="7:8">
      <c r="G82" s="10" t="str">
        <f t="shared" si="4"/>
        <v/>
      </c>
      <c r="H82" s="3" t="str">
        <f t="shared" si="3"/>
        <v/>
      </c>
    </row>
    <row r="83" spans="7:8">
      <c r="G83" s="10" t="str">
        <f t="shared" si="4"/>
        <v/>
      </c>
      <c r="H83" s="3" t="str">
        <f t="shared" si="3"/>
        <v/>
      </c>
    </row>
    <row r="84" spans="7:8">
      <c r="G84" s="10" t="str">
        <f t="shared" si="4"/>
        <v/>
      </c>
      <c r="H84" s="3" t="str">
        <f t="shared" si="3"/>
        <v/>
      </c>
    </row>
    <row r="85" spans="7:8">
      <c r="G85" s="10" t="str">
        <f t="shared" si="4"/>
        <v/>
      </c>
      <c r="H85" s="3" t="str">
        <f t="shared" si="3"/>
        <v/>
      </c>
    </row>
    <row r="86" spans="7:8">
      <c r="G86" s="10" t="str">
        <f t="shared" si="4"/>
        <v/>
      </c>
      <c r="H86" s="3" t="str">
        <f t="shared" si="3"/>
        <v/>
      </c>
    </row>
    <row r="87" spans="7:8">
      <c r="G87" s="10" t="str">
        <f t="shared" si="4"/>
        <v/>
      </c>
      <c r="H87" s="3" t="str">
        <f t="shared" si="3"/>
        <v/>
      </c>
    </row>
    <row r="88" spans="7:8">
      <c r="G88" s="10" t="str">
        <f t="shared" si="4"/>
        <v/>
      </c>
      <c r="H88" s="3" t="str">
        <f t="shared" si="3"/>
        <v/>
      </c>
    </row>
    <row r="89" spans="7:8">
      <c r="G89" s="10" t="str">
        <f t="shared" si="4"/>
        <v/>
      </c>
      <c r="H89" s="3" t="str">
        <f t="shared" si="3"/>
        <v/>
      </c>
    </row>
    <row r="90" spans="7:8">
      <c r="G90" s="10" t="str">
        <f t="shared" si="4"/>
        <v/>
      </c>
      <c r="H90" s="3" t="str">
        <f t="shared" ref="H90:H105" si="5">IF(G90="","",D90*G90)</f>
        <v/>
      </c>
    </row>
    <row r="91" spans="7:8">
      <c r="G91" s="10" t="str">
        <f t="shared" si="4"/>
        <v/>
      </c>
      <c r="H91" s="3" t="str">
        <f t="shared" si="5"/>
        <v/>
      </c>
    </row>
    <row r="92" spans="7:8">
      <c r="G92" s="10" t="str">
        <f t="shared" si="4"/>
        <v/>
      </c>
      <c r="H92" s="3" t="str">
        <f t="shared" si="5"/>
        <v/>
      </c>
    </row>
    <row r="93" spans="7:8">
      <c r="G93" s="10" t="str">
        <f t="shared" si="4"/>
        <v/>
      </c>
      <c r="H93" s="3" t="str">
        <f t="shared" si="5"/>
        <v/>
      </c>
    </row>
    <row r="94" spans="7:8">
      <c r="G94" s="10" t="str">
        <f t="shared" si="4"/>
        <v/>
      </c>
      <c r="H94" s="3" t="str">
        <f t="shared" si="5"/>
        <v/>
      </c>
    </row>
    <row r="95" spans="7:8">
      <c r="G95" s="10" t="str">
        <f t="shared" si="4"/>
        <v/>
      </c>
      <c r="H95" s="3" t="str">
        <f t="shared" si="5"/>
        <v/>
      </c>
    </row>
    <row r="96" spans="7:8">
      <c r="G96" s="10" t="str">
        <f t="shared" si="4"/>
        <v/>
      </c>
      <c r="H96" s="3" t="str">
        <f t="shared" si="5"/>
        <v/>
      </c>
    </row>
    <row r="97" spans="7:8">
      <c r="G97" s="10" t="str">
        <f t="shared" si="4"/>
        <v/>
      </c>
      <c r="H97" s="3" t="str">
        <f t="shared" si="5"/>
        <v/>
      </c>
    </row>
    <row r="98" spans="7:8">
      <c r="G98" s="10" t="str">
        <f t="shared" si="4"/>
        <v/>
      </c>
      <c r="H98" s="3" t="str">
        <f t="shared" si="5"/>
        <v/>
      </c>
    </row>
    <row r="99" spans="7:8">
      <c r="G99" s="10" t="str">
        <f t="shared" si="4"/>
        <v/>
      </c>
      <c r="H99" s="3" t="str">
        <f t="shared" si="5"/>
        <v/>
      </c>
    </row>
    <row r="100" spans="7:8">
      <c r="G100" s="10" t="str">
        <f t="shared" si="4"/>
        <v/>
      </c>
      <c r="H100" s="3" t="str">
        <f t="shared" si="5"/>
        <v/>
      </c>
    </row>
    <row r="101" spans="7:8">
      <c r="G101" s="10" t="str">
        <f t="shared" si="4"/>
        <v/>
      </c>
      <c r="H101" s="3" t="str">
        <f t="shared" si="5"/>
        <v/>
      </c>
    </row>
    <row r="102" spans="7:8">
      <c r="G102" s="10" t="str">
        <f t="shared" si="4"/>
        <v/>
      </c>
      <c r="H102" s="3" t="str">
        <f t="shared" si="5"/>
        <v/>
      </c>
    </row>
    <row r="103" spans="7:8">
      <c r="G103" s="10" t="str">
        <f t="shared" si="4"/>
        <v/>
      </c>
      <c r="H103" s="3" t="str">
        <f t="shared" si="5"/>
        <v/>
      </c>
    </row>
    <row r="104" spans="7:8">
      <c r="G104" s="10" t="str">
        <f t="shared" si="4"/>
        <v/>
      </c>
      <c r="H104" s="3" t="str">
        <f t="shared" si="5"/>
        <v/>
      </c>
    </row>
    <row r="105" spans="7:8">
      <c r="G105" s="10" t="str">
        <f t="shared" si="4"/>
        <v/>
      </c>
      <c r="H105" s="3"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INDIRECT("tarieven!$A$3:$A$"&amp;tarieven!$A$1+3,TRUE)</xm:f>
          </x14:formula1>
          <xm:sqref>A7:A25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J105"/>
  <sheetViews>
    <sheetView workbookViewId="0">
      <selection activeCell="B14" sqref="B14"/>
    </sheetView>
  </sheetViews>
  <sheetFormatPr defaultColWidth="8.875" defaultRowHeight="15"/>
  <cols>
    <col min="1" max="1" width="7.375" bestFit="1" customWidth="1"/>
    <col min="2" max="2" width="42.125" customWidth="1"/>
    <col min="4" max="4" width="10.625" style="3" customWidth="1"/>
    <col min="5" max="5" width="15.375" style="9" bestFit="1" customWidth="1"/>
    <col min="6" max="6" width="10.625" style="9" customWidth="1"/>
    <col min="7" max="7" width="10.625" style="7" customWidth="1"/>
    <col min="8" max="8" width="13.125" style="3" customWidth="1"/>
    <col min="9" max="9" width="36" customWidth="1"/>
  </cols>
  <sheetData>
    <row r="2" spans="1:10">
      <c r="A2" t="s">
        <v>6</v>
      </c>
      <c r="B2" s="1" t="s">
        <v>7</v>
      </c>
      <c r="C2" s="1" t="s">
        <v>9</v>
      </c>
      <c r="D2" s="2" t="s">
        <v>10</v>
      </c>
      <c r="E2" s="6"/>
      <c r="F2" s="6"/>
    </row>
    <row r="3" spans="1:10">
      <c r="B3" s="1" t="s">
        <v>547</v>
      </c>
      <c r="C3" s="1"/>
      <c r="D3" s="2"/>
      <c r="E3" s="6"/>
      <c r="F3" s="6"/>
    </row>
    <row r="4" spans="1:10" ht="15.95" thickBot="1">
      <c r="A4" s="4">
        <v>1</v>
      </c>
      <c r="B4" s="4" t="s">
        <v>549</v>
      </c>
      <c r="C4" s="4" t="s">
        <v>362</v>
      </c>
      <c r="D4" s="5" t="e">
        <f ca="1">SUM(H7:H25)</f>
        <v>#VALUE!</v>
      </c>
      <c r="E4" s="8"/>
      <c r="F4" s="8"/>
    </row>
    <row r="5" spans="1:10" ht="15.95" thickTop="1">
      <c r="B5" t="s">
        <v>459</v>
      </c>
    </row>
    <row r="6" spans="1:10">
      <c r="A6" t="s">
        <v>350</v>
      </c>
      <c r="B6" t="s">
        <v>351</v>
      </c>
      <c r="C6" t="s">
        <v>9</v>
      </c>
      <c r="D6" s="3" t="s">
        <v>10</v>
      </c>
      <c r="E6" s="9" t="s">
        <v>460</v>
      </c>
      <c r="F6" s="9" t="s">
        <v>461</v>
      </c>
      <c r="G6" s="7" t="s">
        <v>8</v>
      </c>
      <c r="H6" s="3" t="s">
        <v>11</v>
      </c>
      <c r="I6" t="s">
        <v>462</v>
      </c>
      <c r="J6" t="s">
        <v>463</v>
      </c>
    </row>
    <row r="7" spans="1:10">
      <c r="A7" s="84">
        <v>201610</v>
      </c>
      <c r="B7" t="str">
        <f ca="1">IF(A7=VLOOKUP(A7,INDIRECT("tarieven!$A$3:$D$"&amp;tarieven!$A$1+3,TRUE),1),VLOOKUP(A7,INDIRECT("tarieven!$A$3:$D$"&amp;tarieven!$A$1+3,TRUE),2),"")</f>
        <v>Schoonmaken oppervlak t.b.v. reparaties</v>
      </c>
      <c r="C7" t="str">
        <f ca="1">IF(A7=VLOOKUP(A7,INDIRECT("tarieven!$A$3:$D$"&amp;tarieven!$A$1+3,TRUE),1),VLOOKUP(A7,INDIRECT("tarieven!$A$3:$D$"&amp;tarieven!$A$1+3,TRUE),3),"")</f>
        <v>m2</v>
      </c>
      <c r="D7" s="3">
        <f ca="1">IF(A7=VLOOKUP(A7,INDIRECT("tarieven!$A$3:$D$"&amp;tarieven!$A$1+3,TRUE),1),VLOOKUP(A7,INDIRECT("tarieven!$A$3:$D$"&amp;tarieven!$A$1+3,TRUE),4),"")</f>
        <v>0.4</v>
      </c>
      <c r="E7" s="85">
        <v>1</v>
      </c>
      <c r="F7" s="9" t="str">
        <f t="shared" ref="F7:F26" ca="1" si="0">IF(C7="","",$C$4&amp;"/"&amp;C7)</f>
        <v>m2/m2</v>
      </c>
      <c r="G7" s="10">
        <f t="shared" ref="G7:G70" si="1">IF(E7="","",1/E7)</f>
        <v>1</v>
      </c>
      <c r="H7" s="3">
        <f ca="1">IF(D7="","",D7*G7)</f>
        <v>0.4</v>
      </c>
    </row>
    <row r="8" spans="1:10">
      <c r="A8" s="84">
        <v>302810</v>
      </c>
      <c r="B8" t="str">
        <f ca="1">IF(A8=VLOOKUP(A8,INDIRECT("tarieven!$A$3:$D$"&amp;tarieven!$A$1+3,TRUE),1),VLOOKUP(A8,INDIRECT("tarieven!$A$3:$D$"&amp;tarieven!$A$1+3,TRUE),2),"")</f>
        <v>kleeflaag 0,3kg/m2</v>
      </c>
      <c r="C8" t="str">
        <f ca="1">IF(A8=VLOOKUP(A8,INDIRECT("tarieven!$A$3:$D$"&amp;tarieven!$A$1+3,TRUE),1),VLOOKUP(A8,INDIRECT("tarieven!$A$3:$D$"&amp;tarieven!$A$1+3,TRUE),3),"")</f>
        <v>m2</v>
      </c>
      <c r="D8" s="3">
        <f ca="1">IF(A8=VLOOKUP(A8,INDIRECT("tarieven!$A$3:$D$"&amp;tarieven!$A$1+3,TRUE),1),VLOOKUP(A8,INDIRECT("tarieven!$A$3:$D$"&amp;tarieven!$A$1+3,TRUE),4),"")</f>
        <v>0.35</v>
      </c>
      <c r="E8" s="85">
        <v>1</v>
      </c>
      <c r="F8" s="9" t="str">
        <f t="shared" ca="1" si="0"/>
        <v>m2/m2</v>
      </c>
      <c r="G8" s="10">
        <f t="shared" si="1"/>
        <v>1</v>
      </c>
      <c r="H8" s="3">
        <f t="shared" ref="H8:H25" ca="1" si="2">IF(D8="","",D8*G8)</f>
        <v>0.35</v>
      </c>
    </row>
    <row r="9" spans="1:10">
      <c r="A9" s="84">
        <v>300050</v>
      </c>
      <c r="B9" t="str">
        <f ca="1">IF(A9=VLOOKUP(A9,INDIRECT("tarieven!$A$3:$D$"&amp;tarieven!$A$1+3,TRUE),1),VLOOKUP(A9,INDIRECT("tarieven!$A$3:$D$"&amp;tarieven!$A$1+3,TRUE),2),"")</f>
        <v>asfaltset klein met transport incl. (+ aan en afvoerkosten)</v>
      </c>
      <c r="C9" t="str">
        <f ca="1">IF(A9=VLOOKUP(A9,INDIRECT("tarieven!$A$3:$D$"&amp;tarieven!$A$1+3,TRUE),1),VLOOKUP(A9,INDIRECT("tarieven!$A$3:$D$"&amp;tarieven!$A$1+3,TRUE),3),"")</f>
        <v>dag</v>
      </c>
      <c r="D9" s="3">
        <f ca="1">IF(A9=VLOOKUP(A9,INDIRECT("tarieven!$A$3:$D$"&amp;tarieven!$A$1+3,TRUE),1),VLOOKUP(A9,INDIRECT("tarieven!$A$3:$D$"&amp;tarieven!$A$1+3,TRUE),4),"")</f>
        <v>4915.2</v>
      </c>
      <c r="E9" s="85">
        <v>5500</v>
      </c>
      <c r="F9" s="9" t="str">
        <f t="shared" ca="1" si="0"/>
        <v>m2/dag</v>
      </c>
      <c r="G9" s="10">
        <f t="shared" si="1"/>
        <v>1.8181818181818181E-4</v>
      </c>
      <c r="H9" s="3">
        <f t="shared" ca="1" si="2"/>
        <v>0.89367272727272717</v>
      </c>
    </row>
    <row r="10" spans="1:10">
      <c r="A10" s="84">
        <v>301010</v>
      </c>
      <c r="B10" t="str">
        <f ca="1">IF(A10=VLOOKUP(A10,INDIRECT("tarieven!$A$3:$D$"&amp;tarieven!$A$1+3,TRUE),1),VLOOKUP(A10,INDIRECT("tarieven!$A$3:$D$"&amp;tarieven!$A$1+3,TRUE),2),"")</f>
        <v xml:space="preserve">asfalt deklaag incl. </v>
      </c>
      <c r="C10" t="str">
        <f ca="1">IF(A10=VLOOKUP(A10,INDIRECT("tarieven!$A$3:$D$"&amp;tarieven!$A$1+3,TRUE),1),VLOOKUP(A10,INDIRECT("tarieven!$A$3:$D$"&amp;tarieven!$A$1+3,TRUE),3),"")</f>
        <v>ton</v>
      </c>
      <c r="D10" s="3">
        <f ca="1">IF(A10=VLOOKUP(A10,INDIRECT("tarieven!$A$3:$D$"&amp;tarieven!$A$1+3,TRUE),1),VLOOKUP(A10,INDIRECT("tarieven!$A$3:$D$"&amp;tarieven!$A$1+3,TRUE),4),"")</f>
        <v>96.25</v>
      </c>
      <c r="E10" s="85">
        <f>0.4/0.04</f>
        <v>10</v>
      </c>
      <c r="F10" s="9" t="str">
        <f t="shared" ca="1" si="0"/>
        <v>m2/ton</v>
      </c>
      <c r="G10" s="10">
        <f t="shared" si="1"/>
        <v>0.1</v>
      </c>
      <c r="H10" s="3">
        <f t="shared" ca="1" si="2"/>
        <v>9.625</v>
      </c>
    </row>
    <row r="11" spans="1:10">
      <c r="A11" s="84">
        <v>401010</v>
      </c>
      <c r="B11" t="str">
        <f ca="1">IF(A11=VLOOKUP(A11,INDIRECT("tarieven!$A$3:$D$"&amp;tarieven!$A$1+3,TRUE),1),VLOOKUP(A11,INDIRECT("tarieven!$A$3:$D$"&amp;tarieven!$A$1+3,TRUE),2),"")</f>
        <v/>
      </c>
      <c r="C11" t="str">
        <f ca="1">IF(A11=VLOOKUP(A11,INDIRECT("tarieven!$A$3:$D$"&amp;tarieven!$A$1+3,TRUE),1),VLOOKUP(A11,INDIRECT("tarieven!$A$3:$D$"&amp;tarieven!$A$1+3,TRUE),3),"")</f>
        <v/>
      </c>
      <c r="D11" s="3" t="str">
        <f ca="1">IF(A11=VLOOKUP(A11,INDIRECT("tarieven!$A$3:$D$"&amp;tarieven!$A$1+3,TRUE),1),VLOOKUP(A11,INDIRECT("tarieven!$A$3:$D$"&amp;tarieven!$A$1+3,TRUE),4),"")</f>
        <v/>
      </c>
      <c r="E11" s="85">
        <v>5500</v>
      </c>
      <c r="F11" s="9" t="str">
        <f t="shared" ca="1" si="0"/>
        <v/>
      </c>
      <c r="G11" s="10">
        <f t="shared" si="1"/>
        <v>1.8181818181818181E-4</v>
      </c>
      <c r="H11" s="3" t="str">
        <f t="shared" ca="1" si="2"/>
        <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f ca="1">IF(A12=VLOOKUP(A12,INDIRECT("tarieven!$A$3:$D$"&amp;tarieven!$A$1+3,TRUE),1),VLOOKUP(A12,INDIRECT("tarieven!$A$3:$D$"&amp;tarieven!$A$1+3,TRUE),4),"")</f>
        <v>0</v>
      </c>
      <c r="E12" s="85"/>
      <c r="F12" s="9" t="str">
        <f t="shared" ca="1" si="0"/>
        <v/>
      </c>
      <c r="G12" s="10" t="str">
        <f t="shared" si="1"/>
        <v/>
      </c>
      <c r="H12" s="3" t="e">
        <f t="shared" ca="1" si="2"/>
        <v>#VALUE!</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f ca="1">IF(A13=VLOOKUP(A13,INDIRECT("tarieven!$A$3:$D$"&amp;tarieven!$A$1+3,TRUE),1),VLOOKUP(A13,INDIRECT("tarieven!$A$3:$D$"&amp;tarieven!$A$1+3,TRUE),4),"")</f>
        <v>0</v>
      </c>
      <c r="E13" s="85"/>
      <c r="F13" s="9" t="str">
        <f t="shared" ca="1" si="0"/>
        <v/>
      </c>
      <c r="G13" s="10" t="str">
        <f t="shared" si="1"/>
        <v/>
      </c>
      <c r="H13" s="3" t="e">
        <f t="shared" ca="1" si="2"/>
        <v>#VALUE!</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5"/>
      <c r="F14" s="9" t="str">
        <f t="shared" ca="1" si="0"/>
        <v/>
      </c>
      <c r="G14" s="10" t="str">
        <f t="shared" si="1"/>
        <v/>
      </c>
      <c r="H14" s="3" t="e">
        <f t="shared" ca="1" si="2"/>
        <v>#VALUE!</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5"/>
      <c r="F15" s="9" t="str">
        <f t="shared" ca="1" si="0"/>
        <v/>
      </c>
      <c r="G15" s="10" t="str">
        <f t="shared" si="1"/>
        <v/>
      </c>
      <c r="H15" s="3" t="e">
        <f t="shared" ca="1" si="2"/>
        <v>#VALUE!</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5"/>
      <c r="F16" s="9" t="str">
        <f t="shared" ca="1" si="0"/>
        <v/>
      </c>
      <c r="G16" s="10" t="str">
        <f t="shared" si="1"/>
        <v/>
      </c>
      <c r="H16" s="3"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5"/>
      <c r="F17" s="9" t="str">
        <f t="shared" ca="1" si="0"/>
        <v/>
      </c>
      <c r="G17" s="10" t="str">
        <f t="shared" si="1"/>
        <v/>
      </c>
      <c r="H17" s="3"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5"/>
      <c r="F18" s="9" t="str">
        <f t="shared" ca="1" si="0"/>
        <v/>
      </c>
      <c r="G18" s="10" t="str">
        <f t="shared" si="1"/>
        <v/>
      </c>
      <c r="H18" s="3"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5"/>
      <c r="F19" s="9" t="str">
        <f t="shared" ca="1" si="0"/>
        <v/>
      </c>
      <c r="G19" s="10" t="str">
        <f t="shared" si="1"/>
        <v/>
      </c>
      <c r="H19" s="3"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5"/>
      <c r="F20" s="9" t="str">
        <f t="shared" ca="1" si="0"/>
        <v/>
      </c>
      <c r="G20" s="10" t="str">
        <f t="shared" si="1"/>
        <v/>
      </c>
      <c r="H20" s="3"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5"/>
      <c r="F21" s="9" t="str">
        <f t="shared" ca="1" si="0"/>
        <v/>
      </c>
      <c r="G21" s="10" t="str">
        <f t="shared" si="1"/>
        <v/>
      </c>
      <c r="H21" s="3"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5"/>
      <c r="F22" s="9" t="str">
        <f t="shared" ca="1" si="0"/>
        <v/>
      </c>
      <c r="G22" s="10" t="str">
        <f t="shared" si="1"/>
        <v/>
      </c>
      <c r="H22" s="3"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5"/>
      <c r="F23" s="9" t="str">
        <f t="shared" ca="1" si="0"/>
        <v/>
      </c>
      <c r="G23" s="10" t="str">
        <f t="shared" si="1"/>
        <v/>
      </c>
      <c r="H23" s="3"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5"/>
      <c r="F24" s="9" t="str">
        <f t="shared" ca="1" si="0"/>
        <v/>
      </c>
      <c r="G24" s="10" t="str">
        <f t="shared" si="1"/>
        <v/>
      </c>
      <c r="H24" s="3"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5"/>
      <c r="F25" s="9" t="str">
        <f t="shared" ca="1" si="0"/>
        <v/>
      </c>
      <c r="G25" s="10" t="str">
        <f t="shared" si="1"/>
        <v/>
      </c>
      <c r="H25" s="3" t="e">
        <f t="shared" ca="1" si="2"/>
        <v>#VALUE!</v>
      </c>
    </row>
    <row r="26" spans="1:8">
      <c r="F26" s="9" t="str">
        <f t="shared" si="0"/>
        <v/>
      </c>
      <c r="G26" s="10" t="str">
        <f t="shared" si="1"/>
        <v/>
      </c>
      <c r="H26" s="3" t="str">
        <f t="shared" ref="H26:H89" si="3">IF(G26="","",D26*G26)</f>
        <v/>
      </c>
    </row>
    <row r="27" spans="1:8">
      <c r="G27" s="10" t="str">
        <f t="shared" si="1"/>
        <v/>
      </c>
      <c r="H27" s="3" t="str">
        <f t="shared" si="3"/>
        <v/>
      </c>
    </row>
    <row r="28" spans="1:8">
      <c r="G28" s="10" t="str">
        <f t="shared" si="1"/>
        <v/>
      </c>
      <c r="H28" s="3" t="str">
        <f t="shared" si="3"/>
        <v/>
      </c>
    </row>
    <row r="29" spans="1:8">
      <c r="G29" s="10" t="str">
        <f t="shared" si="1"/>
        <v/>
      </c>
      <c r="H29" s="3" t="str">
        <f t="shared" si="3"/>
        <v/>
      </c>
    </row>
    <row r="30" spans="1:8">
      <c r="G30" s="10" t="str">
        <f t="shared" si="1"/>
        <v/>
      </c>
      <c r="H30" s="3" t="str">
        <f t="shared" si="3"/>
        <v/>
      </c>
    </row>
    <row r="31" spans="1:8">
      <c r="G31" s="10" t="str">
        <f t="shared" si="1"/>
        <v/>
      </c>
      <c r="H31" s="3" t="str">
        <f t="shared" si="3"/>
        <v/>
      </c>
    </row>
    <row r="32" spans="1:8">
      <c r="G32" s="10" t="str">
        <f t="shared" si="1"/>
        <v/>
      </c>
      <c r="H32" s="3" t="str">
        <f t="shared" si="3"/>
        <v/>
      </c>
    </row>
    <row r="33" spans="7:8">
      <c r="G33" s="10" t="str">
        <f t="shared" si="1"/>
        <v/>
      </c>
      <c r="H33" s="3" t="str">
        <f t="shared" si="3"/>
        <v/>
      </c>
    </row>
    <row r="34" spans="7:8">
      <c r="G34" s="10" t="str">
        <f t="shared" si="1"/>
        <v/>
      </c>
      <c r="H34" s="3" t="str">
        <f t="shared" si="3"/>
        <v/>
      </c>
    </row>
    <row r="35" spans="7:8">
      <c r="G35" s="10" t="str">
        <f t="shared" si="1"/>
        <v/>
      </c>
      <c r="H35" s="3" t="str">
        <f t="shared" si="3"/>
        <v/>
      </c>
    </row>
    <row r="36" spans="7:8">
      <c r="G36" s="10" t="str">
        <f t="shared" si="1"/>
        <v/>
      </c>
      <c r="H36" s="3" t="str">
        <f t="shared" si="3"/>
        <v/>
      </c>
    </row>
    <row r="37" spans="7:8">
      <c r="G37" s="10" t="str">
        <f t="shared" si="1"/>
        <v/>
      </c>
      <c r="H37" s="3" t="str">
        <f t="shared" si="3"/>
        <v/>
      </c>
    </row>
    <row r="38" spans="7:8">
      <c r="G38" s="10" t="str">
        <f t="shared" si="1"/>
        <v/>
      </c>
      <c r="H38" s="3" t="str">
        <f t="shared" si="3"/>
        <v/>
      </c>
    </row>
    <row r="39" spans="7:8">
      <c r="G39" s="10" t="str">
        <f t="shared" si="1"/>
        <v/>
      </c>
      <c r="H39" s="3" t="str">
        <f t="shared" si="3"/>
        <v/>
      </c>
    </row>
    <row r="40" spans="7:8">
      <c r="G40" s="10" t="str">
        <f t="shared" si="1"/>
        <v/>
      </c>
      <c r="H40" s="3" t="str">
        <f t="shared" si="3"/>
        <v/>
      </c>
    </row>
    <row r="41" spans="7:8">
      <c r="G41" s="10" t="str">
        <f t="shared" si="1"/>
        <v/>
      </c>
      <c r="H41" s="3" t="str">
        <f t="shared" si="3"/>
        <v/>
      </c>
    </row>
    <row r="42" spans="7:8">
      <c r="G42" s="10" t="str">
        <f t="shared" si="1"/>
        <v/>
      </c>
      <c r="H42" s="3" t="str">
        <f t="shared" si="3"/>
        <v/>
      </c>
    </row>
    <row r="43" spans="7:8">
      <c r="G43" s="10" t="str">
        <f t="shared" si="1"/>
        <v/>
      </c>
      <c r="H43" s="3" t="str">
        <f t="shared" si="3"/>
        <v/>
      </c>
    </row>
    <row r="44" spans="7:8">
      <c r="G44" s="10" t="str">
        <f t="shared" si="1"/>
        <v/>
      </c>
      <c r="H44" s="3" t="str">
        <f t="shared" si="3"/>
        <v/>
      </c>
    </row>
    <row r="45" spans="7:8">
      <c r="G45" s="10" t="str">
        <f t="shared" si="1"/>
        <v/>
      </c>
      <c r="H45" s="3" t="str">
        <f t="shared" si="3"/>
        <v/>
      </c>
    </row>
    <row r="46" spans="7:8">
      <c r="G46" s="10" t="str">
        <f t="shared" si="1"/>
        <v/>
      </c>
      <c r="H46" s="3" t="str">
        <f t="shared" si="3"/>
        <v/>
      </c>
    </row>
    <row r="47" spans="7:8">
      <c r="G47" s="10" t="str">
        <f t="shared" si="1"/>
        <v/>
      </c>
      <c r="H47" s="3" t="str">
        <f t="shared" si="3"/>
        <v/>
      </c>
    </row>
    <row r="48" spans="7:8">
      <c r="G48" s="10" t="str">
        <f t="shared" si="1"/>
        <v/>
      </c>
      <c r="H48" s="3" t="str">
        <f t="shared" si="3"/>
        <v/>
      </c>
    </row>
    <row r="49" spans="7:8">
      <c r="G49" s="10" t="str">
        <f t="shared" si="1"/>
        <v/>
      </c>
      <c r="H49" s="3" t="str">
        <f t="shared" si="3"/>
        <v/>
      </c>
    </row>
    <row r="50" spans="7:8">
      <c r="G50" s="10" t="str">
        <f t="shared" si="1"/>
        <v/>
      </c>
      <c r="H50" s="3" t="str">
        <f t="shared" si="3"/>
        <v/>
      </c>
    </row>
    <row r="51" spans="7:8">
      <c r="G51" s="10" t="str">
        <f t="shared" si="1"/>
        <v/>
      </c>
      <c r="H51" s="3" t="str">
        <f t="shared" si="3"/>
        <v/>
      </c>
    </row>
    <row r="52" spans="7:8">
      <c r="G52" s="10" t="str">
        <f t="shared" si="1"/>
        <v/>
      </c>
      <c r="H52" s="3" t="str">
        <f t="shared" si="3"/>
        <v/>
      </c>
    </row>
    <row r="53" spans="7:8">
      <c r="G53" s="10" t="str">
        <f t="shared" si="1"/>
        <v/>
      </c>
      <c r="H53" s="3" t="str">
        <f t="shared" si="3"/>
        <v/>
      </c>
    </row>
    <row r="54" spans="7:8">
      <c r="G54" s="10" t="str">
        <f t="shared" si="1"/>
        <v/>
      </c>
      <c r="H54" s="3" t="str">
        <f t="shared" si="3"/>
        <v/>
      </c>
    </row>
    <row r="55" spans="7:8">
      <c r="G55" s="10" t="str">
        <f t="shared" si="1"/>
        <v/>
      </c>
      <c r="H55" s="3" t="str">
        <f t="shared" si="3"/>
        <v/>
      </c>
    </row>
    <row r="56" spans="7:8">
      <c r="G56" s="10" t="str">
        <f t="shared" si="1"/>
        <v/>
      </c>
      <c r="H56" s="3" t="str">
        <f t="shared" si="3"/>
        <v/>
      </c>
    </row>
    <row r="57" spans="7:8">
      <c r="G57" s="10" t="str">
        <f t="shared" si="1"/>
        <v/>
      </c>
      <c r="H57" s="3" t="str">
        <f t="shared" si="3"/>
        <v/>
      </c>
    </row>
    <row r="58" spans="7:8">
      <c r="G58" s="10" t="str">
        <f t="shared" si="1"/>
        <v/>
      </c>
      <c r="H58" s="3" t="str">
        <f t="shared" si="3"/>
        <v/>
      </c>
    </row>
    <row r="59" spans="7:8">
      <c r="G59" s="10" t="str">
        <f t="shared" si="1"/>
        <v/>
      </c>
      <c r="H59" s="3" t="str">
        <f t="shared" si="3"/>
        <v/>
      </c>
    </row>
    <row r="60" spans="7:8">
      <c r="G60" s="10" t="str">
        <f t="shared" si="1"/>
        <v/>
      </c>
      <c r="H60" s="3" t="str">
        <f t="shared" si="3"/>
        <v/>
      </c>
    </row>
    <row r="61" spans="7:8">
      <c r="G61" s="10" t="str">
        <f t="shared" si="1"/>
        <v/>
      </c>
      <c r="H61" s="3" t="str">
        <f t="shared" si="3"/>
        <v/>
      </c>
    </row>
    <row r="62" spans="7:8">
      <c r="G62" s="10" t="str">
        <f t="shared" si="1"/>
        <v/>
      </c>
      <c r="H62" s="3" t="str">
        <f t="shared" si="3"/>
        <v/>
      </c>
    </row>
    <row r="63" spans="7:8">
      <c r="G63" s="10" t="str">
        <f t="shared" si="1"/>
        <v/>
      </c>
      <c r="H63" s="3" t="str">
        <f t="shared" si="3"/>
        <v/>
      </c>
    </row>
    <row r="64" spans="7:8">
      <c r="G64" s="10" t="str">
        <f t="shared" si="1"/>
        <v/>
      </c>
      <c r="H64" s="3" t="str">
        <f t="shared" si="3"/>
        <v/>
      </c>
    </row>
    <row r="65" spans="7:8">
      <c r="G65" s="10" t="str">
        <f t="shared" si="1"/>
        <v/>
      </c>
      <c r="H65" s="3" t="str">
        <f t="shared" si="3"/>
        <v/>
      </c>
    </row>
    <row r="66" spans="7:8">
      <c r="G66" s="10" t="str">
        <f t="shared" si="1"/>
        <v/>
      </c>
      <c r="H66" s="3" t="str">
        <f t="shared" si="3"/>
        <v/>
      </c>
    </row>
    <row r="67" spans="7:8">
      <c r="G67" s="10" t="str">
        <f t="shared" si="1"/>
        <v/>
      </c>
      <c r="H67" s="3" t="str">
        <f t="shared" si="3"/>
        <v/>
      </c>
    </row>
    <row r="68" spans="7:8">
      <c r="G68" s="10" t="str">
        <f t="shared" si="1"/>
        <v/>
      </c>
      <c r="H68" s="3" t="str">
        <f t="shared" si="3"/>
        <v/>
      </c>
    </row>
    <row r="69" spans="7:8">
      <c r="G69" s="10" t="str">
        <f t="shared" si="1"/>
        <v/>
      </c>
      <c r="H69" s="3" t="str">
        <f t="shared" si="3"/>
        <v/>
      </c>
    </row>
    <row r="70" spans="7:8">
      <c r="G70" s="10" t="str">
        <f t="shared" si="1"/>
        <v/>
      </c>
      <c r="H70" s="3" t="str">
        <f t="shared" si="3"/>
        <v/>
      </c>
    </row>
    <row r="71" spans="7:8">
      <c r="G71" s="10" t="str">
        <f t="shared" ref="G71:G105" si="4">IF(E71="","",1/E71)</f>
        <v/>
      </c>
      <c r="H71" s="3" t="str">
        <f t="shared" si="3"/>
        <v/>
      </c>
    </row>
    <row r="72" spans="7:8">
      <c r="G72" s="10" t="str">
        <f t="shared" si="4"/>
        <v/>
      </c>
      <c r="H72" s="3" t="str">
        <f t="shared" si="3"/>
        <v/>
      </c>
    </row>
    <row r="73" spans="7:8">
      <c r="G73" s="10" t="str">
        <f t="shared" si="4"/>
        <v/>
      </c>
      <c r="H73" s="3" t="str">
        <f t="shared" si="3"/>
        <v/>
      </c>
    </row>
    <row r="74" spans="7:8">
      <c r="G74" s="10" t="str">
        <f t="shared" si="4"/>
        <v/>
      </c>
      <c r="H74" s="3" t="str">
        <f t="shared" si="3"/>
        <v/>
      </c>
    </row>
    <row r="75" spans="7:8">
      <c r="G75" s="10" t="str">
        <f t="shared" si="4"/>
        <v/>
      </c>
      <c r="H75" s="3" t="str">
        <f t="shared" si="3"/>
        <v/>
      </c>
    </row>
    <row r="76" spans="7:8">
      <c r="G76" s="10" t="str">
        <f t="shared" si="4"/>
        <v/>
      </c>
      <c r="H76" s="3" t="str">
        <f t="shared" si="3"/>
        <v/>
      </c>
    </row>
    <row r="77" spans="7:8">
      <c r="G77" s="10" t="str">
        <f t="shared" si="4"/>
        <v/>
      </c>
      <c r="H77" s="3" t="str">
        <f t="shared" si="3"/>
        <v/>
      </c>
    </row>
    <row r="78" spans="7:8">
      <c r="G78" s="10" t="str">
        <f t="shared" si="4"/>
        <v/>
      </c>
      <c r="H78" s="3" t="str">
        <f t="shared" si="3"/>
        <v/>
      </c>
    </row>
    <row r="79" spans="7:8">
      <c r="G79" s="10" t="str">
        <f t="shared" si="4"/>
        <v/>
      </c>
      <c r="H79" s="3" t="str">
        <f t="shared" si="3"/>
        <v/>
      </c>
    </row>
    <row r="80" spans="7:8">
      <c r="G80" s="10" t="str">
        <f t="shared" si="4"/>
        <v/>
      </c>
      <c r="H80" s="3" t="str">
        <f t="shared" si="3"/>
        <v/>
      </c>
    </row>
    <row r="81" spans="7:8">
      <c r="G81" s="10" t="str">
        <f t="shared" si="4"/>
        <v/>
      </c>
      <c r="H81" s="3" t="str">
        <f t="shared" si="3"/>
        <v/>
      </c>
    </row>
    <row r="82" spans="7:8">
      <c r="G82" s="10" t="str">
        <f t="shared" si="4"/>
        <v/>
      </c>
      <c r="H82" s="3" t="str">
        <f t="shared" si="3"/>
        <v/>
      </c>
    </row>
    <row r="83" spans="7:8">
      <c r="G83" s="10" t="str">
        <f t="shared" si="4"/>
        <v/>
      </c>
      <c r="H83" s="3" t="str">
        <f t="shared" si="3"/>
        <v/>
      </c>
    </row>
    <row r="84" spans="7:8">
      <c r="G84" s="10" t="str">
        <f t="shared" si="4"/>
        <v/>
      </c>
      <c r="H84" s="3" t="str">
        <f t="shared" si="3"/>
        <v/>
      </c>
    </row>
    <row r="85" spans="7:8">
      <c r="G85" s="10" t="str">
        <f t="shared" si="4"/>
        <v/>
      </c>
      <c r="H85" s="3" t="str">
        <f t="shared" si="3"/>
        <v/>
      </c>
    </row>
    <row r="86" spans="7:8">
      <c r="G86" s="10" t="str">
        <f t="shared" si="4"/>
        <v/>
      </c>
      <c r="H86" s="3" t="str">
        <f t="shared" si="3"/>
        <v/>
      </c>
    </row>
    <row r="87" spans="7:8">
      <c r="G87" s="10" t="str">
        <f t="shared" si="4"/>
        <v/>
      </c>
      <c r="H87" s="3" t="str">
        <f t="shared" si="3"/>
        <v/>
      </c>
    </row>
    <row r="88" spans="7:8">
      <c r="G88" s="10" t="str">
        <f t="shared" si="4"/>
        <v/>
      </c>
      <c r="H88" s="3" t="str">
        <f t="shared" si="3"/>
        <v/>
      </c>
    </row>
    <row r="89" spans="7:8">
      <c r="G89" s="10" t="str">
        <f t="shared" si="4"/>
        <v/>
      </c>
      <c r="H89" s="3" t="str">
        <f t="shared" si="3"/>
        <v/>
      </c>
    </row>
    <row r="90" spans="7:8">
      <c r="G90" s="10" t="str">
        <f t="shared" si="4"/>
        <v/>
      </c>
      <c r="H90" s="3" t="str">
        <f t="shared" ref="H90:H105" si="5">IF(G90="","",D90*G90)</f>
        <v/>
      </c>
    </row>
    <row r="91" spans="7:8">
      <c r="G91" s="10" t="str">
        <f t="shared" si="4"/>
        <v/>
      </c>
      <c r="H91" s="3" t="str">
        <f t="shared" si="5"/>
        <v/>
      </c>
    </row>
    <row r="92" spans="7:8">
      <c r="G92" s="10" t="str">
        <f t="shared" si="4"/>
        <v/>
      </c>
      <c r="H92" s="3" t="str">
        <f t="shared" si="5"/>
        <v/>
      </c>
    </row>
    <row r="93" spans="7:8">
      <c r="G93" s="10" t="str">
        <f t="shared" si="4"/>
        <v/>
      </c>
      <c r="H93" s="3" t="str">
        <f t="shared" si="5"/>
        <v/>
      </c>
    </row>
    <row r="94" spans="7:8">
      <c r="G94" s="10" t="str">
        <f t="shared" si="4"/>
        <v/>
      </c>
      <c r="H94" s="3" t="str">
        <f t="shared" si="5"/>
        <v/>
      </c>
    </row>
    <row r="95" spans="7:8">
      <c r="G95" s="10" t="str">
        <f t="shared" si="4"/>
        <v/>
      </c>
      <c r="H95" s="3" t="str">
        <f t="shared" si="5"/>
        <v/>
      </c>
    </row>
    <row r="96" spans="7:8">
      <c r="G96" s="10" t="str">
        <f t="shared" si="4"/>
        <v/>
      </c>
      <c r="H96" s="3" t="str">
        <f t="shared" si="5"/>
        <v/>
      </c>
    </row>
    <row r="97" spans="7:8">
      <c r="G97" s="10" t="str">
        <f t="shared" si="4"/>
        <v/>
      </c>
      <c r="H97" s="3" t="str">
        <f t="shared" si="5"/>
        <v/>
      </c>
    </row>
    <row r="98" spans="7:8">
      <c r="G98" s="10" t="str">
        <f t="shared" si="4"/>
        <v/>
      </c>
      <c r="H98" s="3" t="str">
        <f t="shared" si="5"/>
        <v/>
      </c>
    </row>
    <row r="99" spans="7:8">
      <c r="G99" s="10" t="str">
        <f t="shared" si="4"/>
        <v/>
      </c>
      <c r="H99" s="3" t="str">
        <f t="shared" si="5"/>
        <v/>
      </c>
    </row>
    <row r="100" spans="7:8">
      <c r="G100" s="10" t="str">
        <f t="shared" si="4"/>
        <v/>
      </c>
      <c r="H100" s="3" t="str">
        <f t="shared" si="5"/>
        <v/>
      </c>
    </row>
    <row r="101" spans="7:8">
      <c r="G101" s="10" t="str">
        <f t="shared" si="4"/>
        <v/>
      </c>
      <c r="H101" s="3" t="str">
        <f t="shared" si="5"/>
        <v/>
      </c>
    </row>
    <row r="102" spans="7:8">
      <c r="G102" s="10" t="str">
        <f t="shared" si="4"/>
        <v/>
      </c>
      <c r="H102" s="3" t="str">
        <f t="shared" si="5"/>
        <v/>
      </c>
    </row>
    <row r="103" spans="7:8">
      <c r="G103" s="10" t="str">
        <f t="shared" si="4"/>
        <v/>
      </c>
      <c r="H103" s="3" t="str">
        <f t="shared" si="5"/>
        <v/>
      </c>
    </row>
    <row r="104" spans="7:8">
      <c r="G104" s="10" t="str">
        <f t="shared" si="4"/>
        <v/>
      </c>
      <c r="H104" s="3" t="str">
        <f t="shared" si="5"/>
        <v/>
      </c>
    </row>
    <row r="105" spans="7:8">
      <c r="G105" s="10" t="str">
        <f t="shared" si="4"/>
        <v/>
      </c>
      <c r="H105" s="3"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500-000000000000}">
          <x14:formula1>
            <xm:f>INDIRECT("tarieven!$A$3:$A$"&amp;tarieven!$A$1+3,TRUE)</xm:f>
          </x14:formula1>
          <xm:sqref>A7:A25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0558D-0C8E-47F3-B8C8-B1FF9D2A9819}">
  <dimension ref="A1:E66"/>
  <sheetViews>
    <sheetView tabSelected="1" zoomScaleNormal="100" workbookViewId="0">
      <selection activeCell="E65" sqref="E65"/>
    </sheetView>
  </sheetViews>
  <sheetFormatPr defaultColWidth="8.875" defaultRowHeight="15"/>
  <cols>
    <col min="1" max="1" width="11" customWidth="1"/>
    <col min="2" max="2" width="8.125" customWidth="1"/>
    <col min="3" max="3" width="36.5" customWidth="1"/>
    <col min="4" max="4" width="8.625" customWidth="1"/>
    <col min="5" max="5" width="15.125" customWidth="1"/>
  </cols>
  <sheetData>
    <row r="1" spans="1:5">
      <c r="A1" s="339" t="s">
        <v>165</v>
      </c>
      <c r="B1" s="339" t="s">
        <v>166</v>
      </c>
    </row>
    <row r="2" spans="1:5" ht="15.95">
      <c r="A2" s="340"/>
    </row>
    <row r="3" spans="1:5" ht="15.95">
      <c r="A3" s="340" t="s">
        <v>167</v>
      </c>
    </row>
    <row r="4" spans="1:5" ht="35.1" customHeight="1">
      <c r="A4" s="399" t="s">
        <v>168</v>
      </c>
    </row>
    <row r="5" spans="1:5" ht="24">
      <c r="A5" s="411" t="s">
        <v>169</v>
      </c>
      <c r="B5" s="411" t="s">
        <v>170</v>
      </c>
      <c r="C5" s="411" t="s">
        <v>171</v>
      </c>
      <c r="D5" s="341" t="s">
        <v>172</v>
      </c>
      <c r="E5" s="341" t="s">
        <v>172</v>
      </c>
    </row>
    <row r="6" spans="1:5">
      <c r="A6" s="411"/>
      <c r="B6" s="411"/>
      <c r="C6" s="411"/>
      <c r="D6" s="341" t="s">
        <v>173</v>
      </c>
      <c r="E6" s="341" t="s">
        <v>173</v>
      </c>
    </row>
    <row r="7" spans="1:5">
      <c r="A7" s="342"/>
      <c r="B7" s="342"/>
      <c r="C7" s="342"/>
      <c r="D7" s="342"/>
      <c r="E7" s="342"/>
    </row>
    <row r="8" spans="1:5">
      <c r="A8" s="344" t="s">
        <v>174</v>
      </c>
      <c r="B8" s="412" t="s">
        <v>175</v>
      </c>
      <c r="C8" s="412"/>
      <c r="D8" s="344"/>
      <c r="E8" s="344"/>
    </row>
    <row r="9" spans="1:5">
      <c r="A9" s="342"/>
      <c r="B9" s="342"/>
      <c r="C9" s="342"/>
      <c r="D9" s="342"/>
      <c r="E9" s="342"/>
    </row>
    <row r="10" spans="1:5">
      <c r="A10" s="342"/>
      <c r="B10" s="345">
        <v>110</v>
      </c>
      <c r="C10" s="345" t="s">
        <v>176</v>
      </c>
      <c r="D10" s="342"/>
      <c r="E10" s="346" t="s">
        <v>177</v>
      </c>
    </row>
    <row r="11" spans="1:5">
      <c r="A11" s="342"/>
      <c r="B11" s="345">
        <v>120</v>
      </c>
      <c r="C11" s="345" t="s">
        <v>178</v>
      </c>
      <c r="D11" s="342"/>
      <c r="E11" s="346" t="s">
        <v>177</v>
      </c>
    </row>
    <row r="12" spans="1:5">
      <c r="A12" s="342"/>
      <c r="B12" s="345">
        <v>130</v>
      </c>
      <c r="C12" s="345" t="s">
        <v>179</v>
      </c>
      <c r="D12" s="342"/>
      <c r="E12" s="346" t="s">
        <v>177</v>
      </c>
    </row>
    <row r="13" spans="1:5">
      <c r="A13" s="342"/>
      <c r="B13" s="345">
        <v>140</v>
      </c>
      <c r="C13" s="345" t="s">
        <v>180</v>
      </c>
      <c r="D13" s="342"/>
      <c r="E13" s="346" t="s">
        <v>177</v>
      </c>
    </row>
    <row r="14" spans="1:5">
      <c r="A14" s="342"/>
      <c r="B14" s="345">
        <v>150</v>
      </c>
      <c r="C14" s="345" t="s">
        <v>181</v>
      </c>
      <c r="D14" s="342"/>
      <c r="E14" s="346" t="s">
        <v>177</v>
      </c>
    </row>
    <row r="15" spans="1:5">
      <c r="A15" s="342"/>
      <c r="B15" s="345">
        <v>160</v>
      </c>
      <c r="C15" s="345" t="s">
        <v>182</v>
      </c>
      <c r="D15" s="342"/>
      <c r="E15" s="346" t="s">
        <v>177</v>
      </c>
    </row>
    <row r="16" spans="1:5">
      <c r="A16" s="346"/>
      <c r="B16" s="345">
        <v>170</v>
      </c>
      <c r="C16" s="345" t="s">
        <v>183</v>
      </c>
      <c r="D16" s="345"/>
      <c r="E16" s="346" t="s">
        <v>177</v>
      </c>
    </row>
    <row r="17" spans="1:5">
      <c r="A17" s="346"/>
      <c r="B17" s="345">
        <v>180</v>
      </c>
      <c r="C17" s="345" t="s">
        <v>184</v>
      </c>
      <c r="D17" s="345"/>
      <c r="E17" s="346" t="s">
        <v>177</v>
      </c>
    </row>
    <row r="18" spans="1:5">
      <c r="A18" s="346"/>
      <c r="B18" s="345">
        <v>190</v>
      </c>
      <c r="C18" s="345" t="s">
        <v>185</v>
      </c>
      <c r="D18" s="345"/>
      <c r="E18" s="346" t="s">
        <v>177</v>
      </c>
    </row>
    <row r="19" spans="1:5">
      <c r="A19" s="346"/>
      <c r="B19" s="345">
        <v>200</v>
      </c>
      <c r="C19" s="345" t="s">
        <v>186</v>
      </c>
      <c r="D19" s="345"/>
      <c r="E19" s="346" t="s">
        <v>177</v>
      </c>
    </row>
    <row r="20" spans="1:5">
      <c r="A20" s="346"/>
      <c r="B20" s="345">
        <v>210</v>
      </c>
      <c r="C20" s="345" t="s">
        <v>187</v>
      </c>
      <c r="D20" s="345"/>
      <c r="E20" s="346" t="s">
        <v>177</v>
      </c>
    </row>
    <row r="21" spans="1:5">
      <c r="A21" s="346"/>
      <c r="B21" s="345">
        <v>220</v>
      </c>
      <c r="C21" s="345" t="s">
        <v>188</v>
      </c>
      <c r="D21" s="345"/>
      <c r="E21" s="346" t="s">
        <v>177</v>
      </c>
    </row>
    <row r="22" spans="1:5">
      <c r="A22" s="346"/>
      <c r="B22" s="345">
        <v>230</v>
      </c>
      <c r="C22" s="345" t="s">
        <v>189</v>
      </c>
      <c r="D22" s="345"/>
      <c r="E22" s="346" t="s">
        <v>177</v>
      </c>
    </row>
    <row r="23" spans="1:5">
      <c r="A23" s="346"/>
      <c r="B23" s="345"/>
      <c r="C23" s="345"/>
      <c r="D23" s="345"/>
      <c r="E23" s="346"/>
    </row>
    <row r="24" spans="1:5">
      <c r="A24" s="344" t="s">
        <v>190</v>
      </c>
      <c r="B24" s="343">
        <v>300</v>
      </c>
      <c r="C24" s="343" t="s">
        <v>191</v>
      </c>
      <c r="D24" s="343"/>
      <c r="E24" s="347"/>
    </row>
    <row r="25" spans="1:5">
      <c r="A25" s="346"/>
      <c r="B25" s="345"/>
      <c r="C25" s="345"/>
      <c r="D25" s="345"/>
      <c r="E25" s="346"/>
    </row>
    <row r="26" spans="1:5">
      <c r="A26" s="346"/>
      <c r="B26" s="345">
        <v>310</v>
      </c>
      <c r="C26" s="345" t="s">
        <v>192</v>
      </c>
      <c r="D26" s="345"/>
      <c r="E26" s="346" t="s">
        <v>177</v>
      </c>
    </row>
    <row r="27" spans="1:5">
      <c r="A27" s="345"/>
      <c r="B27" s="345"/>
      <c r="C27" s="345"/>
      <c r="D27" s="345"/>
      <c r="E27" s="346"/>
    </row>
    <row r="28" spans="1:5">
      <c r="A28" s="344" t="s">
        <v>193</v>
      </c>
      <c r="B28" s="343">
        <v>400</v>
      </c>
      <c r="C28" s="343" t="s">
        <v>194</v>
      </c>
      <c r="D28" s="343"/>
      <c r="E28" s="348"/>
    </row>
    <row r="29" spans="1:5">
      <c r="A29" s="342"/>
      <c r="B29" s="342"/>
      <c r="C29" s="342"/>
      <c r="D29" s="342"/>
      <c r="E29" s="342"/>
    </row>
    <row r="30" spans="1:5" ht="33" customHeight="1">
      <c r="A30" s="342"/>
      <c r="B30" s="345">
        <v>410</v>
      </c>
      <c r="C30" s="361" t="s">
        <v>195</v>
      </c>
      <c r="D30" s="342"/>
      <c r="E30" s="346" t="s">
        <v>177</v>
      </c>
    </row>
    <row r="31" spans="1:5">
      <c r="A31" s="342"/>
      <c r="B31" s="342"/>
      <c r="C31" s="342"/>
      <c r="D31" s="342"/>
      <c r="E31" s="342"/>
    </row>
    <row r="32" spans="1:5">
      <c r="A32" s="342"/>
      <c r="B32" s="342"/>
      <c r="C32" s="343" t="s">
        <v>196</v>
      </c>
      <c r="D32" s="344"/>
      <c r="E32" s="343" t="s">
        <v>197</v>
      </c>
    </row>
    <row r="33" spans="1:5">
      <c r="A33" s="342"/>
      <c r="B33" s="342"/>
      <c r="C33" s="342"/>
      <c r="D33" s="342"/>
      <c r="E33" s="342"/>
    </row>
    <row r="34" spans="1:5">
      <c r="A34" s="342"/>
      <c r="B34" s="349">
        <v>800</v>
      </c>
      <c r="C34" s="349" t="s">
        <v>198</v>
      </c>
      <c r="D34" s="342"/>
      <c r="E34" s="342"/>
    </row>
    <row r="35" spans="1:5">
      <c r="A35" s="342"/>
      <c r="B35" s="345">
        <v>810</v>
      </c>
      <c r="C35" s="345" t="s">
        <v>199</v>
      </c>
      <c r="D35" s="346" t="s">
        <v>200</v>
      </c>
      <c r="E35" s="346" t="s">
        <v>201</v>
      </c>
    </row>
    <row r="36" spans="1:5">
      <c r="A36" s="342"/>
      <c r="B36" s="345">
        <v>820</v>
      </c>
      <c r="C36" s="345" t="s">
        <v>202</v>
      </c>
      <c r="D36" s="346" t="s">
        <v>200</v>
      </c>
      <c r="E36" s="346" t="s">
        <v>201</v>
      </c>
    </row>
    <row r="37" spans="1:5">
      <c r="A37" s="342"/>
      <c r="B37" s="345">
        <v>830</v>
      </c>
      <c r="C37" s="345" t="s">
        <v>203</v>
      </c>
      <c r="D37" s="346" t="s">
        <v>200</v>
      </c>
      <c r="E37" s="346" t="s">
        <v>201</v>
      </c>
    </row>
    <row r="38" spans="1:5">
      <c r="A38" s="342"/>
      <c r="B38" s="345">
        <v>840</v>
      </c>
      <c r="C38" s="345" t="s">
        <v>204</v>
      </c>
      <c r="D38" s="346" t="s">
        <v>200</v>
      </c>
      <c r="E38" s="346" t="s">
        <v>201</v>
      </c>
    </row>
    <row r="39" spans="1:5">
      <c r="A39" s="342"/>
      <c r="B39" s="345">
        <v>850</v>
      </c>
      <c r="C39" s="345" t="s">
        <v>205</v>
      </c>
      <c r="D39" s="346" t="s">
        <v>200</v>
      </c>
      <c r="E39" s="346" t="s">
        <v>201</v>
      </c>
    </row>
    <row r="40" spans="1:5">
      <c r="A40" s="342"/>
      <c r="B40" s="345">
        <v>860</v>
      </c>
      <c r="C40" s="345" t="s">
        <v>206</v>
      </c>
      <c r="D40" s="346" t="s">
        <v>200</v>
      </c>
      <c r="E40" s="346" t="s">
        <v>201</v>
      </c>
    </row>
    <row r="41" spans="1:5" ht="15.95">
      <c r="A41" s="350"/>
      <c r="B41" s="340"/>
      <c r="C41" s="349"/>
      <c r="D41" s="351"/>
      <c r="E41" s="351"/>
    </row>
    <row r="42" spans="1:5">
      <c r="A42" s="342"/>
      <c r="B42" s="342"/>
      <c r="C42" s="343" t="s">
        <v>207</v>
      </c>
      <c r="D42" s="344"/>
      <c r="E42" s="344" t="s">
        <v>197</v>
      </c>
    </row>
    <row r="43" spans="1:5" ht="15.95">
      <c r="A43" s="350"/>
      <c r="B43" s="340"/>
      <c r="C43" s="349"/>
      <c r="D43" s="351"/>
      <c r="E43" s="351"/>
    </row>
    <row r="44" spans="1:5" ht="15.95">
      <c r="A44" s="350"/>
      <c r="B44" s="340"/>
      <c r="C44" s="343" t="s">
        <v>208</v>
      </c>
      <c r="D44" s="344"/>
      <c r="E44" s="344" t="s">
        <v>209</v>
      </c>
    </row>
    <row r="45" spans="1:5" ht="15.95">
      <c r="A45" s="351"/>
      <c r="B45" s="340"/>
      <c r="C45" s="340"/>
      <c r="D45" s="340"/>
      <c r="E45" s="350"/>
    </row>
    <row r="46" spans="1:5">
      <c r="A46" s="352" t="s">
        <v>210</v>
      </c>
      <c r="B46" s="353">
        <v>970</v>
      </c>
      <c r="C46" s="353" t="s">
        <v>211</v>
      </c>
      <c r="D46" s="354"/>
      <c r="E46" s="355"/>
    </row>
    <row r="47" spans="1:5">
      <c r="A47" s="351"/>
      <c r="B47" s="345"/>
      <c r="C47" s="345"/>
      <c r="D47" s="345"/>
      <c r="E47" s="346"/>
    </row>
    <row r="48" spans="1:5">
      <c r="A48" s="351"/>
      <c r="B48" s="345">
        <v>971</v>
      </c>
      <c r="C48" s="345" t="s">
        <v>212</v>
      </c>
      <c r="D48" s="345"/>
      <c r="E48" s="346" t="s">
        <v>201</v>
      </c>
    </row>
    <row r="49" spans="1:5">
      <c r="A49" s="351"/>
      <c r="B49" s="345">
        <v>972</v>
      </c>
      <c r="C49" s="345" t="s">
        <v>213</v>
      </c>
      <c r="D49" s="345"/>
      <c r="E49" s="346" t="s">
        <v>201</v>
      </c>
    </row>
    <row r="50" spans="1:5" ht="15.95">
      <c r="A50" s="351"/>
      <c r="B50" s="340"/>
      <c r="C50" s="340"/>
      <c r="D50" s="340"/>
      <c r="E50" s="350"/>
    </row>
    <row r="51" spans="1:5" ht="15.95">
      <c r="A51" s="351"/>
      <c r="B51" s="340"/>
      <c r="C51" s="343" t="s">
        <v>214</v>
      </c>
      <c r="D51" s="344"/>
      <c r="E51" s="344" t="s">
        <v>215</v>
      </c>
    </row>
    <row r="52" spans="1:5" ht="15.95">
      <c r="A52" s="351"/>
      <c r="B52" s="340"/>
      <c r="C52" s="349"/>
      <c r="D52" s="351"/>
      <c r="E52" s="351"/>
    </row>
    <row r="53" spans="1:5">
      <c r="A53" s="352" t="s">
        <v>216</v>
      </c>
      <c r="B53" s="353">
        <v>1010</v>
      </c>
      <c r="C53" s="353" t="s">
        <v>217</v>
      </c>
      <c r="D53" s="354"/>
      <c r="E53" s="358"/>
    </row>
    <row r="54" spans="1:5" ht="15.95">
      <c r="A54" s="351"/>
      <c r="B54" s="340"/>
      <c r="C54" s="345" t="s">
        <v>218</v>
      </c>
      <c r="D54" s="351"/>
      <c r="E54" s="359">
        <f>600000*4</f>
        <v>2400000</v>
      </c>
    </row>
    <row r="55" spans="1:5" ht="15.95">
      <c r="A55" s="351"/>
      <c r="B55" s="340"/>
      <c r="C55" s="345" t="s">
        <v>219</v>
      </c>
      <c r="D55" s="351"/>
      <c r="E55" s="359">
        <f t="shared" ref="E55" si="0">600000*4</f>
        <v>2400000</v>
      </c>
    </row>
    <row r="56" spans="1:5" ht="39" customHeight="1">
      <c r="A56" s="351"/>
      <c r="B56" s="340"/>
      <c r="C56" s="362" t="s">
        <v>220</v>
      </c>
      <c r="D56" s="351"/>
      <c r="E56" s="359">
        <f>550000*4</f>
        <v>2200000</v>
      </c>
    </row>
    <row r="57" spans="1:5" ht="15.95">
      <c r="A57" s="351"/>
      <c r="B57" s="340"/>
      <c r="C57" s="345" t="s">
        <v>221</v>
      </c>
      <c r="D57" s="351"/>
      <c r="E57" s="359">
        <f>75000*4</f>
        <v>300000</v>
      </c>
    </row>
    <row r="58" spans="1:5" ht="15.95">
      <c r="A58" s="351"/>
      <c r="B58" s="340"/>
      <c r="C58" s="345" t="s">
        <v>222</v>
      </c>
      <c r="D58" s="340"/>
      <c r="E58" s="359">
        <f>50000*4</f>
        <v>200000</v>
      </c>
    </row>
    <row r="59" spans="1:5" ht="15.95">
      <c r="A59" s="351"/>
      <c r="B59" s="340"/>
      <c r="C59" s="345" t="s">
        <v>223</v>
      </c>
      <c r="D59" s="340"/>
      <c r="E59" s="359">
        <f>70000*4</f>
        <v>280000</v>
      </c>
    </row>
    <row r="60" spans="1:5" ht="15.95">
      <c r="A60" s="351"/>
      <c r="B60" s="340"/>
      <c r="C60" s="345" t="s">
        <v>224</v>
      </c>
      <c r="D60" s="340"/>
      <c r="E60" s="359">
        <v>2200000</v>
      </c>
    </row>
    <row r="61" spans="1:5" ht="15.95">
      <c r="A61" s="351"/>
      <c r="B61" s="340"/>
      <c r="C61" s="343" t="s">
        <v>225</v>
      </c>
      <c r="D61" s="344"/>
      <c r="E61" s="360">
        <f>SUM(E54:E60)</f>
        <v>9980000</v>
      </c>
    </row>
    <row r="62" spans="1:5" ht="15.95">
      <c r="A62" s="351"/>
      <c r="B62" s="340"/>
      <c r="C62" s="340"/>
      <c r="D62" s="340"/>
      <c r="E62" s="357"/>
    </row>
    <row r="63" spans="1:5">
      <c r="A63" s="410" t="s">
        <v>226</v>
      </c>
      <c r="B63" s="410"/>
      <c r="C63" s="353" t="s">
        <v>227</v>
      </c>
      <c r="D63" s="353"/>
      <c r="E63" s="400" t="e">
        <f>E44+E51+E61</f>
        <v>#VALUE!</v>
      </c>
    </row>
    <row r="64" spans="1:5">
      <c r="C64" s="356" t="s">
        <v>228</v>
      </c>
      <c r="E64" s="184"/>
    </row>
    <row r="65" spans="1:5">
      <c r="A65" s="410"/>
      <c r="B65" s="410"/>
      <c r="C65" s="353" t="s">
        <v>229</v>
      </c>
      <c r="D65" s="353"/>
      <c r="E65" s="352" t="e">
        <f>E63*2</f>
        <v>#VALUE!</v>
      </c>
    </row>
    <row r="66" spans="1:5">
      <c r="E66" s="184"/>
    </row>
  </sheetData>
  <mergeCells count="6">
    <mergeCell ref="A65:B65"/>
    <mergeCell ref="A5:A6"/>
    <mergeCell ref="B5:B6"/>
    <mergeCell ref="C5:C6"/>
    <mergeCell ref="B8:C8"/>
    <mergeCell ref="A63:B63"/>
  </mergeCells>
  <pageMargins left="0.7" right="0.7" top="0.75" bottom="0.75" header="0.3" footer="0.3"/>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J105"/>
  <sheetViews>
    <sheetView workbookViewId="0">
      <selection activeCell="B14" sqref="B14"/>
    </sheetView>
  </sheetViews>
  <sheetFormatPr defaultColWidth="8.875" defaultRowHeight="15"/>
  <cols>
    <col min="1" max="1" width="7.375" bestFit="1" customWidth="1"/>
    <col min="2" max="2" width="42.125" customWidth="1"/>
    <col min="4" max="4" width="10.625" style="3" customWidth="1"/>
    <col min="5" max="5" width="15.375" style="9" bestFit="1" customWidth="1"/>
    <col min="6" max="6" width="10.625" style="9" customWidth="1"/>
    <col min="7" max="7" width="10.625" style="7" customWidth="1"/>
    <col min="8" max="8" width="13.125" style="3" customWidth="1"/>
    <col min="9" max="9" width="36" customWidth="1"/>
  </cols>
  <sheetData>
    <row r="2" spans="1:10">
      <c r="A2" t="s">
        <v>6</v>
      </c>
      <c r="B2" s="1" t="s">
        <v>7</v>
      </c>
      <c r="C2" s="1" t="s">
        <v>9</v>
      </c>
      <c r="D2" s="2" t="s">
        <v>10</v>
      </c>
      <c r="E2" s="6"/>
      <c r="F2" s="6"/>
    </row>
    <row r="3" spans="1:10">
      <c r="B3" s="1" t="s">
        <v>547</v>
      </c>
      <c r="C3" s="1"/>
      <c r="D3" s="2"/>
      <c r="E3" s="6"/>
      <c r="F3" s="6"/>
    </row>
    <row r="4" spans="1:10" ht="15.95" thickBot="1">
      <c r="A4" s="4">
        <v>1</v>
      </c>
      <c r="B4" s="4" t="s">
        <v>550</v>
      </c>
      <c r="C4" s="4" t="s">
        <v>362</v>
      </c>
      <c r="D4" s="5" t="e">
        <f ca="1">SUM(H7:H25)</f>
        <v>#VALUE!</v>
      </c>
      <c r="E4" s="8"/>
      <c r="F4" s="8"/>
    </row>
    <row r="5" spans="1:10" ht="15.95" thickTop="1">
      <c r="B5" t="s">
        <v>459</v>
      </c>
    </row>
    <row r="6" spans="1:10">
      <c r="A6" t="s">
        <v>350</v>
      </c>
      <c r="B6" t="s">
        <v>351</v>
      </c>
      <c r="C6" t="s">
        <v>9</v>
      </c>
      <c r="D6" s="3" t="s">
        <v>10</v>
      </c>
      <c r="E6" s="9" t="s">
        <v>460</v>
      </c>
      <c r="F6" s="9" t="s">
        <v>461</v>
      </c>
      <c r="G6" s="7" t="s">
        <v>8</v>
      </c>
      <c r="H6" s="3" t="s">
        <v>11</v>
      </c>
      <c r="I6" t="s">
        <v>462</v>
      </c>
      <c r="J6" t="s">
        <v>463</v>
      </c>
    </row>
    <row r="7" spans="1:10">
      <c r="A7" s="84">
        <v>201140</v>
      </c>
      <c r="B7" t="str">
        <f ca="1">IF(A7=VLOOKUP(A7,INDIRECT("tarieven!$A$3:$D$"&amp;tarieven!$A$1+3,TRUE),1),VLOOKUP(A7,INDIRECT("tarieven!$A$3:$D$"&amp;tarieven!$A$1+3,TRUE),2),"")</f>
        <v>Frezen asfalt 40mm niet teerh. incl. afvoer en stortkosten 0,-</v>
      </c>
      <c r="C7" t="str">
        <f ca="1">IF(A7=VLOOKUP(A7,INDIRECT("tarieven!$A$3:$D$"&amp;tarieven!$A$1+3,TRUE),1),VLOOKUP(A7,INDIRECT("tarieven!$A$3:$D$"&amp;tarieven!$A$1+3,TRUE),3),"")</f>
        <v>m2</v>
      </c>
      <c r="D7" s="3">
        <f ca="1">IF(A7=VLOOKUP(A7,INDIRECT("tarieven!$A$3:$D$"&amp;tarieven!$A$1+3,TRUE),1),VLOOKUP(A7,INDIRECT("tarieven!$A$3:$D$"&amp;tarieven!$A$1+3,TRUE),4),"")</f>
        <v>3.76</v>
      </c>
      <c r="E7" s="85">
        <v>1</v>
      </c>
      <c r="F7" s="9" t="str">
        <f t="shared" ref="F7:F26" ca="1" si="0">IF(C7="","",$C$4&amp;"/"&amp;C7)</f>
        <v>m2/m2</v>
      </c>
      <c r="G7" s="10">
        <f t="shared" ref="G7:G70" si="1">IF(E7="","",1/E7)</f>
        <v>1</v>
      </c>
      <c r="H7" s="3">
        <f ca="1">IF(D7="","",D7*G7)</f>
        <v>3.76</v>
      </c>
    </row>
    <row r="8" spans="1:10">
      <c r="A8" s="84">
        <v>201200</v>
      </c>
      <c r="B8" t="str">
        <f ca="1">IF(A8=VLOOKUP(A8,INDIRECT("tarieven!$A$3:$D$"&amp;tarieven!$A$1+3,TRUE),1),VLOOKUP(A8,INDIRECT("tarieven!$A$3:$D$"&amp;tarieven!$A$1+3,TRUE),2),"")</f>
        <v>Frezen asfalt 100mm niet teerh. incl. afvoer en stortkosten 0,-</v>
      </c>
      <c r="C8" t="str">
        <f ca="1">IF(A8=VLOOKUP(A8,INDIRECT("tarieven!$A$3:$D$"&amp;tarieven!$A$1+3,TRUE),1),VLOOKUP(A8,INDIRECT("tarieven!$A$3:$D$"&amp;tarieven!$A$1+3,TRUE),3),"")</f>
        <v>m2</v>
      </c>
      <c r="D8" s="3">
        <f ca="1">IF(A8=VLOOKUP(A8,INDIRECT("tarieven!$A$3:$D$"&amp;tarieven!$A$1+3,TRUE),1),VLOOKUP(A8,INDIRECT("tarieven!$A$3:$D$"&amp;tarieven!$A$1+3,TRUE),4),"")</f>
        <v>5.23</v>
      </c>
      <c r="E8" s="85">
        <v>1</v>
      </c>
      <c r="F8" s="9" t="str">
        <f t="shared" ca="1" si="0"/>
        <v>m2/m2</v>
      </c>
      <c r="G8" s="10">
        <f t="shared" si="1"/>
        <v>1</v>
      </c>
      <c r="H8" s="3">
        <f t="shared" ref="H8:H25" ca="1" si="2">IF(D8="","",D8*G8)</f>
        <v>5.23</v>
      </c>
    </row>
    <row r="9" spans="1:10">
      <c r="A9" s="84">
        <v>102030</v>
      </c>
      <c r="B9" t="str">
        <f ca="1">IF(A9=VLOOKUP(A9,INDIRECT("tarieven!$A$3:$D$"&amp;tarieven!$A$1+3,TRUE),1),VLOOKUP(A9,INDIRECT("tarieven!$A$3:$D$"&amp;tarieven!$A$1+3,TRUE),2),"")</f>
        <v>machinist/chauffeur</v>
      </c>
      <c r="C9" t="str">
        <f ca="1">IF(A9=VLOOKUP(A9,INDIRECT("tarieven!$A$3:$D$"&amp;tarieven!$A$1+3,TRUE),1),VLOOKUP(A9,INDIRECT("tarieven!$A$3:$D$"&amp;tarieven!$A$1+3,TRUE),3),"")</f>
        <v>uur</v>
      </c>
      <c r="D9" s="3">
        <f ca="1">IF(A9=VLOOKUP(A9,INDIRECT("tarieven!$A$3:$D$"&amp;tarieven!$A$1+3,TRUE),1),VLOOKUP(A9,INDIRECT("tarieven!$A$3:$D$"&amp;tarieven!$A$1+3,TRUE),4),"")</f>
        <v>43.34</v>
      </c>
      <c r="E9" s="85">
        <v>250</v>
      </c>
      <c r="F9" s="9" t="str">
        <f t="shared" ca="1" si="0"/>
        <v>m2/uur</v>
      </c>
      <c r="G9" s="10">
        <f t="shared" si="1"/>
        <v>4.0000000000000001E-3</v>
      </c>
      <c r="H9" s="3">
        <f t="shared" ca="1" si="2"/>
        <v>0.17336000000000001</v>
      </c>
      <c r="I9" t="s">
        <v>551</v>
      </c>
    </row>
    <row r="10" spans="1:10">
      <c r="A10" s="84">
        <v>300060</v>
      </c>
      <c r="B10" t="str">
        <f ca="1">IF(A10=VLOOKUP(A10,INDIRECT("tarieven!$A$3:$D$"&amp;tarieven!$A$1+3,TRUE),1),VLOOKUP(A10,INDIRECT("tarieven!$A$3:$D$"&amp;tarieven!$A$1+3,TRUE),2),"")</f>
        <v>trilwals (+ aan en afvoerkosten)</v>
      </c>
      <c r="C10" t="str">
        <f ca="1">IF(A10=VLOOKUP(A10,INDIRECT("tarieven!$A$3:$D$"&amp;tarieven!$A$1+3,TRUE),1),VLOOKUP(A10,INDIRECT("tarieven!$A$3:$D$"&amp;tarieven!$A$1+3,TRUE),3),"")</f>
        <v>dag</v>
      </c>
      <c r="D10" s="3">
        <f ca="1">IF(A10=VLOOKUP(A10,INDIRECT("tarieven!$A$3:$D$"&amp;tarieven!$A$1+3,TRUE),1),VLOOKUP(A10,INDIRECT("tarieven!$A$3:$D$"&amp;tarieven!$A$1+3,TRUE),4),"")</f>
        <v>775</v>
      </c>
      <c r="E10" s="85">
        <v>2000</v>
      </c>
      <c r="F10" s="9" t="str">
        <f t="shared" ca="1" si="0"/>
        <v>m2/dag</v>
      </c>
      <c r="G10" s="10">
        <f t="shared" si="1"/>
        <v>5.0000000000000001E-4</v>
      </c>
      <c r="H10" s="3">
        <f t="shared" ca="1" si="2"/>
        <v>0.38750000000000001</v>
      </c>
      <c r="I10" t="s">
        <v>552</v>
      </c>
    </row>
    <row r="11" spans="1:10">
      <c r="A11" s="84">
        <v>201610</v>
      </c>
      <c r="B11" t="str">
        <f ca="1">IF(A11=VLOOKUP(A11,INDIRECT("tarieven!$A$3:$D$"&amp;tarieven!$A$1+3,TRUE),1),VLOOKUP(A11,INDIRECT("tarieven!$A$3:$D$"&amp;tarieven!$A$1+3,TRUE),2),"")</f>
        <v>Schoonmaken oppervlak t.b.v. reparaties</v>
      </c>
      <c r="C11" t="str">
        <f ca="1">IF(A11=VLOOKUP(A11,INDIRECT("tarieven!$A$3:$D$"&amp;tarieven!$A$1+3,TRUE),1),VLOOKUP(A11,INDIRECT("tarieven!$A$3:$D$"&amp;tarieven!$A$1+3,TRUE),3),"")</f>
        <v>m2</v>
      </c>
      <c r="D11" s="3">
        <f ca="1">IF(A11=VLOOKUP(A11,INDIRECT("tarieven!$A$3:$D$"&amp;tarieven!$A$1+3,TRUE),1),VLOOKUP(A11,INDIRECT("tarieven!$A$3:$D$"&amp;tarieven!$A$1+3,TRUE),4),"")</f>
        <v>0.4</v>
      </c>
      <c r="E11" s="85">
        <v>1</v>
      </c>
      <c r="F11" s="9" t="str">
        <f t="shared" ca="1" si="0"/>
        <v>m2/m2</v>
      </c>
      <c r="G11" s="10">
        <f t="shared" si="1"/>
        <v>1</v>
      </c>
      <c r="H11" s="3">
        <f t="shared" ca="1" si="2"/>
        <v>0.4</v>
      </c>
    </row>
    <row r="12" spans="1:10">
      <c r="A12" s="84">
        <v>300050</v>
      </c>
      <c r="B12" t="str">
        <f ca="1">IF(A12=VLOOKUP(A12,INDIRECT("tarieven!$A$3:$D$"&amp;tarieven!$A$1+3,TRUE),1),VLOOKUP(A12,INDIRECT("tarieven!$A$3:$D$"&amp;tarieven!$A$1+3,TRUE),2),"")</f>
        <v>asfaltset klein met transport incl. (+ aan en afvoerkosten)</v>
      </c>
      <c r="C12" t="str">
        <f ca="1">IF(A12=VLOOKUP(A12,INDIRECT("tarieven!$A$3:$D$"&amp;tarieven!$A$1+3,TRUE),1),VLOOKUP(A12,INDIRECT("tarieven!$A$3:$D$"&amp;tarieven!$A$1+3,TRUE),3),"")</f>
        <v>dag</v>
      </c>
      <c r="D12" s="3">
        <f ca="1">IF(A12=VLOOKUP(A12,INDIRECT("tarieven!$A$3:$D$"&amp;tarieven!$A$1+3,TRUE),1),VLOOKUP(A12,INDIRECT("tarieven!$A$3:$D$"&amp;tarieven!$A$1+3,TRUE),4),"")</f>
        <v>4915.2</v>
      </c>
      <c r="E12" s="85">
        <v>3500</v>
      </c>
      <c r="F12" s="9" t="str">
        <f t="shared" ca="1" si="0"/>
        <v>m2/dag</v>
      </c>
      <c r="G12" s="10">
        <f t="shared" si="1"/>
        <v>2.8571428571428574E-4</v>
      </c>
      <c r="H12" s="3">
        <f t="shared" ca="1" si="2"/>
        <v>1.4043428571428571</v>
      </c>
    </row>
    <row r="13" spans="1:10">
      <c r="A13" s="84">
        <v>302110</v>
      </c>
      <c r="B13" t="str">
        <f ca="1">IF(A13=VLOOKUP(A13,INDIRECT("tarieven!$A$3:$D$"&amp;tarieven!$A$1+3,TRUE),1),VLOOKUP(A13,INDIRECT("tarieven!$A$3:$D$"&amp;tarieven!$A$1+3,TRUE),2),"")</f>
        <v>levering asfalt onderlaag AC22 base OL-A</v>
      </c>
      <c r="C13" t="str">
        <f ca="1">IF(A13=VLOOKUP(A13,INDIRECT("tarieven!$A$3:$D$"&amp;tarieven!$A$1+3,TRUE),1),VLOOKUP(A13,INDIRECT("tarieven!$A$3:$D$"&amp;tarieven!$A$1+3,TRUE),3),"")</f>
        <v>ton</v>
      </c>
      <c r="D13" s="3">
        <f ca="1">IF(A13=VLOOKUP(A13,INDIRECT("tarieven!$A$3:$D$"&amp;tarieven!$A$1+3,TRUE),1),VLOOKUP(A13,INDIRECT("tarieven!$A$3:$D$"&amp;tarieven!$A$1+3,TRUE),4),"")</f>
        <v>76.8</v>
      </c>
      <c r="E13" s="85">
        <f>0.4/0.06</f>
        <v>6.666666666666667</v>
      </c>
      <c r="F13" s="9" t="str">
        <f t="shared" ca="1" si="0"/>
        <v>m2/ton</v>
      </c>
      <c r="G13" s="10">
        <f t="shared" si="1"/>
        <v>0.15</v>
      </c>
      <c r="H13" s="3">
        <f t="shared" ca="1" si="2"/>
        <v>11.52</v>
      </c>
    </row>
    <row r="14" spans="1:10">
      <c r="A14" s="84">
        <v>302810</v>
      </c>
      <c r="B14" t="str">
        <f ca="1">IF(A14=VLOOKUP(A14,INDIRECT("tarieven!$A$3:$D$"&amp;tarieven!$A$1+3,TRUE),1),VLOOKUP(A14,INDIRECT("tarieven!$A$3:$D$"&amp;tarieven!$A$1+3,TRUE),2),"")</f>
        <v>kleeflaag 0,3kg/m2</v>
      </c>
      <c r="C14" t="str">
        <f ca="1">IF(A14=VLOOKUP(A14,INDIRECT("tarieven!$A$3:$D$"&amp;tarieven!$A$1+3,TRUE),1),VLOOKUP(A14,INDIRECT("tarieven!$A$3:$D$"&amp;tarieven!$A$1+3,TRUE),3),"")</f>
        <v>m2</v>
      </c>
      <c r="D14" s="3">
        <f ca="1">IF(A14=VLOOKUP(A14,INDIRECT("tarieven!$A$3:$D$"&amp;tarieven!$A$1+3,TRUE),1),VLOOKUP(A14,INDIRECT("tarieven!$A$3:$D$"&amp;tarieven!$A$1+3,TRUE),4),"")</f>
        <v>0.35</v>
      </c>
      <c r="E14" s="85">
        <v>1</v>
      </c>
      <c r="F14" s="9" t="str">
        <f t="shared" ca="1" si="0"/>
        <v>m2/m2</v>
      </c>
      <c r="G14" s="10">
        <f t="shared" si="1"/>
        <v>1</v>
      </c>
      <c r="H14" s="3">
        <f t="shared" ca="1" si="2"/>
        <v>0.35</v>
      </c>
    </row>
    <row r="15" spans="1:10">
      <c r="A15" s="84">
        <v>302210</v>
      </c>
      <c r="B15" t="str">
        <f ca="1">IF(A15=VLOOKUP(A15,INDIRECT("tarieven!$A$3:$D$"&amp;tarieven!$A$1+3,TRUE),1),VLOOKUP(A15,INDIRECT("tarieven!$A$3:$D$"&amp;tarieven!$A$1+3,TRUE),2),"")</f>
        <v>levering asfalt tussenlaag AC16 bind TDL-B</v>
      </c>
      <c r="C15" t="str">
        <f ca="1">IF(A15=VLOOKUP(A15,INDIRECT("tarieven!$A$3:$D$"&amp;tarieven!$A$1+3,TRUE),1),VLOOKUP(A15,INDIRECT("tarieven!$A$3:$D$"&amp;tarieven!$A$1+3,TRUE),3),"")</f>
        <v>ton</v>
      </c>
      <c r="D15" s="3">
        <f ca="1">IF(A15=VLOOKUP(A15,INDIRECT("tarieven!$A$3:$D$"&amp;tarieven!$A$1+3,TRUE),1),VLOOKUP(A15,INDIRECT("tarieven!$A$3:$D$"&amp;tarieven!$A$1+3,TRUE),4),"")</f>
        <v>84.4</v>
      </c>
      <c r="E15" s="85">
        <f>0.4/0.04</f>
        <v>10</v>
      </c>
      <c r="F15" s="9" t="str">
        <f t="shared" ca="1" si="0"/>
        <v>m2/ton</v>
      </c>
      <c r="G15" s="10">
        <f t="shared" si="1"/>
        <v>0.1</v>
      </c>
      <c r="H15" s="3">
        <f t="shared" ca="1" si="2"/>
        <v>8.4400000000000013</v>
      </c>
    </row>
    <row r="16" spans="1:10">
      <c r="A16" s="84">
        <v>302810</v>
      </c>
      <c r="B16" t="str">
        <f ca="1">IF(A16=VLOOKUP(A16,INDIRECT("tarieven!$A$3:$D$"&amp;tarieven!$A$1+3,TRUE),1),VLOOKUP(A16,INDIRECT("tarieven!$A$3:$D$"&amp;tarieven!$A$1+3,TRUE),2),"")</f>
        <v>kleeflaag 0,3kg/m2</v>
      </c>
      <c r="C16" t="str">
        <f ca="1">IF(A16=VLOOKUP(A16,INDIRECT("tarieven!$A$3:$D$"&amp;tarieven!$A$1+3,TRUE),1),VLOOKUP(A16,INDIRECT("tarieven!$A$3:$D$"&amp;tarieven!$A$1+3,TRUE),3),"")</f>
        <v>m2</v>
      </c>
      <c r="D16" s="3">
        <f ca="1">IF(A16=VLOOKUP(A16,INDIRECT("tarieven!$A$3:$D$"&amp;tarieven!$A$1+3,TRUE),1),VLOOKUP(A16,INDIRECT("tarieven!$A$3:$D$"&amp;tarieven!$A$1+3,TRUE),4),"")</f>
        <v>0.35</v>
      </c>
      <c r="E16" s="85">
        <v>1</v>
      </c>
      <c r="F16" s="9" t="str">
        <f t="shared" ca="1" si="0"/>
        <v>m2/m2</v>
      </c>
      <c r="G16" s="10">
        <f t="shared" si="1"/>
        <v>1</v>
      </c>
      <c r="H16" s="3">
        <f t="shared" ca="1" si="2"/>
        <v>0.35</v>
      </c>
    </row>
    <row r="17" spans="1:8">
      <c r="A17" s="84">
        <v>301210</v>
      </c>
      <c r="B17" t="str">
        <f ca="1">IF(A17=VLOOKUP(A17,INDIRECT("tarieven!$A$3:$D$"&amp;tarieven!$A$1+3,TRUE),1),VLOOKUP(A17,INDIRECT("tarieven!$A$3:$D$"&amp;tarieven!$A$1+3,TRUE),2),"")</f>
        <v>levering asfalt deklaag geluidsreducerend incl. SMA 11B type 2</v>
      </c>
      <c r="C17" t="str">
        <f ca="1">IF(A17=VLOOKUP(A17,INDIRECT("tarieven!$A$3:$D$"&amp;tarieven!$A$1+3,TRUE),1),VLOOKUP(A17,INDIRECT("tarieven!$A$3:$D$"&amp;tarieven!$A$1+3,TRUE),3),"")</f>
        <v>ton</v>
      </c>
      <c r="D17" s="3">
        <f ca="1">IF(A17=VLOOKUP(A17,INDIRECT("tarieven!$A$3:$D$"&amp;tarieven!$A$1+3,TRUE),1),VLOOKUP(A17,INDIRECT("tarieven!$A$3:$D$"&amp;tarieven!$A$1+3,TRUE),4),"")</f>
        <v>96.25</v>
      </c>
      <c r="E17" s="85">
        <f>0.4/0.04</f>
        <v>10</v>
      </c>
      <c r="F17" s="9" t="str">
        <f t="shared" ca="1" si="0"/>
        <v>m2/ton</v>
      </c>
      <c r="G17" s="10">
        <f t="shared" si="1"/>
        <v>0.1</v>
      </c>
      <c r="H17" s="3">
        <f t="shared" ca="1" si="2"/>
        <v>9.625</v>
      </c>
    </row>
    <row r="18" spans="1:8">
      <c r="A18" s="84">
        <v>401010</v>
      </c>
      <c r="B18" t="str">
        <f ca="1">IF(A18=VLOOKUP(A18,INDIRECT("tarieven!$A$3:$D$"&amp;tarieven!$A$1+3,TRUE),1),VLOOKUP(A18,INDIRECT("tarieven!$A$3:$D$"&amp;tarieven!$A$1+3,TRUE),2),"")</f>
        <v/>
      </c>
      <c r="C18" t="str">
        <f ca="1">IF(A18=VLOOKUP(A18,INDIRECT("tarieven!$A$3:$D$"&amp;tarieven!$A$1+3,TRUE),1),VLOOKUP(A18,INDIRECT("tarieven!$A$3:$D$"&amp;tarieven!$A$1+3,TRUE),3),"")</f>
        <v/>
      </c>
      <c r="D18" s="3" t="str">
        <f ca="1">IF(A18=VLOOKUP(A18,INDIRECT("tarieven!$A$3:$D$"&amp;tarieven!$A$1+3,TRUE),1),VLOOKUP(A18,INDIRECT("tarieven!$A$3:$D$"&amp;tarieven!$A$1+3,TRUE),4),"")</f>
        <v/>
      </c>
      <c r="E18" s="85">
        <v>6500</v>
      </c>
      <c r="F18" s="9" t="str">
        <f t="shared" ca="1" si="0"/>
        <v/>
      </c>
      <c r="G18" s="10">
        <f t="shared" si="1"/>
        <v>1.5384615384615385E-4</v>
      </c>
      <c r="H18" s="3" t="str">
        <f t="shared" ca="1" si="2"/>
        <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5"/>
      <c r="F19" s="9" t="str">
        <f t="shared" ca="1" si="0"/>
        <v/>
      </c>
      <c r="G19" s="10" t="str">
        <f t="shared" si="1"/>
        <v/>
      </c>
      <c r="H19" s="3"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5"/>
      <c r="F20" s="9" t="str">
        <f t="shared" ca="1" si="0"/>
        <v/>
      </c>
      <c r="G20" s="10" t="str">
        <f t="shared" si="1"/>
        <v/>
      </c>
      <c r="H20" s="3"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5"/>
      <c r="F21" s="9" t="str">
        <f t="shared" ca="1" si="0"/>
        <v/>
      </c>
      <c r="G21" s="10" t="str">
        <f t="shared" si="1"/>
        <v/>
      </c>
      <c r="H21" s="3"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5"/>
      <c r="F22" s="9" t="str">
        <f t="shared" ca="1" si="0"/>
        <v/>
      </c>
      <c r="G22" s="10" t="str">
        <f t="shared" si="1"/>
        <v/>
      </c>
      <c r="H22" s="3"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5"/>
      <c r="F23" s="9" t="str">
        <f t="shared" ca="1" si="0"/>
        <v/>
      </c>
      <c r="G23" s="10" t="str">
        <f t="shared" si="1"/>
        <v/>
      </c>
      <c r="H23" s="3"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5"/>
      <c r="F24" s="9" t="str">
        <f t="shared" ca="1" si="0"/>
        <v/>
      </c>
      <c r="G24" s="10" t="str">
        <f t="shared" si="1"/>
        <v/>
      </c>
      <c r="H24" s="3"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5"/>
      <c r="F25" s="9" t="str">
        <f t="shared" ca="1" si="0"/>
        <v/>
      </c>
      <c r="G25" s="10" t="str">
        <f t="shared" si="1"/>
        <v/>
      </c>
      <c r="H25" s="3" t="e">
        <f t="shared" ca="1" si="2"/>
        <v>#VALUE!</v>
      </c>
    </row>
    <row r="26" spans="1:8">
      <c r="F26" s="9" t="str">
        <f t="shared" si="0"/>
        <v/>
      </c>
      <c r="G26" s="10" t="str">
        <f t="shared" si="1"/>
        <v/>
      </c>
      <c r="H26" s="3" t="str">
        <f t="shared" ref="H26:H89" si="3">IF(G26="","",D26*G26)</f>
        <v/>
      </c>
    </row>
    <row r="27" spans="1:8">
      <c r="G27" s="10" t="str">
        <f t="shared" si="1"/>
        <v/>
      </c>
      <c r="H27" s="3" t="str">
        <f t="shared" si="3"/>
        <v/>
      </c>
    </row>
    <row r="28" spans="1:8">
      <c r="G28" s="10" t="str">
        <f t="shared" si="1"/>
        <v/>
      </c>
      <c r="H28" s="3" t="str">
        <f t="shared" si="3"/>
        <v/>
      </c>
    </row>
    <row r="29" spans="1:8">
      <c r="G29" s="10" t="str">
        <f t="shared" si="1"/>
        <v/>
      </c>
      <c r="H29" s="3" t="str">
        <f t="shared" si="3"/>
        <v/>
      </c>
    </row>
    <row r="30" spans="1:8">
      <c r="G30" s="10" t="str">
        <f t="shared" si="1"/>
        <v/>
      </c>
      <c r="H30" s="3" t="str">
        <f t="shared" si="3"/>
        <v/>
      </c>
    </row>
    <row r="31" spans="1:8">
      <c r="G31" s="10" t="str">
        <f t="shared" si="1"/>
        <v/>
      </c>
      <c r="H31" s="3" t="str">
        <f t="shared" si="3"/>
        <v/>
      </c>
    </row>
    <row r="32" spans="1:8">
      <c r="G32" s="10" t="str">
        <f t="shared" si="1"/>
        <v/>
      </c>
      <c r="H32" s="3" t="str">
        <f t="shared" si="3"/>
        <v/>
      </c>
    </row>
    <row r="33" spans="7:8">
      <c r="G33" s="10" t="str">
        <f t="shared" si="1"/>
        <v/>
      </c>
      <c r="H33" s="3" t="str">
        <f t="shared" si="3"/>
        <v/>
      </c>
    </row>
    <row r="34" spans="7:8">
      <c r="G34" s="10" t="str">
        <f t="shared" si="1"/>
        <v/>
      </c>
      <c r="H34" s="3" t="str">
        <f t="shared" si="3"/>
        <v/>
      </c>
    </row>
    <row r="35" spans="7:8">
      <c r="G35" s="10" t="str">
        <f t="shared" si="1"/>
        <v/>
      </c>
      <c r="H35" s="3" t="str">
        <f t="shared" si="3"/>
        <v/>
      </c>
    </row>
    <row r="36" spans="7:8">
      <c r="G36" s="10" t="str">
        <f t="shared" si="1"/>
        <v/>
      </c>
      <c r="H36" s="3" t="str">
        <f t="shared" si="3"/>
        <v/>
      </c>
    </row>
    <row r="37" spans="7:8">
      <c r="G37" s="10" t="str">
        <f t="shared" si="1"/>
        <v/>
      </c>
      <c r="H37" s="3" t="str">
        <f t="shared" si="3"/>
        <v/>
      </c>
    </row>
    <row r="38" spans="7:8">
      <c r="G38" s="10" t="str">
        <f t="shared" si="1"/>
        <v/>
      </c>
      <c r="H38" s="3" t="str">
        <f t="shared" si="3"/>
        <v/>
      </c>
    </row>
    <row r="39" spans="7:8">
      <c r="G39" s="10" t="str">
        <f t="shared" si="1"/>
        <v/>
      </c>
      <c r="H39" s="3" t="str">
        <f t="shared" si="3"/>
        <v/>
      </c>
    </row>
    <row r="40" spans="7:8">
      <c r="G40" s="10" t="str">
        <f t="shared" si="1"/>
        <v/>
      </c>
      <c r="H40" s="3" t="str">
        <f t="shared" si="3"/>
        <v/>
      </c>
    </row>
    <row r="41" spans="7:8">
      <c r="G41" s="10" t="str">
        <f t="shared" si="1"/>
        <v/>
      </c>
      <c r="H41" s="3" t="str">
        <f t="shared" si="3"/>
        <v/>
      </c>
    </row>
    <row r="42" spans="7:8">
      <c r="G42" s="10" t="str">
        <f t="shared" si="1"/>
        <v/>
      </c>
      <c r="H42" s="3" t="str">
        <f t="shared" si="3"/>
        <v/>
      </c>
    </row>
    <row r="43" spans="7:8">
      <c r="G43" s="10" t="str">
        <f t="shared" si="1"/>
        <v/>
      </c>
      <c r="H43" s="3" t="str">
        <f t="shared" si="3"/>
        <v/>
      </c>
    </row>
    <row r="44" spans="7:8">
      <c r="G44" s="10" t="str">
        <f t="shared" si="1"/>
        <v/>
      </c>
      <c r="H44" s="3" t="str">
        <f t="shared" si="3"/>
        <v/>
      </c>
    </row>
    <row r="45" spans="7:8">
      <c r="G45" s="10" t="str">
        <f t="shared" si="1"/>
        <v/>
      </c>
      <c r="H45" s="3" t="str">
        <f t="shared" si="3"/>
        <v/>
      </c>
    </row>
    <row r="46" spans="7:8">
      <c r="G46" s="10" t="str">
        <f t="shared" si="1"/>
        <v/>
      </c>
      <c r="H46" s="3" t="str">
        <f t="shared" si="3"/>
        <v/>
      </c>
    </row>
    <row r="47" spans="7:8">
      <c r="G47" s="10" t="str">
        <f t="shared" si="1"/>
        <v/>
      </c>
      <c r="H47" s="3" t="str">
        <f t="shared" si="3"/>
        <v/>
      </c>
    </row>
    <row r="48" spans="7:8">
      <c r="G48" s="10" t="str">
        <f t="shared" si="1"/>
        <v/>
      </c>
      <c r="H48" s="3" t="str">
        <f t="shared" si="3"/>
        <v/>
      </c>
    </row>
    <row r="49" spans="7:8">
      <c r="G49" s="10" t="str">
        <f t="shared" si="1"/>
        <v/>
      </c>
      <c r="H49" s="3" t="str">
        <f t="shared" si="3"/>
        <v/>
      </c>
    </row>
    <row r="50" spans="7:8">
      <c r="G50" s="10" t="str">
        <f t="shared" si="1"/>
        <v/>
      </c>
      <c r="H50" s="3" t="str">
        <f t="shared" si="3"/>
        <v/>
      </c>
    </row>
    <row r="51" spans="7:8">
      <c r="G51" s="10" t="str">
        <f t="shared" si="1"/>
        <v/>
      </c>
      <c r="H51" s="3" t="str">
        <f t="shared" si="3"/>
        <v/>
      </c>
    </row>
    <row r="52" spans="7:8">
      <c r="G52" s="10" t="str">
        <f t="shared" si="1"/>
        <v/>
      </c>
      <c r="H52" s="3" t="str">
        <f t="shared" si="3"/>
        <v/>
      </c>
    </row>
    <row r="53" spans="7:8">
      <c r="G53" s="10" t="str">
        <f t="shared" si="1"/>
        <v/>
      </c>
      <c r="H53" s="3" t="str">
        <f t="shared" si="3"/>
        <v/>
      </c>
    </row>
    <row r="54" spans="7:8">
      <c r="G54" s="10" t="str">
        <f t="shared" si="1"/>
        <v/>
      </c>
      <c r="H54" s="3" t="str">
        <f t="shared" si="3"/>
        <v/>
      </c>
    </row>
    <row r="55" spans="7:8">
      <c r="G55" s="10" t="str">
        <f t="shared" si="1"/>
        <v/>
      </c>
      <c r="H55" s="3" t="str">
        <f t="shared" si="3"/>
        <v/>
      </c>
    </row>
    <row r="56" spans="7:8">
      <c r="G56" s="10" t="str">
        <f t="shared" si="1"/>
        <v/>
      </c>
      <c r="H56" s="3" t="str">
        <f t="shared" si="3"/>
        <v/>
      </c>
    </row>
    <row r="57" spans="7:8">
      <c r="G57" s="10" t="str">
        <f t="shared" si="1"/>
        <v/>
      </c>
      <c r="H57" s="3" t="str">
        <f t="shared" si="3"/>
        <v/>
      </c>
    </row>
    <row r="58" spans="7:8">
      <c r="G58" s="10" t="str">
        <f t="shared" si="1"/>
        <v/>
      </c>
      <c r="H58" s="3" t="str">
        <f t="shared" si="3"/>
        <v/>
      </c>
    </row>
    <row r="59" spans="7:8">
      <c r="G59" s="10" t="str">
        <f t="shared" si="1"/>
        <v/>
      </c>
      <c r="H59" s="3" t="str">
        <f t="shared" si="3"/>
        <v/>
      </c>
    </row>
    <row r="60" spans="7:8">
      <c r="G60" s="10" t="str">
        <f t="shared" si="1"/>
        <v/>
      </c>
      <c r="H60" s="3" t="str">
        <f t="shared" si="3"/>
        <v/>
      </c>
    </row>
    <row r="61" spans="7:8">
      <c r="G61" s="10" t="str">
        <f t="shared" si="1"/>
        <v/>
      </c>
      <c r="H61" s="3" t="str">
        <f t="shared" si="3"/>
        <v/>
      </c>
    </row>
    <row r="62" spans="7:8">
      <c r="G62" s="10" t="str">
        <f t="shared" si="1"/>
        <v/>
      </c>
      <c r="H62" s="3" t="str">
        <f t="shared" si="3"/>
        <v/>
      </c>
    </row>
    <row r="63" spans="7:8">
      <c r="G63" s="10" t="str">
        <f t="shared" si="1"/>
        <v/>
      </c>
      <c r="H63" s="3" t="str">
        <f t="shared" si="3"/>
        <v/>
      </c>
    </row>
    <row r="64" spans="7:8">
      <c r="G64" s="10" t="str">
        <f t="shared" si="1"/>
        <v/>
      </c>
      <c r="H64" s="3" t="str">
        <f t="shared" si="3"/>
        <v/>
      </c>
    </row>
    <row r="65" spans="7:8">
      <c r="G65" s="10" t="str">
        <f t="shared" si="1"/>
        <v/>
      </c>
      <c r="H65" s="3" t="str">
        <f t="shared" si="3"/>
        <v/>
      </c>
    </row>
    <row r="66" spans="7:8">
      <c r="G66" s="10" t="str">
        <f t="shared" si="1"/>
        <v/>
      </c>
      <c r="H66" s="3" t="str">
        <f t="shared" si="3"/>
        <v/>
      </c>
    </row>
    <row r="67" spans="7:8">
      <c r="G67" s="10" t="str">
        <f t="shared" si="1"/>
        <v/>
      </c>
      <c r="H67" s="3" t="str">
        <f t="shared" si="3"/>
        <v/>
      </c>
    </row>
    <row r="68" spans="7:8">
      <c r="G68" s="10" t="str">
        <f t="shared" si="1"/>
        <v/>
      </c>
      <c r="H68" s="3" t="str">
        <f t="shared" si="3"/>
        <v/>
      </c>
    </row>
    <row r="69" spans="7:8">
      <c r="G69" s="10" t="str">
        <f t="shared" si="1"/>
        <v/>
      </c>
      <c r="H69" s="3" t="str">
        <f t="shared" si="3"/>
        <v/>
      </c>
    </row>
    <row r="70" spans="7:8">
      <c r="G70" s="10" t="str">
        <f t="shared" si="1"/>
        <v/>
      </c>
      <c r="H70" s="3" t="str">
        <f t="shared" si="3"/>
        <v/>
      </c>
    </row>
    <row r="71" spans="7:8">
      <c r="G71" s="10" t="str">
        <f t="shared" ref="G71:G105" si="4">IF(E71="","",1/E71)</f>
        <v/>
      </c>
      <c r="H71" s="3" t="str">
        <f t="shared" si="3"/>
        <v/>
      </c>
    </row>
    <row r="72" spans="7:8">
      <c r="G72" s="10" t="str">
        <f t="shared" si="4"/>
        <v/>
      </c>
      <c r="H72" s="3" t="str">
        <f t="shared" si="3"/>
        <v/>
      </c>
    </row>
    <row r="73" spans="7:8">
      <c r="G73" s="10" t="str">
        <f t="shared" si="4"/>
        <v/>
      </c>
      <c r="H73" s="3" t="str">
        <f t="shared" si="3"/>
        <v/>
      </c>
    </row>
    <row r="74" spans="7:8">
      <c r="G74" s="10" t="str">
        <f t="shared" si="4"/>
        <v/>
      </c>
      <c r="H74" s="3" t="str">
        <f t="shared" si="3"/>
        <v/>
      </c>
    </row>
    <row r="75" spans="7:8">
      <c r="G75" s="10" t="str">
        <f t="shared" si="4"/>
        <v/>
      </c>
      <c r="H75" s="3" t="str">
        <f t="shared" si="3"/>
        <v/>
      </c>
    </row>
    <row r="76" spans="7:8">
      <c r="G76" s="10" t="str">
        <f t="shared" si="4"/>
        <v/>
      </c>
      <c r="H76" s="3" t="str">
        <f t="shared" si="3"/>
        <v/>
      </c>
    </row>
    <row r="77" spans="7:8">
      <c r="G77" s="10" t="str">
        <f t="shared" si="4"/>
        <v/>
      </c>
      <c r="H77" s="3" t="str">
        <f t="shared" si="3"/>
        <v/>
      </c>
    </row>
    <row r="78" spans="7:8">
      <c r="G78" s="10" t="str">
        <f t="shared" si="4"/>
        <v/>
      </c>
      <c r="H78" s="3" t="str">
        <f t="shared" si="3"/>
        <v/>
      </c>
    </row>
    <row r="79" spans="7:8">
      <c r="G79" s="10" t="str">
        <f t="shared" si="4"/>
        <v/>
      </c>
      <c r="H79" s="3" t="str">
        <f t="shared" si="3"/>
        <v/>
      </c>
    </row>
    <row r="80" spans="7:8">
      <c r="G80" s="10" t="str">
        <f t="shared" si="4"/>
        <v/>
      </c>
      <c r="H80" s="3" t="str">
        <f t="shared" si="3"/>
        <v/>
      </c>
    </row>
    <row r="81" spans="7:8">
      <c r="G81" s="10" t="str">
        <f t="shared" si="4"/>
        <v/>
      </c>
      <c r="H81" s="3" t="str">
        <f t="shared" si="3"/>
        <v/>
      </c>
    </row>
    <row r="82" spans="7:8">
      <c r="G82" s="10" t="str">
        <f t="shared" si="4"/>
        <v/>
      </c>
      <c r="H82" s="3" t="str">
        <f t="shared" si="3"/>
        <v/>
      </c>
    </row>
    <row r="83" spans="7:8">
      <c r="G83" s="10" t="str">
        <f t="shared" si="4"/>
        <v/>
      </c>
      <c r="H83" s="3" t="str">
        <f t="shared" si="3"/>
        <v/>
      </c>
    </row>
    <row r="84" spans="7:8">
      <c r="G84" s="10" t="str">
        <f t="shared" si="4"/>
        <v/>
      </c>
      <c r="H84" s="3" t="str">
        <f t="shared" si="3"/>
        <v/>
      </c>
    </row>
    <row r="85" spans="7:8">
      <c r="G85" s="10" t="str">
        <f t="shared" si="4"/>
        <v/>
      </c>
      <c r="H85" s="3" t="str">
        <f t="shared" si="3"/>
        <v/>
      </c>
    </row>
    <row r="86" spans="7:8">
      <c r="G86" s="10" t="str">
        <f t="shared" si="4"/>
        <v/>
      </c>
      <c r="H86" s="3" t="str">
        <f t="shared" si="3"/>
        <v/>
      </c>
    </row>
    <row r="87" spans="7:8">
      <c r="G87" s="10" t="str">
        <f t="shared" si="4"/>
        <v/>
      </c>
      <c r="H87" s="3" t="str">
        <f t="shared" si="3"/>
        <v/>
      </c>
    </row>
    <row r="88" spans="7:8">
      <c r="G88" s="10" t="str">
        <f t="shared" si="4"/>
        <v/>
      </c>
      <c r="H88" s="3" t="str">
        <f t="shared" si="3"/>
        <v/>
      </c>
    </row>
    <row r="89" spans="7:8">
      <c r="G89" s="10" t="str">
        <f t="shared" si="4"/>
        <v/>
      </c>
      <c r="H89" s="3" t="str">
        <f t="shared" si="3"/>
        <v/>
      </c>
    </row>
    <row r="90" spans="7:8">
      <c r="G90" s="10" t="str">
        <f t="shared" si="4"/>
        <v/>
      </c>
      <c r="H90" s="3" t="str">
        <f t="shared" ref="H90:H105" si="5">IF(G90="","",D90*G90)</f>
        <v/>
      </c>
    </row>
    <row r="91" spans="7:8">
      <c r="G91" s="10" t="str">
        <f t="shared" si="4"/>
        <v/>
      </c>
      <c r="H91" s="3" t="str">
        <f t="shared" si="5"/>
        <v/>
      </c>
    </row>
    <row r="92" spans="7:8">
      <c r="G92" s="10" t="str">
        <f t="shared" si="4"/>
        <v/>
      </c>
      <c r="H92" s="3" t="str">
        <f t="shared" si="5"/>
        <v/>
      </c>
    </row>
    <row r="93" spans="7:8">
      <c r="G93" s="10" t="str">
        <f t="shared" si="4"/>
        <v/>
      </c>
      <c r="H93" s="3" t="str">
        <f t="shared" si="5"/>
        <v/>
      </c>
    </row>
    <row r="94" spans="7:8">
      <c r="G94" s="10" t="str">
        <f t="shared" si="4"/>
        <v/>
      </c>
      <c r="H94" s="3" t="str">
        <f t="shared" si="5"/>
        <v/>
      </c>
    </row>
    <row r="95" spans="7:8">
      <c r="G95" s="10" t="str">
        <f t="shared" si="4"/>
        <v/>
      </c>
      <c r="H95" s="3" t="str">
        <f t="shared" si="5"/>
        <v/>
      </c>
    </row>
    <row r="96" spans="7:8">
      <c r="G96" s="10" t="str">
        <f t="shared" si="4"/>
        <v/>
      </c>
      <c r="H96" s="3" t="str">
        <f t="shared" si="5"/>
        <v/>
      </c>
    </row>
    <row r="97" spans="7:8">
      <c r="G97" s="10" t="str">
        <f t="shared" si="4"/>
        <v/>
      </c>
      <c r="H97" s="3" t="str">
        <f t="shared" si="5"/>
        <v/>
      </c>
    </row>
    <row r="98" spans="7:8">
      <c r="G98" s="10" t="str">
        <f t="shared" si="4"/>
        <v/>
      </c>
      <c r="H98" s="3" t="str">
        <f t="shared" si="5"/>
        <v/>
      </c>
    </row>
    <row r="99" spans="7:8">
      <c r="G99" s="10" t="str">
        <f t="shared" si="4"/>
        <v/>
      </c>
      <c r="H99" s="3" t="str">
        <f t="shared" si="5"/>
        <v/>
      </c>
    </row>
    <row r="100" spans="7:8">
      <c r="G100" s="10" t="str">
        <f t="shared" si="4"/>
        <v/>
      </c>
      <c r="H100" s="3" t="str">
        <f t="shared" si="5"/>
        <v/>
      </c>
    </row>
    <row r="101" spans="7:8">
      <c r="G101" s="10" t="str">
        <f t="shared" si="4"/>
        <v/>
      </c>
      <c r="H101" s="3" t="str">
        <f t="shared" si="5"/>
        <v/>
      </c>
    </row>
    <row r="102" spans="7:8">
      <c r="G102" s="10" t="str">
        <f t="shared" si="4"/>
        <v/>
      </c>
      <c r="H102" s="3" t="str">
        <f t="shared" si="5"/>
        <v/>
      </c>
    </row>
    <row r="103" spans="7:8">
      <c r="G103" s="10" t="str">
        <f t="shared" si="4"/>
        <v/>
      </c>
      <c r="H103" s="3" t="str">
        <f t="shared" si="5"/>
        <v/>
      </c>
    </row>
    <row r="104" spans="7:8">
      <c r="G104" s="10" t="str">
        <f t="shared" si="4"/>
        <v/>
      </c>
      <c r="H104" s="3" t="str">
        <f t="shared" si="5"/>
        <v/>
      </c>
    </row>
    <row r="105" spans="7:8">
      <c r="G105" s="10" t="str">
        <f t="shared" si="4"/>
        <v/>
      </c>
      <c r="H105" s="3"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600-000000000000}">
          <x14:formula1>
            <xm:f>INDIRECT("tarieven!$A$3:$A$"&amp;tarieven!$A$1+3,TRUE)</xm:f>
          </x14:formula1>
          <xm:sqref>A7:A25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J105"/>
  <sheetViews>
    <sheetView workbookViewId="0">
      <selection activeCell="B14" sqref="B14"/>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547</v>
      </c>
    </row>
    <row r="4" spans="1:10" ht="17.100000000000001" thickBot="1">
      <c r="A4" s="54">
        <v>1</v>
      </c>
      <c r="B4" s="55" t="s">
        <v>535</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201610</v>
      </c>
      <c r="B7" t="str">
        <f ca="1">IF(A7=VLOOKUP(A7,INDIRECT("tarieven!$A$3:$D$"&amp;tarieven!$A$1+3,TRUE),1),VLOOKUP(A7,INDIRECT("tarieven!$A$3:$D$"&amp;tarieven!$A$1+3,TRUE),2),"")</f>
        <v>Schoonmaken oppervlak t.b.v. reparaties</v>
      </c>
      <c r="C7" t="str">
        <f ca="1">IF(A7=VLOOKUP(A7,INDIRECT("tarieven!$A$3:$D$"&amp;tarieven!$A$1+3,TRUE),1),VLOOKUP(A7,INDIRECT("tarieven!$A$3:$D$"&amp;tarieven!$A$1+3,TRUE),3),"")</f>
        <v>m2</v>
      </c>
      <c r="D7" s="3">
        <f ca="1">IF(A7=VLOOKUP(A7,INDIRECT("tarieven!$A$3:$D$"&amp;tarieven!$A$1+3,TRUE),1),VLOOKUP(A7,INDIRECT("tarieven!$A$3:$D$"&amp;tarieven!$A$1+3,TRUE),4),"")</f>
        <v>0.4</v>
      </c>
      <c r="E7" s="86">
        <v>1</v>
      </c>
      <c r="F7" s="6" t="str">
        <f t="shared" ref="F7:F26" ca="1" si="0">IF(C7="","",$C$4&amp;"/"&amp;C7)</f>
        <v>m2/m2</v>
      </c>
      <c r="G7" s="58">
        <f t="shared" ref="G7:G70" si="1">IF(E7="","",1/E7)</f>
        <v>1</v>
      </c>
      <c r="H7" s="2">
        <f ca="1">IF(D7="","",D7*G7)</f>
        <v>0.4</v>
      </c>
    </row>
    <row r="8" spans="1:10">
      <c r="A8" s="84">
        <v>100010</v>
      </c>
      <c r="B8" t="str">
        <f ca="1">IF(A8=VLOOKUP(A8,INDIRECT("tarieven!$A$3:$D$"&amp;tarieven!$A$1+3,TRUE),1),VLOOKUP(A8,INDIRECT("tarieven!$A$3:$D$"&amp;tarieven!$A$1+3,TRUE),2),"")</f>
        <v>arbeider/grondwerker/stratenmaker</v>
      </c>
      <c r="C8" t="str">
        <f ca="1">IF(A8=VLOOKUP(A8,INDIRECT("tarieven!$A$3:$D$"&amp;tarieven!$A$1+3,TRUE),1),VLOOKUP(A8,INDIRECT("tarieven!$A$3:$D$"&amp;tarieven!$A$1+3,TRUE),3),"")</f>
        <v>uur</v>
      </c>
      <c r="D8" s="3">
        <f ca="1">IF(A8=VLOOKUP(A8,INDIRECT("tarieven!$A$3:$D$"&amp;tarieven!$A$1+3,TRUE),1),VLOOKUP(A8,INDIRECT("tarieven!$A$3:$D$"&amp;tarieven!$A$1+3,TRUE),4),"")</f>
        <v>44.38</v>
      </c>
      <c r="E8" s="86">
        <v>0.5</v>
      </c>
      <c r="F8" s="6" t="str">
        <f t="shared" ca="1" si="0"/>
        <v>m2/uur</v>
      </c>
      <c r="G8" s="58">
        <f t="shared" si="1"/>
        <v>2</v>
      </c>
      <c r="H8" s="2">
        <f t="shared" ref="H8:H25" ca="1" si="2">IF(D8="","",D8*G8)</f>
        <v>88.76</v>
      </c>
    </row>
    <row r="9" spans="1:10">
      <c r="A9" s="84">
        <v>303220</v>
      </c>
      <c r="B9" t="str">
        <f ca="1">IF(A9=VLOOKUP(A9,INDIRECT("tarieven!$A$3:$D$"&amp;tarieven!$A$1+3,TRUE),1),VLOOKUP(A9,INDIRECT("tarieven!$A$3:$D$"&amp;tarieven!$A$1+3,TRUE),2),"")</f>
        <v xml:space="preserve">levering droge betonmortel </v>
      </c>
      <c r="C9" t="str">
        <f ca="1">IF(A9=VLOOKUP(A9,INDIRECT("tarieven!$A$3:$D$"&amp;tarieven!$A$1+3,TRUE),1),VLOOKUP(A9,INDIRECT("tarieven!$A$3:$D$"&amp;tarieven!$A$1+3,TRUE),3),"")</f>
        <v>m3</v>
      </c>
      <c r="D9" s="3">
        <f ca="1">IF(A9=VLOOKUP(A9,INDIRECT("tarieven!$A$3:$D$"&amp;tarieven!$A$1+3,TRUE),1),VLOOKUP(A9,INDIRECT("tarieven!$A$3:$D$"&amp;tarieven!$A$1+3,TRUE),4),"")</f>
        <v>185</v>
      </c>
      <c r="E9" s="86">
        <v>20</v>
      </c>
      <c r="F9" s="6" t="str">
        <f t="shared" ca="1" si="0"/>
        <v>m2/m3</v>
      </c>
      <c r="G9" s="58">
        <f t="shared" si="1"/>
        <v>0.05</v>
      </c>
      <c r="H9" s="2">
        <f t="shared" ca="1" si="2"/>
        <v>9.25</v>
      </c>
    </row>
    <row r="10" spans="1:10">
      <c r="A10" s="84" t="s">
        <v>6</v>
      </c>
      <c r="B10" t="str">
        <f ca="1">IF(A10=VLOOKUP(A10,INDIRECT("tarieven!$A$3:$D$"&amp;tarieven!$A$1+3,TRUE),1),VLOOKUP(A10,INDIRECT("tarieven!$A$3:$D$"&amp;tarieven!$A$1+3,TRUE),2),"")</f>
        <v/>
      </c>
      <c r="C10" t="str">
        <f ca="1">IF(A10=VLOOKUP(A10,INDIRECT("tarieven!$A$3:$D$"&amp;tarieven!$A$1+3,TRUE),1),VLOOKUP(A10,INDIRECT("tarieven!$A$3:$D$"&amp;tarieven!$A$1+3,TRUE),3),"")</f>
        <v/>
      </c>
      <c r="D10" s="3">
        <f ca="1">IF(A10=VLOOKUP(A10,INDIRECT("tarieven!$A$3:$D$"&amp;tarieven!$A$1+3,TRUE),1),VLOOKUP(A10,INDIRECT("tarieven!$A$3:$D$"&amp;tarieven!$A$1+3,TRUE),4),"")</f>
        <v>0</v>
      </c>
      <c r="E10" s="86"/>
      <c r="F10" s="6" t="str">
        <f t="shared" ca="1" si="0"/>
        <v/>
      </c>
      <c r="G10" s="58" t="str">
        <f t="shared" si="1"/>
        <v/>
      </c>
      <c r="H10" s="2" t="e">
        <f t="shared" ca="1" si="2"/>
        <v>#VALUE!</v>
      </c>
    </row>
    <row r="11" spans="1:10">
      <c r="A11" s="84" t="s">
        <v>6</v>
      </c>
      <c r="B11" t="str">
        <f ca="1">IF(A11=VLOOKUP(A11,INDIRECT("tarieven!$A$3:$D$"&amp;tarieven!$A$1+3,TRUE),1),VLOOKUP(A11,INDIRECT("tarieven!$A$3:$D$"&amp;tarieven!$A$1+3,TRUE),2),"")</f>
        <v/>
      </c>
      <c r="C11" t="str">
        <f ca="1">IF(A11=VLOOKUP(A11,INDIRECT("tarieven!$A$3:$D$"&amp;tarieven!$A$1+3,TRUE),1),VLOOKUP(A11,INDIRECT("tarieven!$A$3:$D$"&amp;tarieven!$A$1+3,TRUE),3),"")</f>
        <v/>
      </c>
      <c r="D11" s="3">
        <f ca="1">IF(A11=VLOOKUP(A11,INDIRECT("tarieven!$A$3:$D$"&amp;tarieven!$A$1+3,TRUE),1),VLOOKUP(A11,INDIRECT("tarieven!$A$3:$D$"&amp;tarieven!$A$1+3,TRUE),4),"")</f>
        <v>0</v>
      </c>
      <c r="E11" s="86"/>
      <c r="F11" s="6" t="str">
        <f t="shared" ca="1" si="0"/>
        <v/>
      </c>
      <c r="G11" s="58" t="str">
        <f t="shared" si="1"/>
        <v/>
      </c>
      <c r="H11" s="2" t="e">
        <f t="shared" ca="1" si="2"/>
        <v>#VALUE!</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f ca="1">IF(A12=VLOOKUP(A12,INDIRECT("tarieven!$A$3:$D$"&amp;tarieven!$A$1+3,TRUE),1),VLOOKUP(A12,INDIRECT("tarieven!$A$3:$D$"&amp;tarieven!$A$1+3,TRUE),4),"")</f>
        <v>0</v>
      </c>
      <c r="E12" s="86"/>
      <c r="F12" s="6" t="str">
        <f t="shared" ca="1" si="0"/>
        <v/>
      </c>
      <c r="G12" s="58" t="str">
        <f t="shared" si="1"/>
        <v/>
      </c>
      <c r="H12" s="2" t="e">
        <f t="shared" ca="1" si="2"/>
        <v>#VALUE!</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f ca="1">IF(A13=VLOOKUP(A13,INDIRECT("tarieven!$A$3:$D$"&amp;tarieven!$A$1+3,TRUE),1),VLOOKUP(A13,INDIRECT("tarieven!$A$3:$D$"&amp;tarieven!$A$1+3,TRUE),4),"")</f>
        <v>0</v>
      </c>
      <c r="E13" s="86"/>
      <c r="F13" s="6" t="str">
        <f t="shared" ca="1" si="0"/>
        <v/>
      </c>
      <c r="G13" s="58" t="str">
        <f t="shared" si="1"/>
        <v/>
      </c>
      <c r="H13" s="2" t="e">
        <f t="shared" ca="1" si="2"/>
        <v>#VALUE!</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6"/>
      <c r="F14" s="6" t="str">
        <f t="shared" ca="1" si="0"/>
        <v/>
      </c>
      <c r="G14" s="58" t="str">
        <f t="shared" si="1"/>
        <v/>
      </c>
      <c r="H14" s="2" t="e">
        <f t="shared" ca="1" si="2"/>
        <v>#VALUE!</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6"/>
      <c r="F15" s="6" t="str">
        <f t="shared" ca="1" si="0"/>
        <v/>
      </c>
      <c r="G15" s="58" t="str">
        <f t="shared" si="1"/>
        <v/>
      </c>
      <c r="H15" s="2" t="e">
        <f t="shared" ca="1" si="2"/>
        <v>#VALUE!</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6"/>
      <c r="F16" s="6" t="str">
        <f t="shared" ca="1" si="0"/>
        <v/>
      </c>
      <c r="G16" s="58" t="str">
        <f t="shared" si="1"/>
        <v/>
      </c>
      <c r="H16" s="2"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6"/>
      <c r="F17" s="6" t="str">
        <f t="shared" ca="1" si="0"/>
        <v/>
      </c>
      <c r="G17" s="58" t="str">
        <f t="shared" si="1"/>
        <v/>
      </c>
      <c r="H17" s="2"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6"/>
      <c r="F18" s="6" t="str">
        <f t="shared" ca="1" si="0"/>
        <v/>
      </c>
      <c r="G18" s="58" t="str">
        <f t="shared" si="1"/>
        <v/>
      </c>
      <c r="H18" s="2"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INDIRECT("tarieven!$A$3:$A$"&amp;tarieven!$A$1+3,TRUE)</xm:f>
          </x14:formula1>
          <xm:sqref>A7:A25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J105"/>
  <sheetViews>
    <sheetView workbookViewId="0">
      <selection activeCell="B14" sqref="B14"/>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547</v>
      </c>
    </row>
    <row r="4" spans="1:10" ht="17.100000000000001" thickBot="1">
      <c r="A4" s="54">
        <v>1</v>
      </c>
      <c r="B4" s="55" t="s">
        <v>537</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101020</v>
      </c>
      <c r="B7" t="str">
        <f ca="1">IF(A7=VLOOKUP(A7,INDIRECT("tarieven!$A$3:$D$"&amp;tarieven!$A$1+3,TRUE),1),VLOOKUP(A7,INDIRECT("tarieven!$A$3:$D$"&amp;tarieven!$A$1+3,TRUE),2),"")</f>
        <v>uitvoerder</v>
      </c>
      <c r="C7" t="str">
        <f ca="1">IF(A7=VLOOKUP(A7,INDIRECT("tarieven!$A$3:$D$"&amp;tarieven!$A$1+3,TRUE),1),VLOOKUP(A7,INDIRECT("tarieven!$A$3:$D$"&amp;tarieven!$A$1+3,TRUE),3),"")</f>
        <v>uur</v>
      </c>
      <c r="D7" s="3">
        <f ca="1">IF(A7=VLOOKUP(A7,INDIRECT("tarieven!$A$3:$D$"&amp;tarieven!$A$1+3,TRUE),1),VLOOKUP(A7,INDIRECT("tarieven!$A$3:$D$"&amp;tarieven!$A$1+3,TRUE),4),"")</f>
        <v>56.95</v>
      </c>
      <c r="E7" s="86">
        <f>2.5*7.5</f>
        <v>18.75</v>
      </c>
      <c r="F7" s="6" t="str">
        <f t="shared" ref="F7:F26" ca="1" si="0">IF(C7="","",$C$4&amp;"/"&amp;C7)</f>
        <v>m2/uur</v>
      </c>
      <c r="G7" s="58">
        <f t="shared" ref="G7:G70" si="1">IF(E7="","",1/E7)</f>
        <v>5.3333333333333337E-2</v>
      </c>
      <c r="H7" s="2">
        <f ca="1">IF(D7="","",D7*G7)</f>
        <v>3.0373333333333337</v>
      </c>
    </row>
    <row r="8" spans="1:10">
      <c r="A8" s="84">
        <v>300010</v>
      </c>
      <c r="B8" t="str">
        <f ca="1">IF(A8=VLOOKUP(A8,INDIRECT("tarieven!$A$3:$D$"&amp;tarieven!$A$1+3,TRUE),1),VLOOKUP(A8,INDIRECT("tarieven!$A$3:$D$"&amp;tarieven!$A$1+3,TRUE),2),"")</f>
        <v>mobiele (rups) kraan 2.500 incl. bak en benodigdheden</v>
      </c>
      <c r="C8" t="str">
        <f ca="1">IF(A8=VLOOKUP(A8,INDIRECT("tarieven!$A$3:$D$"&amp;tarieven!$A$1+3,TRUE),1),VLOOKUP(A8,INDIRECT("tarieven!$A$3:$D$"&amp;tarieven!$A$1+3,TRUE),3),"")</f>
        <v>uur</v>
      </c>
      <c r="D8" s="3">
        <f ca="1">IF(A8=VLOOKUP(A8,INDIRECT("tarieven!$A$3:$D$"&amp;tarieven!$A$1+3,TRUE),1),VLOOKUP(A8,INDIRECT("tarieven!$A$3:$D$"&amp;tarieven!$A$1+3,TRUE),4),"")</f>
        <v>94.4</v>
      </c>
      <c r="E8" s="86">
        <f>2.5*7.5</f>
        <v>18.75</v>
      </c>
      <c r="F8" s="6" t="str">
        <f t="shared" ca="1" si="0"/>
        <v>m2/uur</v>
      </c>
      <c r="G8" s="58">
        <f t="shared" si="1"/>
        <v>5.3333333333333337E-2</v>
      </c>
      <c r="H8" s="2">
        <f t="shared" ref="H8:H25" ca="1" si="2">IF(D8="","",D8*G8)</f>
        <v>5.0346666666666673</v>
      </c>
    </row>
    <row r="9" spans="1:10">
      <c r="A9" s="84">
        <v>300030</v>
      </c>
      <c r="B9" t="str">
        <f ca="1">IF(A9=VLOOKUP(A9,INDIRECT("tarieven!$A$3:$D$"&amp;tarieven!$A$1+3,TRUE),1),VLOOKUP(A9,INDIRECT("tarieven!$A$3:$D$"&amp;tarieven!$A$1+3,TRUE),2),"")</f>
        <v xml:space="preserve">vrachtwagen 10x 8 </v>
      </c>
      <c r="C9" t="str">
        <f ca="1">IF(A9=VLOOKUP(A9,INDIRECT("tarieven!$A$3:$D$"&amp;tarieven!$A$1+3,TRUE),1),VLOOKUP(A9,INDIRECT("tarieven!$A$3:$D$"&amp;tarieven!$A$1+3,TRUE),3),"")</f>
        <v>uur</v>
      </c>
      <c r="D9" s="3">
        <f ca="1">IF(A9=VLOOKUP(A9,INDIRECT("tarieven!$A$3:$D$"&amp;tarieven!$A$1+3,TRUE),1),VLOOKUP(A9,INDIRECT("tarieven!$A$3:$D$"&amp;tarieven!$A$1+3,TRUE),4),"")</f>
        <v>102.25</v>
      </c>
      <c r="E9" s="86">
        <f>2.5*7.5</f>
        <v>18.75</v>
      </c>
      <c r="F9" s="6" t="str">
        <f t="shared" ca="1" si="0"/>
        <v>m2/uur</v>
      </c>
      <c r="G9" s="58">
        <f t="shared" si="1"/>
        <v>5.3333333333333337E-2</v>
      </c>
      <c r="H9" s="2">
        <f t="shared" ca="1" si="2"/>
        <v>5.453333333333334</v>
      </c>
    </row>
    <row r="10" spans="1:10">
      <c r="A10" s="84">
        <v>201610</v>
      </c>
      <c r="B10" t="str">
        <f ca="1">IF(A10=VLOOKUP(A10,INDIRECT("tarieven!$A$3:$D$"&amp;tarieven!$A$1+3,TRUE),1),VLOOKUP(A10,INDIRECT("tarieven!$A$3:$D$"&amp;tarieven!$A$1+3,TRUE),2),"")</f>
        <v>Schoonmaken oppervlak t.b.v. reparaties</v>
      </c>
      <c r="C10" t="str">
        <f ca="1">IF(A10=VLOOKUP(A10,INDIRECT("tarieven!$A$3:$D$"&amp;tarieven!$A$1+3,TRUE),1),VLOOKUP(A10,INDIRECT("tarieven!$A$3:$D$"&amp;tarieven!$A$1+3,TRUE),3),"")</f>
        <v>m2</v>
      </c>
      <c r="D10" s="3">
        <f ca="1">IF(A10=VLOOKUP(A10,INDIRECT("tarieven!$A$3:$D$"&amp;tarieven!$A$1+3,TRUE),1),VLOOKUP(A10,INDIRECT("tarieven!$A$3:$D$"&amp;tarieven!$A$1+3,TRUE),4),"")</f>
        <v>0.4</v>
      </c>
      <c r="E10" s="86">
        <v>1</v>
      </c>
      <c r="F10" s="6" t="str">
        <f t="shared" ca="1" si="0"/>
        <v>m2/m2</v>
      </c>
      <c r="G10" s="58">
        <f t="shared" si="1"/>
        <v>1</v>
      </c>
      <c r="H10" s="2">
        <f t="shared" ca="1" si="2"/>
        <v>0.4</v>
      </c>
    </row>
    <row r="11" spans="1:10">
      <c r="A11" s="84">
        <v>303110</v>
      </c>
      <c r="B11" t="str">
        <f ca="1">IF(A11=VLOOKUP(A11,INDIRECT("tarieven!$A$3:$D$"&amp;tarieven!$A$1+3,TRUE),1),VLOOKUP(A11,INDIRECT("tarieven!$A$3:$D$"&amp;tarieven!$A$1+3,TRUE),2),"")</f>
        <v>betonpomp 40m3/u</v>
      </c>
      <c r="C11" t="str">
        <f ca="1">IF(A11=VLOOKUP(A11,INDIRECT("tarieven!$A$3:$D$"&amp;tarieven!$A$1+3,TRUE),1),VLOOKUP(A11,INDIRECT("tarieven!$A$3:$D$"&amp;tarieven!$A$1+3,TRUE),3),"")</f>
        <v>dag</v>
      </c>
      <c r="D11" s="3">
        <f ca="1">IF(A11=VLOOKUP(A11,INDIRECT("tarieven!$A$3:$D$"&amp;tarieven!$A$1+3,TRUE),1),VLOOKUP(A11,INDIRECT("tarieven!$A$3:$D$"&amp;tarieven!$A$1+3,TRUE),4),"")</f>
        <v>1100</v>
      </c>
      <c r="E11" s="86">
        <f>40*8/0.5</f>
        <v>640</v>
      </c>
      <c r="F11" s="6" t="str">
        <f t="shared" ca="1" si="0"/>
        <v>m2/dag</v>
      </c>
      <c r="G11" s="58">
        <f t="shared" si="1"/>
        <v>1.5625000000000001E-3</v>
      </c>
      <c r="H11" s="2">
        <f t="shared" ca="1" si="2"/>
        <v>1.71875</v>
      </c>
    </row>
    <row r="12" spans="1:10">
      <c r="A12" s="84">
        <v>303010</v>
      </c>
      <c r="B12" t="str">
        <f ca="1">IF(A12=VLOOKUP(A12,INDIRECT("tarieven!$A$3:$D$"&amp;tarieven!$A$1+3,TRUE),1),VLOOKUP(A12,INDIRECT("tarieven!$A$3:$D$"&amp;tarieven!$A$1+3,TRUE),2),"")</f>
        <v>slipformpaver fietspad machine(+ aan- en afvoerkosten)</v>
      </c>
      <c r="C12" t="str">
        <f ca="1">IF(A12=VLOOKUP(A12,INDIRECT("tarieven!$A$3:$D$"&amp;tarieven!$A$1+3,TRUE),1),VLOOKUP(A12,INDIRECT("tarieven!$A$3:$D$"&amp;tarieven!$A$1+3,TRUE),3),"")</f>
        <v>dag</v>
      </c>
      <c r="D12" s="3">
        <f ca="1">IF(A12=VLOOKUP(A12,INDIRECT("tarieven!$A$3:$D$"&amp;tarieven!$A$1+3,TRUE),1),VLOOKUP(A12,INDIRECT("tarieven!$A$3:$D$"&amp;tarieven!$A$1+3,TRUE),4),"")</f>
        <v>4000</v>
      </c>
      <c r="E12" s="86">
        <f>2.5*7.5*4</f>
        <v>75</v>
      </c>
      <c r="F12" s="6" t="str">
        <f t="shared" ca="1" si="0"/>
        <v>m2/dag</v>
      </c>
      <c r="G12" s="58">
        <f t="shared" si="1"/>
        <v>1.3333333333333334E-2</v>
      </c>
      <c r="H12" s="2">
        <f t="shared" ca="1" si="2"/>
        <v>53.333333333333336</v>
      </c>
    </row>
    <row r="13" spans="1:10">
      <c r="A13" s="84">
        <v>100010</v>
      </c>
      <c r="B13" t="str">
        <f ca="1">IF(A13=VLOOKUP(A13,INDIRECT("tarieven!$A$3:$D$"&amp;tarieven!$A$1+3,TRUE),1),VLOOKUP(A13,INDIRECT("tarieven!$A$3:$D$"&amp;tarieven!$A$1+3,TRUE),2),"")</f>
        <v>arbeider/grondwerker/stratenmaker</v>
      </c>
      <c r="C13" t="str">
        <f ca="1">IF(A13=VLOOKUP(A13,INDIRECT("tarieven!$A$3:$D$"&amp;tarieven!$A$1+3,TRUE),1),VLOOKUP(A13,INDIRECT("tarieven!$A$3:$D$"&amp;tarieven!$A$1+3,TRUE),3),"")</f>
        <v>uur</v>
      </c>
      <c r="D13" s="3">
        <f ca="1">IF(A13=VLOOKUP(A13,INDIRECT("tarieven!$A$3:$D$"&amp;tarieven!$A$1+3,TRUE),1),VLOOKUP(A13,INDIRECT("tarieven!$A$3:$D$"&amp;tarieven!$A$1+3,TRUE),4),"")</f>
        <v>44.38</v>
      </c>
      <c r="E13" s="86">
        <f>2.5*7.5*4*3</f>
        <v>225</v>
      </c>
      <c r="F13" s="6" t="str">
        <f t="shared" ca="1" si="0"/>
        <v>m2/uur</v>
      </c>
      <c r="G13" s="58">
        <f t="shared" si="1"/>
        <v>4.4444444444444444E-3</v>
      </c>
      <c r="H13" s="2">
        <f t="shared" ca="1" si="2"/>
        <v>0.19724444444444444</v>
      </c>
    </row>
    <row r="14" spans="1:10">
      <c r="A14" s="84">
        <v>303210</v>
      </c>
      <c r="B14" t="str">
        <f ca="1">IF(A14=VLOOKUP(A14,INDIRECT("tarieven!$A$3:$D$"&amp;tarieven!$A$1+3,TRUE),1),VLOOKUP(A14,INDIRECT("tarieven!$A$3:$D$"&amp;tarieven!$A$1+3,TRUE),2),"")</f>
        <v>levering betonmortel, C28/35, CEM III, XF4, C1, grind 4-32mm</v>
      </c>
      <c r="C14" t="str">
        <f ca="1">IF(A14=VLOOKUP(A14,INDIRECT("tarieven!$A$3:$D$"&amp;tarieven!$A$1+3,TRUE),1),VLOOKUP(A14,INDIRECT("tarieven!$A$3:$D$"&amp;tarieven!$A$1+3,TRUE),3),"")</f>
        <v>m3</v>
      </c>
      <c r="D14" s="3">
        <f ca="1">IF(A14=VLOOKUP(A14,INDIRECT("tarieven!$A$3:$D$"&amp;tarieven!$A$1+3,TRUE),1),VLOOKUP(A14,INDIRECT("tarieven!$A$3:$D$"&amp;tarieven!$A$1+3,TRUE),4),"")</f>
        <v>120.35</v>
      </c>
      <c r="E14" s="86">
        <v>5</v>
      </c>
      <c r="F14" s="6" t="str">
        <f t="shared" ca="1" si="0"/>
        <v>m2/m3</v>
      </c>
      <c r="G14" s="58">
        <f t="shared" si="1"/>
        <v>0.2</v>
      </c>
      <c r="H14" s="2">
        <f t="shared" ca="1" si="2"/>
        <v>24.07</v>
      </c>
    </row>
    <row r="15" spans="1:10">
      <c r="A15" s="84">
        <v>401010</v>
      </c>
      <c r="B15" t="str">
        <f ca="1">IF(A15=VLOOKUP(A15,INDIRECT("tarieven!$A$3:$D$"&amp;tarieven!$A$1+3,TRUE),1),VLOOKUP(A15,INDIRECT("tarieven!$A$3:$D$"&amp;tarieven!$A$1+3,TRUE),2),"")</f>
        <v/>
      </c>
      <c r="C15" t="str">
        <f ca="1">IF(A15=VLOOKUP(A15,INDIRECT("tarieven!$A$3:$D$"&amp;tarieven!$A$1+3,TRUE),1),VLOOKUP(A15,INDIRECT("tarieven!$A$3:$D$"&amp;tarieven!$A$1+3,TRUE),3),"")</f>
        <v/>
      </c>
      <c r="D15" s="3" t="str">
        <f ca="1">IF(A15=VLOOKUP(A15,INDIRECT("tarieven!$A$3:$D$"&amp;tarieven!$A$1+3,TRUE),1),VLOOKUP(A15,INDIRECT("tarieven!$A$3:$D$"&amp;tarieven!$A$1+3,TRUE),4),"")</f>
        <v/>
      </c>
      <c r="E15" s="86">
        <f>75*2</f>
        <v>150</v>
      </c>
      <c r="F15" s="6" t="str">
        <f t="shared" ca="1" si="0"/>
        <v/>
      </c>
      <c r="G15" s="58">
        <f t="shared" si="1"/>
        <v>6.6666666666666671E-3</v>
      </c>
      <c r="H15" s="2" t="str">
        <f t="shared" ca="1" si="2"/>
        <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6"/>
      <c r="F16" s="6" t="str">
        <f t="shared" ca="1" si="0"/>
        <v/>
      </c>
      <c r="G16" s="58" t="str">
        <f t="shared" si="1"/>
        <v/>
      </c>
      <c r="H16" s="2"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6"/>
      <c r="F17" s="6" t="str">
        <f t="shared" ca="1" si="0"/>
        <v/>
      </c>
      <c r="G17" s="58" t="str">
        <f t="shared" si="1"/>
        <v/>
      </c>
      <c r="H17" s="2"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6"/>
      <c r="F18" s="6" t="str">
        <f t="shared" ca="1" si="0"/>
        <v/>
      </c>
      <c r="G18" s="58" t="str">
        <f t="shared" si="1"/>
        <v/>
      </c>
      <c r="H18" s="2"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INDIRECT("tarieven!$A$3:$A$"&amp;tarieven!$A$1+3,TRUE)</xm:f>
          </x14:formula1>
          <xm:sqref>A7:A25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J105"/>
  <sheetViews>
    <sheetView workbookViewId="0">
      <selection activeCell="B14" sqref="B14"/>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547</v>
      </c>
    </row>
    <row r="4" spans="1:10" ht="33" thickBot="1">
      <c r="A4" s="54">
        <v>1</v>
      </c>
      <c r="B4" s="55" t="s">
        <v>541</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304210</v>
      </c>
      <c r="B7" t="str">
        <f ca="1">IF(A7=VLOOKUP(A7,INDIRECT("tarieven!$A$3:$D$"&amp;tarieven!$A$1+3,TRUE),1),VLOOKUP(A7,INDIRECT("tarieven!$A$3:$D$"&amp;tarieven!$A$1+3,TRUE),2),"")</f>
        <v>Herstraten open verhardingen (plaatselijk)</v>
      </c>
      <c r="C7" t="str">
        <f ca="1">IF(A7=VLOOKUP(A7,INDIRECT("tarieven!$A$3:$D$"&amp;tarieven!$A$1+3,TRUE),1),VLOOKUP(A7,INDIRECT("tarieven!$A$3:$D$"&amp;tarieven!$A$1+3,TRUE),3),"")</f>
        <v>m2</v>
      </c>
      <c r="D7" s="3">
        <f ca="1">IF(A7=VLOOKUP(A7,INDIRECT("tarieven!$A$3:$D$"&amp;tarieven!$A$1+3,TRUE),1),VLOOKUP(A7,INDIRECT("tarieven!$A$3:$D$"&amp;tarieven!$A$1+3,TRUE),4),"")</f>
        <v>20.7</v>
      </c>
      <c r="E7" s="86">
        <v>1</v>
      </c>
      <c r="F7" s="6" t="str">
        <f t="shared" ref="F7:F26" ca="1" si="0">IF(C7="","",$C$4&amp;"/"&amp;C7)</f>
        <v>m2/m2</v>
      </c>
      <c r="G7" s="58">
        <f t="shared" ref="G7:G70" si="1">IF(E7="","",1/E7)</f>
        <v>1</v>
      </c>
      <c r="H7" s="2">
        <f ca="1">IF(D7="","",D7*G7)</f>
        <v>20.7</v>
      </c>
    </row>
    <row r="8" spans="1:10">
      <c r="A8" s="84" t="s">
        <v>6</v>
      </c>
      <c r="B8" t="str">
        <f ca="1">IF(A8=VLOOKUP(A8,INDIRECT("tarieven!$A$3:$D$"&amp;tarieven!$A$1+3,TRUE),1),VLOOKUP(A8,INDIRECT("tarieven!$A$3:$D$"&amp;tarieven!$A$1+3,TRUE),2),"")</f>
        <v/>
      </c>
      <c r="C8" t="str">
        <f ca="1">IF(A8=VLOOKUP(A8,INDIRECT("tarieven!$A$3:$D$"&amp;tarieven!$A$1+3,TRUE),1),VLOOKUP(A8,INDIRECT("tarieven!$A$3:$D$"&amp;tarieven!$A$1+3,TRUE),3),"")</f>
        <v/>
      </c>
      <c r="D8" s="3">
        <f ca="1">IF(A8=VLOOKUP(A8,INDIRECT("tarieven!$A$3:$D$"&amp;tarieven!$A$1+3,TRUE),1),VLOOKUP(A8,INDIRECT("tarieven!$A$3:$D$"&amp;tarieven!$A$1+3,TRUE),4),"")</f>
        <v>0</v>
      </c>
      <c r="E8" s="86"/>
      <c r="F8" s="6" t="str">
        <f t="shared" ca="1" si="0"/>
        <v/>
      </c>
      <c r="G8" s="58" t="str">
        <f t="shared" si="1"/>
        <v/>
      </c>
      <c r="H8" s="2" t="e">
        <f t="shared" ref="H8:H25" ca="1" si="2">IF(D8="","",D8*G8)</f>
        <v>#VALUE!</v>
      </c>
    </row>
    <row r="9" spans="1:10">
      <c r="A9" s="84" t="s">
        <v>6</v>
      </c>
      <c r="B9" t="str">
        <f ca="1">IF(A9=VLOOKUP(A9,INDIRECT("tarieven!$A$3:$D$"&amp;tarieven!$A$1+3,TRUE),1),VLOOKUP(A9,INDIRECT("tarieven!$A$3:$D$"&amp;tarieven!$A$1+3,TRUE),2),"")</f>
        <v/>
      </c>
      <c r="C9" t="str">
        <f ca="1">IF(A9=VLOOKUP(A9,INDIRECT("tarieven!$A$3:$D$"&amp;tarieven!$A$1+3,TRUE),1),VLOOKUP(A9,INDIRECT("tarieven!$A$3:$D$"&amp;tarieven!$A$1+3,TRUE),3),"")</f>
        <v/>
      </c>
      <c r="D9" s="3">
        <f ca="1">IF(A9=VLOOKUP(A9,INDIRECT("tarieven!$A$3:$D$"&amp;tarieven!$A$1+3,TRUE),1),VLOOKUP(A9,INDIRECT("tarieven!$A$3:$D$"&amp;tarieven!$A$1+3,TRUE),4),"")</f>
        <v>0</v>
      </c>
      <c r="E9" s="86"/>
      <c r="F9" s="6" t="str">
        <f t="shared" ca="1" si="0"/>
        <v/>
      </c>
      <c r="G9" s="58" t="str">
        <f t="shared" si="1"/>
        <v/>
      </c>
      <c r="H9" s="2" t="e">
        <f t="shared" ca="1" si="2"/>
        <v>#VALUE!</v>
      </c>
    </row>
    <row r="10" spans="1:10">
      <c r="A10" s="84" t="s">
        <v>6</v>
      </c>
      <c r="B10" t="str">
        <f ca="1">IF(A10=VLOOKUP(A10,INDIRECT("tarieven!$A$3:$D$"&amp;tarieven!$A$1+3,TRUE),1),VLOOKUP(A10,INDIRECT("tarieven!$A$3:$D$"&amp;tarieven!$A$1+3,TRUE),2),"")</f>
        <v/>
      </c>
      <c r="C10" t="str">
        <f ca="1">IF(A10=VLOOKUP(A10,INDIRECT("tarieven!$A$3:$D$"&amp;tarieven!$A$1+3,TRUE),1),VLOOKUP(A10,INDIRECT("tarieven!$A$3:$D$"&amp;tarieven!$A$1+3,TRUE),3),"")</f>
        <v/>
      </c>
      <c r="D10" s="3">
        <f ca="1">IF(A10=VLOOKUP(A10,INDIRECT("tarieven!$A$3:$D$"&amp;tarieven!$A$1+3,TRUE),1),VLOOKUP(A10,INDIRECT("tarieven!$A$3:$D$"&amp;tarieven!$A$1+3,TRUE),4),"")</f>
        <v>0</v>
      </c>
      <c r="E10" s="86"/>
      <c r="F10" s="6" t="str">
        <f t="shared" ca="1" si="0"/>
        <v/>
      </c>
      <c r="G10" s="58" t="str">
        <f t="shared" si="1"/>
        <v/>
      </c>
      <c r="H10" s="2" t="e">
        <f t="shared" ca="1" si="2"/>
        <v>#VALUE!</v>
      </c>
    </row>
    <row r="11" spans="1:10">
      <c r="A11" s="84" t="s">
        <v>6</v>
      </c>
      <c r="B11" t="str">
        <f ca="1">IF(A11=VLOOKUP(A11,INDIRECT("tarieven!$A$3:$D$"&amp;tarieven!$A$1+3,TRUE),1),VLOOKUP(A11,INDIRECT("tarieven!$A$3:$D$"&amp;tarieven!$A$1+3,TRUE),2),"")</f>
        <v/>
      </c>
      <c r="C11" t="str">
        <f ca="1">IF(A11=VLOOKUP(A11,INDIRECT("tarieven!$A$3:$D$"&amp;tarieven!$A$1+3,TRUE),1),VLOOKUP(A11,INDIRECT("tarieven!$A$3:$D$"&amp;tarieven!$A$1+3,TRUE),3),"")</f>
        <v/>
      </c>
      <c r="D11" s="3">
        <f ca="1">IF(A11=VLOOKUP(A11,INDIRECT("tarieven!$A$3:$D$"&amp;tarieven!$A$1+3,TRUE),1),VLOOKUP(A11,INDIRECT("tarieven!$A$3:$D$"&amp;tarieven!$A$1+3,TRUE),4),"")</f>
        <v>0</v>
      </c>
      <c r="E11" s="86"/>
      <c r="F11" s="6" t="str">
        <f t="shared" ca="1" si="0"/>
        <v/>
      </c>
      <c r="G11" s="58" t="str">
        <f t="shared" si="1"/>
        <v/>
      </c>
      <c r="H11" s="2" t="e">
        <f t="shared" ca="1" si="2"/>
        <v>#VALUE!</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f ca="1">IF(A12=VLOOKUP(A12,INDIRECT("tarieven!$A$3:$D$"&amp;tarieven!$A$1+3,TRUE),1),VLOOKUP(A12,INDIRECT("tarieven!$A$3:$D$"&amp;tarieven!$A$1+3,TRUE),4),"")</f>
        <v>0</v>
      </c>
      <c r="E12" s="86"/>
      <c r="F12" s="6" t="str">
        <f t="shared" ca="1" si="0"/>
        <v/>
      </c>
      <c r="G12" s="58" t="str">
        <f t="shared" si="1"/>
        <v/>
      </c>
      <c r="H12" s="2" t="e">
        <f t="shared" ca="1" si="2"/>
        <v>#VALUE!</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f ca="1">IF(A13=VLOOKUP(A13,INDIRECT("tarieven!$A$3:$D$"&amp;tarieven!$A$1+3,TRUE),1),VLOOKUP(A13,INDIRECT("tarieven!$A$3:$D$"&amp;tarieven!$A$1+3,TRUE),4),"")</f>
        <v>0</v>
      </c>
      <c r="E13" s="86"/>
      <c r="F13" s="6" t="str">
        <f t="shared" ca="1" si="0"/>
        <v/>
      </c>
      <c r="G13" s="58" t="str">
        <f t="shared" si="1"/>
        <v/>
      </c>
      <c r="H13" s="2" t="e">
        <f t="shared" ca="1" si="2"/>
        <v>#VALUE!</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6"/>
      <c r="F14" s="6" t="str">
        <f t="shared" ca="1" si="0"/>
        <v/>
      </c>
      <c r="G14" s="58" t="str">
        <f t="shared" si="1"/>
        <v/>
      </c>
      <c r="H14" s="2" t="e">
        <f t="shared" ca="1" si="2"/>
        <v>#VALUE!</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6"/>
      <c r="F15" s="6" t="str">
        <f t="shared" ca="1" si="0"/>
        <v/>
      </c>
      <c r="G15" s="58" t="str">
        <f t="shared" si="1"/>
        <v/>
      </c>
      <c r="H15" s="2" t="e">
        <f t="shared" ca="1" si="2"/>
        <v>#VALUE!</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6"/>
      <c r="F16" s="6" t="str">
        <f t="shared" ca="1" si="0"/>
        <v/>
      </c>
      <c r="G16" s="58" t="str">
        <f t="shared" si="1"/>
        <v/>
      </c>
      <c r="H16" s="2"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6"/>
      <c r="F17" s="6" t="str">
        <f t="shared" ca="1" si="0"/>
        <v/>
      </c>
      <c r="G17" s="58" t="str">
        <f t="shared" si="1"/>
        <v/>
      </c>
      <c r="H17" s="2"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6"/>
      <c r="F18" s="6" t="str">
        <f t="shared" ca="1" si="0"/>
        <v/>
      </c>
      <c r="G18" s="58" t="str">
        <f t="shared" si="1"/>
        <v/>
      </c>
      <c r="H18" s="2"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INDIRECT("tarieven!$A$3:$A$"&amp;tarieven!$A$1+3,TRUE)</xm:f>
          </x14:formula1>
          <xm:sqref>A7:A25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J105"/>
  <sheetViews>
    <sheetView workbookViewId="0">
      <selection activeCell="B14" sqref="B14"/>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547</v>
      </c>
    </row>
    <row r="4" spans="1:10" ht="17.100000000000001" thickBot="1">
      <c r="A4" s="54">
        <v>1</v>
      </c>
      <c r="B4" s="55" t="s">
        <v>542</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304220</v>
      </c>
      <c r="B7" t="str">
        <f ca="1">IF(A7=VLOOKUP(A7,INDIRECT("tarieven!$A$3:$D$"&amp;tarieven!$A$1+3,TRUE),1),VLOOKUP(A7,INDIRECT("tarieven!$A$3:$D$"&amp;tarieven!$A$1+3,TRUE),2),"")</f>
        <v>Herstraten open verhardingen (geheel)</v>
      </c>
      <c r="C7" t="str">
        <f ca="1">IF(A7=VLOOKUP(A7,INDIRECT("tarieven!$A$3:$D$"&amp;tarieven!$A$1+3,TRUE),1),VLOOKUP(A7,INDIRECT("tarieven!$A$3:$D$"&amp;tarieven!$A$1+3,TRUE),3),"")</f>
        <v>m2</v>
      </c>
      <c r="D7" s="3">
        <f ca="1">IF(A7=VLOOKUP(A7,INDIRECT("tarieven!$A$3:$D$"&amp;tarieven!$A$1+3,TRUE),1),VLOOKUP(A7,INDIRECT("tarieven!$A$3:$D$"&amp;tarieven!$A$1+3,TRUE),4),"")</f>
        <v>15.9</v>
      </c>
      <c r="E7" s="86">
        <v>1</v>
      </c>
      <c r="F7" s="6" t="str">
        <f t="shared" ref="F7:F26" ca="1" si="0">IF(C7="","",$C$4&amp;"/"&amp;C7)</f>
        <v>m2/m2</v>
      </c>
      <c r="G7" s="58">
        <f t="shared" ref="G7:G70" si="1">IF(E7="","",1/E7)</f>
        <v>1</v>
      </c>
      <c r="H7" s="2">
        <f ca="1">IF(D7="","",D7*G7)</f>
        <v>15.9</v>
      </c>
    </row>
    <row r="8" spans="1:10">
      <c r="A8" s="84" t="s">
        <v>6</v>
      </c>
      <c r="B8" t="str">
        <f ca="1">IF(A8=VLOOKUP(A8,INDIRECT("tarieven!$A$3:$D$"&amp;tarieven!$A$1+3,TRUE),1),VLOOKUP(A8,INDIRECT("tarieven!$A$3:$D$"&amp;tarieven!$A$1+3,TRUE),2),"")</f>
        <v/>
      </c>
      <c r="C8" t="str">
        <f ca="1">IF(A8=VLOOKUP(A8,INDIRECT("tarieven!$A$3:$D$"&amp;tarieven!$A$1+3,TRUE),1),VLOOKUP(A8,INDIRECT("tarieven!$A$3:$D$"&amp;tarieven!$A$1+3,TRUE),3),"")</f>
        <v/>
      </c>
      <c r="D8" s="3">
        <f ca="1">IF(A8=VLOOKUP(A8,INDIRECT("tarieven!$A$3:$D$"&amp;tarieven!$A$1+3,TRUE),1),VLOOKUP(A8,INDIRECT("tarieven!$A$3:$D$"&amp;tarieven!$A$1+3,TRUE),4),"")</f>
        <v>0</v>
      </c>
      <c r="E8" s="86"/>
      <c r="F8" s="6" t="str">
        <f t="shared" ca="1" si="0"/>
        <v/>
      </c>
      <c r="G8" s="58" t="str">
        <f t="shared" si="1"/>
        <v/>
      </c>
      <c r="H8" s="2" t="e">
        <f t="shared" ref="H8:H25" ca="1" si="2">IF(D8="","",D8*G8)</f>
        <v>#VALUE!</v>
      </c>
    </row>
    <row r="9" spans="1:10">
      <c r="A9" s="84" t="s">
        <v>6</v>
      </c>
      <c r="B9" t="str">
        <f ca="1">IF(A9=VLOOKUP(A9,INDIRECT("tarieven!$A$3:$D$"&amp;tarieven!$A$1+3,TRUE),1),VLOOKUP(A9,INDIRECT("tarieven!$A$3:$D$"&amp;tarieven!$A$1+3,TRUE),2),"")</f>
        <v/>
      </c>
      <c r="C9" t="str">
        <f ca="1">IF(A9=VLOOKUP(A9,INDIRECT("tarieven!$A$3:$D$"&amp;tarieven!$A$1+3,TRUE),1),VLOOKUP(A9,INDIRECT("tarieven!$A$3:$D$"&amp;tarieven!$A$1+3,TRUE),3),"")</f>
        <v/>
      </c>
      <c r="D9" s="3">
        <f ca="1">IF(A9=VLOOKUP(A9,INDIRECT("tarieven!$A$3:$D$"&amp;tarieven!$A$1+3,TRUE),1),VLOOKUP(A9,INDIRECT("tarieven!$A$3:$D$"&amp;tarieven!$A$1+3,TRUE),4),"")</f>
        <v>0</v>
      </c>
      <c r="E9" s="86"/>
      <c r="F9" s="6" t="str">
        <f t="shared" ca="1" si="0"/>
        <v/>
      </c>
      <c r="G9" s="58" t="str">
        <f t="shared" si="1"/>
        <v/>
      </c>
      <c r="H9" s="2" t="e">
        <f t="shared" ca="1" si="2"/>
        <v>#VALUE!</v>
      </c>
    </row>
    <row r="10" spans="1:10">
      <c r="A10" s="84" t="s">
        <v>6</v>
      </c>
      <c r="B10" t="str">
        <f ca="1">IF(A10=VLOOKUP(A10,INDIRECT("tarieven!$A$3:$D$"&amp;tarieven!$A$1+3,TRUE),1),VLOOKUP(A10,INDIRECT("tarieven!$A$3:$D$"&amp;tarieven!$A$1+3,TRUE),2),"")</f>
        <v/>
      </c>
      <c r="C10" t="str">
        <f ca="1">IF(A10=VLOOKUP(A10,INDIRECT("tarieven!$A$3:$D$"&amp;tarieven!$A$1+3,TRUE),1),VLOOKUP(A10,INDIRECT("tarieven!$A$3:$D$"&amp;tarieven!$A$1+3,TRUE),3),"")</f>
        <v/>
      </c>
      <c r="D10" s="3">
        <f ca="1">IF(A10=VLOOKUP(A10,INDIRECT("tarieven!$A$3:$D$"&amp;tarieven!$A$1+3,TRUE),1),VLOOKUP(A10,INDIRECT("tarieven!$A$3:$D$"&amp;tarieven!$A$1+3,TRUE),4),"")</f>
        <v>0</v>
      </c>
      <c r="E10" s="86"/>
      <c r="F10" s="6" t="str">
        <f t="shared" ca="1" si="0"/>
        <v/>
      </c>
      <c r="G10" s="58" t="str">
        <f t="shared" si="1"/>
        <v/>
      </c>
      <c r="H10" s="2" t="e">
        <f t="shared" ca="1" si="2"/>
        <v>#VALUE!</v>
      </c>
    </row>
    <row r="11" spans="1:10">
      <c r="A11" s="84" t="s">
        <v>6</v>
      </c>
      <c r="B11" t="str">
        <f ca="1">IF(A11=VLOOKUP(A11,INDIRECT("tarieven!$A$3:$D$"&amp;tarieven!$A$1+3,TRUE),1),VLOOKUP(A11,INDIRECT("tarieven!$A$3:$D$"&amp;tarieven!$A$1+3,TRUE),2),"")</f>
        <v/>
      </c>
      <c r="C11" t="str">
        <f ca="1">IF(A11=VLOOKUP(A11,INDIRECT("tarieven!$A$3:$D$"&amp;tarieven!$A$1+3,TRUE),1),VLOOKUP(A11,INDIRECT("tarieven!$A$3:$D$"&amp;tarieven!$A$1+3,TRUE),3),"")</f>
        <v/>
      </c>
      <c r="D11" s="3">
        <f ca="1">IF(A11=VLOOKUP(A11,INDIRECT("tarieven!$A$3:$D$"&amp;tarieven!$A$1+3,TRUE),1),VLOOKUP(A11,INDIRECT("tarieven!$A$3:$D$"&amp;tarieven!$A$1+3,TRUE),4),"")</f>
        <v>0</v>
      </c>
      <c r="E11" s="86"/>
      <c r="F11" s="6" t="str">
        <f t="shared" ca="1" si="0"/>
        <v/>
      </c>
      <c r="G11" s="58" t="str">
        <f t="shared" si="1"/>
        <v/>
      </c>
      <c r="H11" s="2" t="e">
        <f t="shared" ca="1" si="2"/>
        <v>#VALUE!</v>
      </c>
    </row>
    <row r="12" spans="1:10">
      <c r="A12" s="84" t="s">
        <v>6</v>
      </c>
      <c r="B12" t="str">
        <f ca="1">IF(A12=VLOOKUP(A12,INDIRECT("tarieven!$A$3:$D$"&amp;tarieven!$A$1+3,TRUE),1),VLOOKUP(A12,INDIRECT("tarieven!$A$3:$D$"&amp;tarieven!$A$1+3,TRUE),2),"")</f>
        <v/>
      </c>
      <c r="C12" t="str">
        <f ca="1">IF(A12=VLOOKUP(A12,INDIRECT("tarieven!$A$3:$D$"&amp;tarieven!$A$1+3,TRUE),1),VLOOKUP(A12,INDIRECT("tarieven!$A$3:$D$"&amp;tarieven!$A$1+3,TRUE),3),"")</f>
        <v/>
      </c>
      <c r="D12" s="3">
        <f ca="1">IF(A12=VLOOKUP(A12,INDIRECT("tarieven!$A$3:$D$"&amp;tarieven!$A$1+3,TRUE),1),VLOOKUP(A12,INDIRECT("tarieven!$A$3:$D$"&amp;tarieven!$A$1+3,TRUE),4),"")</f>
        <v>0</v>
      </c>
      <c r="E12" s="86"/>
      <c r="F12" s="6" t="str">
        <f t="shared" ca="1" si="0"/>
        <v/>
      </c>
      <c r="G12" s="58" t="str">
        <f t="shared" si="1"/>
        <v/>
      </c>
      <c r="H12" s="2" t="e">
        <f t="shared" ca="1" si="2"/>
        <v>#VALUE!</v>
      </c>
    </row>
    <row r="13" spans="1:10">
      <c r="A13" s="84" t="s">
        <v>6</v>
      </c>
      <c r="B13" t="str">
        <f ca="1">IF(A13=VLOOKUP(A13,INDIRECT("tarieven!$A$3:$D$"&amp;tarieven!$A$1+3,TRUE),1),VLOOKUP(A13,INDIRECT("tarieven!$A$3:$D$"&amp;tarieven!$A$1+3,TRUE),2),"")</f>
        <v/>
      </c>
      <c r="C13" t="str">
        <f ca="1">IF(A13=VLOOKUP(A13,INDIRECT("tarieven!$A$3:$D$"&amp;tarieven!$A$1+3,TRUE),1),VLOOKUP(A13,INDIRECT("tarieven!$A$3:$D$"&amp;tarieven!$A$1+3,TRUE),3),"")</f>
        <v/>
      </c>
      <c r="D13" s="3">
        <f ca="1">IF(A13=VLOOKUP(A13,INDIRECT("tarieven!$A$3:$D$"&amp;tarieven!$A$1+3,TRUE),1),VLOOKUP(A13,INDIRECT("tarieven!$A$3:$D$"&amp;tarieven!$A$1+3,TRUE),4),"")</f>
        <v>0</v>
      </c>
      <c r="E13" s="86"/>
      <c r="F13" s="6" t="str">
        <f t="shared" ca="1" si="0"/>
        <v/>
      </c>
      <c r="G13" s="58" t="str">
        <f t="shared" si="1"/>
        <v/>
      </c>
      <c r="H13" s="2" t="e">
        <f t="shared" ca="1" si="2"/>
        <v>#VALUE!</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6"/>
      <c r="F14" s="6" t="str">
        <f t="shared" ca="1" si="0"/>
        <v/>
      </c>
      <c r="G14" s="58" t="str">
        <f t="shared" si="1"/>
        <v/>
      </c>
      <c r="H14" s="2" t="e">
        <f t="shared" ca="1" si="2"/>
        <v>#VALUE!</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6"/>
      <c r="F15" s="6" t="str">
        <f t="shared" ca="1" si="0"/>
        <v/>
      </c>
      <c r="G15" s="58" t="str">
        <f t="shared" si="1"/>
        <v/>
      </c>
      <c r="H15" s="2" t="e">
        <f t="shared" ca="1" si="2"/>
        <v>#VALUE!</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6"/>
      <c r="F16" s="6" t="str">
        <f t="shared" ca="1" si="0"/>
        <v/>
      </c>
      <c r="G16" s="58" t="str">
        <f t="shared" si="1"/>
        <v/>
      </c>
      <c r="H16" s="2" t="e">
        <f t="shared" ca="1" si="2"/>
        <v>#VALUE!</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6"/>
      <c r="F17" s="6" t="str">
        <f t="shared" ca="1" si="0"/>
        <v/>
      </c>
      <c r="G17" s="58" t="str">
        <f t="shared" si="1"/>
        <v/>
      </c>
      <c r="H17" s="2" t="e">
        <f t="shared" ca="1" si="2"/>
        <v>#VALUE!</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6"/>
      <c r="F18" s="6" t="str">
        <f t="shared" ca="1" si="0"/>
        <v/>
      </c>
      <c r="G18" s="58" t="str">
        <f t="shared" si="1"/>
        <v/>
      </c>
      <c r="H18" s="2" t="e">
        <f t="shared" ca="1" si="2"/>
        <v>#VALUE!</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INDIRECT("tarieven!$A$3:$A$"&amp;tarieven!$A$1+3,TRUE)</xm:f>
          </x14:formula1>
          <xm:sqref>A7:A25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J105"/>
  <sheetViews>
    <sheetView workbookViewId="0">
      <selection activeCell="B14" sqref="B14"/>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547</v>
      </c>
    </row>
    <row r="4" spans="1:10" ht="33" thickBot="1">
      <c r="A4" s="54">
        <v>1</v>
      </c>
      <c r="B4" s="55" t="s">
        <v>543</v>
      </c>
      <c r="C4" s="54" t="s">
        <v>362</v>
      </c>
      <c r="D4" s="56" t="e">
        <f ca="1">SUM(H7:H25)</f>
        <v>#VALUE!</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102030</v>
      </c>
      <c r="B7" t="str">
        <f ca="1">IF(A7=VLOOKUP(A7,INDIRECT("tarieven!$A$3:$D$"&amp;tarieven!$A$1+3,TRUE),1),VLOOKUP(A7,INDIRECT("tarieven!$A$3:$D$"&amp;tarieven!$A$1+3,TRUE),2),"")</f>
        <v>machinist/chauffeur</v>
      </c>
      <c r="C7" t="str">
        <f ca="1">IF(A7=VLOOKUP(A7,INDIRECT("tarieven!$A$3:$D$"&amp;tarieven!$A$1+3,TRUE),1),VLOOKUP(A7,INDIRECT("tarieven!$A$3:$D$"&amp;tarieven!$A$1+3,TRUE),3),"")</f>
        <v>uur</v>
      </c>
      <c r="D7" s="3">
        <f ca="1">IF(A7=VLOOKUP(A7,INDIRECT("tarieven!$A$3:$D$"&amp;tarieven!$A$1+3,TRUE),1),VLOOKUP(A7,INDIRECT("tarieven!$A$3:$D$"&amp;tarieven!$A$1+3,TRUE),4),"")</f>
        <v>43.34</v>
      </c>
      <c r="E7" s="86">
        <v>100</v>
      </c>
      <c r="F7" s="6" t="str">
        <f t="shared" ref="F7:F26" ca="1" si="0">IF(C7="","",$C$4&amp;"/"&amp;C7)</f>
        <v>m2/uur</v>
      </c>
      <c r="G7" s="58">
        <f t="shared" ref="G7:G70" si="1">IF(E7="","",1/E7)</f>
        <v>0.01</v>
      </c>
      <c r="H7" s="2">
        <f ca="1">IF(D7="","",D7*G7)</f>
        <v>0.43340000000000006</v>
      </c>
    </row>
    <row r="8" spans="1:10">
      <c r="A8" s="84">
        <v>300020</v>
      </c>
      <c r="B8" t="str">
        <f ca="1">IF(A8=VLOOKUP(A8,INDIRECT("tarieven!$A$3:$D$"&amp;tarieven!$A$1+3,TRUE),1),VLOOKUP(A8,INDIRECT("tarieven!$A$3:$D$"&amp;tarieven!$A$1+3,TRUE),2),"")</f>
        <v>laadschop 2.500 liter incl</v>
      </c>
      <c r="C8" t="str">
        <f ca="1">IF(A8=VLOOKUP(A8,INDIRECT("tarieven!$A$3:$D$"&amp;tarieven!$A$1+3,TRUE),1),VLOOKUP(A8,INDIRECT("tarieven!$A$3:$D$"&amp;tarieven!$A$1+3,TRUE),3),"")</f>
        <v>uur</v>
      </c>
      <c r="D8" s="3">
        <f ca="1">IF(A8=VLOOKUP(A8,INDIRECT("tarieven!$A$3:$D$"&amp;tarieven!$A$1+3,TRUE),1),VLOOKUP(A8,INDIRECT("tarieven!$A$3:$D$"&amp;tarieven!$A$1+3,TRUE),4),"")</f>
        <v>82.6</v>
      </c>
      <c r="E8" s="86">
        <v>100</v>
      </c>
      <c r="F8" s="6" t="str">
        <f t="shared" ca="1" si="0"/>
        <v>m2/uur</v>
      </c>
      <c r="G8" s="58">
        <f t="shared" si="1"/>
        <v>0.01</v>
      </c>
      <c r="H8" s="2">
        <f t="shared" ref="H8:H25" ca="1" si="2">IF(D8="","",D8*G8)</f>
        <v>0.82599999999999996</v>
      </c>
    </row>
    <row r="9" spans="1:10">
      <c r="A9" s="84">
        <v>304120</v>
      </c>
      <c r="B9" t="str">
        <f ca="1">IF(A9=VLOOKUP(A9,INDIRECT("tarieven!$A$3:$D$"&amp;tarieven!$A$1+3,TRUE),1),VLOOKUP(A9,INDIRECT("tarieven!$A$3:$D$"&amp;tarieven!$A$1+3,TRUE),2),"")</f>
        <v>Opbreken open verhardingen (machinaal)</v>
      </c>
      <c r="C9" t="str">
        <f ca="1">IF(A9=VLOOKUP(A9,INDIRECT("tarieven!$A$3:$D$"&amp;tarieven!$A$1+3,TRUE),1),VLOOKUP(A9,INDIRECT("tarieven!$A$3:$D$"&amp;tarieven!$A$1+3,TRUE),3),"")</f>
        <v>m2</v>
      </c>
      <c r="D9" s="3">
        <f ca="1">IF(A9=VLOOKUP(A9,INDIRECT("tarieven!$A$3:$D$"&amp;tarieven!$A$1+3,TRUE),1),VLOOKUP(A9,INDIRECT("tarieven!$A$3:$D$"&amp;tarieven!$A$1+3,TRUE),4),"")</f>
        <v>2.64</v>
      </c>
      <c r="E9" s="86">
        <v>1</v>
      </c>
      <c r="F9" s="6" t="str">
        <f t="shared" ca="1" si="0"/>
        <v>m2/m2</v>
      </c>
      <c r="G9" s="58">
        <f t="shared" si="1"/>
        <v>1</v>
      </c>
      <c r="H9" s="2">
        <f t="shared" ca="1" si="2"/>
        <v>2.64</v>
      </c>
    </row>
    <row r="10" spans="1:10">
      <c r="A10" s="84">
        <v>100010</v>
      </c>
      <c r="B10" t="str">
        <f ca="1">IF(A10=VLOOKUP(A10,INDIRECT("tarieven!$A$3:$D$"&amp;tarieven!$A$1+3,TRUE),1),VLOOKUP(A10,INDIRECT("tarieven!$A$3:$D$"&amp;tarieven!$A$1+3,TRUE),2),"")</f>
        <v>arbeider/grondwerker/stratenmaker</v>
      </c>
      <c r="C10" t="str">
        <f ca="1">IF(A10=VLOOKUP(A10,INDIRECT("tarieven!$A$3:$D$"&amp;tarieven!$A$1+3,TRUE),1),VLOOKUP(A10,INDIRECT("tarieven!$A$3:$D$"&amp;tarieven!$A$1+3,TRUE),3),"")</f>
        <v>uur</v>
      </c>
      <c r="D10" s="3">
        <f ca="1">IF(A10=VLOOKUP(A10,INDIRECT("tarieven!$A$3:$D$"&amp;tarieven!$A$1+3,TRUE),1),VLOOKUP(A10,INDIRECT("tarieven!$A$3:$D$"&amp;tarieven!$A$1+3,TRUE),4),"")</f>
        <v>44.38</v>
      </c>
      <c r="E10" s="86">
        <v>225</v>
      </c>
      <c r="F10" s="6" t="str">
        <f t="shared" ca="1" si="0"/>
        <v>m2/uur</v>
      </c>
      <c r="G10" s="58">
        <f t="shared" si="1"/>
        <v>4.4444444444444444E-3</v>
      </c>
      <c r="H10" s="2">
        <f t="shared" ca="1" si="2"/>
        <v>0.19724444444444444</v>
      </c>
    </row>
    <row r="11" spans="1:10">
      <c r="A11" s="84">
        <v>200440</v>
      </c>
      <c r="B11" t="str">
        <f ca="1">IF(A11=VLOOKUP(A11,INDIRECT("tarieven!$A$3:$D$"&amp;tarieven!$A$1+3,TRUE),1),VLOOKUP(A11,INDIRECT("tarieven!$A$3:$D$"&amp;tarieven!$A$1+3,TRUE),2),"")</f>
        <v>Fundering van puin (200mm) en straatzand (50mm) verwijderen</v>
      </c>
      <c r="C11" t="str">
        <f ca="1">IF(A11=VLOOKUP(A11,INDIRECT("tarieven!$A$3:$D$"&amp;tarieven!$A$1+3,TRUE),1),VLOOKUP(A11,INDIRECT("tarieven!$A$3:$D$"&amp;tarieven!$A$1+3,TRUE),3),"")</f>
        <v>m2</v>
      </c>
      <c r="D11" s="3">
        <f ca="1">IF(A11=VLOOKUP(A11,INDIRECT("tarieven!$A$3:$D$"&amp;tarieven!$A$1+3,TRUE),1),VLOOKUP(A11,INDIRECT("tarieven!$A$3:$D$"&amp;tarieven!$A$1+3,TRUE),4),"")</f>
        <v>3.8825000000000003</v>
      </c>
      <c r="E11" s="86">
        <v>1</v>
      </c>
      <c r="F11" s="6" t="str">
        <f t="shared" ca="1" si="0"/>
        <v>m2/m2</v>
      </c>
      <c r="G11" s="58">
        <f t="shared" si="1"/>
        <v>1</v>
      </c>
      <c r="H11" s="2">
        <f t="shared" ca="1" si="2"/>
        <v>3.8825000000000003</v>
      </c>
    </row>
    <row r="12" spans="1:10">
      <c r="A12" s="84">
        <v>200410</v>
      </c>
      <c r="B12" t="str">
        <f ca="1">IF(A12=VLOOKUP(A12,INDIRECT("tarieven!$A$3:$D$"&amp;tarieven!$A$1+3,TRUE),1),VLOOKUP(A12,INDIRECT("tarieven!$A$3:$D$"&amp;tarieven!$A$1+3,TRUE),2),"")</f>
        <v xml:space="preserve">Fundering van zand verwijderen (0,50m) </v>
      </c>
      <c r="C12" t="str">
        <f ca="1">IF(A12=VLOOKUP(A12,INDIRECT("tarieven!$A$3:$D$"&amp;tarieven!$A$1+3,TRUE),1),VLOOKUP(A12,INDIRECT("tarieven!$A$3:$D$"&amp;tarieven!$A$1+3,TRUE),3),"")</f>
        <v>m2</v>
      </c>
      <c r="D12" s="3">
        <f ca="1">IF(A12=VLOOKUP(A12,INDIRECT("tarieven!$A$3:$D$"&amp;tarieven!$A$1+3,TRUE),1),VLOOKUP(A12,INDIRECT("tarieven!$A$3:$D$"&amp;tarieven!$A$1+3,TRUE),4),"")</f>
        <v>5.2650000000000006</v>
      </c>
      <c r="E12" s="86">
        <v>1</v>
      </c>
      <c r="F12" s="6" t="str">
        <f t="shared" ca="1" si="0"/>
        <v>m2/m2</v>
      </c>
      <c r="G12" s="58">
        <f t="shared" si="1"/>
        <v>1</v>
      </c>
      <c r="H12" s="2">
        <f t="shared" ca="1" si="2"/>
        <v>5.2650000000000006</v>
      </c>
    </row>
    <row r="13" spans="1:10">
      <c r="A13" s="84">
        <v>310010</v>
      </c>
      <c r="B13" t="str">
        <f ca="1">IF(A13=VLOOKUP(A13,INDIRECT("tarieven!$A$3:$D$"&amp;tarieven!$A$1+3,TRUE),1),VLOOKUP(A13,INDIRECT("tarieven!$A$3:$D$"&amp;tarieven!$A$1+3,TRUE),2),"")</f>
        <v>Aanbrengen zand in zandbed</v>
      </c>
      <c r="C13" t="str">
        <f ca="1">IF(A13=VLOOKUP(A13,INDIRECT("tarieven!$A$3:$D$"&amp;tarieven!$A$1+3,TRUE),1),VLOOKUP(A13,INDIRECT("tarieven!$A$3:$D$"&amp;tarieven!$A$1+3,TRUE),3),"")</f>
        <v>m2</v>
      </c>
      <c r="D13" s="3">
        <f ca="1">IF(A13=VLOOKUP(A13,INDIRECT("tarieven!$A$3:$D$"&amp;tarieven!$A$1+3,TRUE),1),VLOOKUP(A13,INDIRECT("tarieven!$A$3:$D$"&amp;tarieven!$A$1+3,TRUE),4),"")</f>
        <v>0</v>
      </c>
      <c r="E13" s="86">
        <v>1</v>
      </c>
      <c r="F13" s="6" t="str">
        <f t="shared" ca="1" si="0"/>
        <v>m2/m2</v>
      </c>
      <c r="G13" s="58">
        <f t="shared" si="1"/>
        <v>1</v>
      </c>
      <c r="H13" s="2">
        <f t="shared" ca="1" si="2"/>
        <v>0</v>
      </c>
    </row>
    <row r="14" spans="1:10">
      <c r="A14" s="84">
        <v>310120</v>
      </c>
      <c r="B14" t="str">
        <f ca="1">IF(A14=VLOOKUP(A14,INDIRECT("tarieven!$A$3:$D$"&amp;tarieven!$A$1+3,TRUE),1),VLOOKUP(A14,INDIRECT("tarieven!$A$3:$D$"&amp;tarieven!$A$1+3,TRUE),2),"")</f>
        <v>Aanbrengen fundering 250mm betongranulaat</v>
      </c>
      <c r="C14" t="str">
        <f ca="1">IF(A14=VLOOKUP(A14,INDIRECT("tarieven!$A$3:$D$"&amp;tarieven!$A$1+3,TRUE),1),VLOOKUP(A14,INDIRECT("tarieven!$A$3:$D$"&amp;tarieven!$A$1+3,TRUE),3),"")</f>
        <v>m2</v>
      </c>
      <c r="D14" s="3">
        <f ca="1">IF(A14=VLOOKUP(A14,INDIRECT("tarieven!$A$3:$D$"&amp;tarieven!$A$1+3,TRUE),1),VLOOKUP(A14,INDIRECT("tarieven!$A$3:$D$"&amp;tarieven!$A$1+3,TRUE),4),"")</f>
        <v>6.07</v>
      </c>
      <c r="E14" s="86">
        <v>1</v>
      </c>
      <c r="F14" s="6" t="str">
        <f t="shared" ca="1" si="0"/>
        <v>m2/m2</v>
      </c>
      <c r="G14" s="58">
        <f t="shared" si="1"/>
        <v>1</v>
      </c>
      <c r="H14" s="2">
        <f t="shared" ca="1" si="2"/>
        <v>6.07</v>
      </c>
    </row>
    <row r="15" spans="1:10">
      <c r="A15" s="84">
        <v>310130</v>
      </c>
      <c r="B15" t="str">
        <f ca="1">IF(A15=VLOOKUP(A15,INDIRECT("tarieven!$A$3:$D$"&amp;tarieven!$A$1+3,TRUE),1),VLOOKUP(A15,INDIRECT("tarieven!$A$3:$D$"&amp;tarieven!$A$1+3,TRUE),2),"")</f>
        <v/>
      </c>
      <c r="C15" t="str">
        <f ca="1">IF(A15=VLOOKUP(A15,INDIRECT("tarieven!$A$3:$D$"&amp;tarieven!$A$1+3,TRUE),1),VLOOKUP(A15,INDIRECT("tarieven!$A$3:$D$"&amp;tarieven!$A$1+3,TRUE),3),"")</f>
        <v/>
      </c>
      <c r="D15" s="3" t="str">
        <f ca="1">IF(A15=VLOOKUP(A15,INDIRECT("tarieven!$A$3:$D$"&amp;tarieven!$A$1+3,TRUE),1),VLOOKUP(A15,INDIRECT("tarieven!$A$3:$D$"&amp;tarieven!$A$1+3,TRUE),4),"")</f>
        <v/>
      </c>
      <c r="E15" s="86">
        <v>1</v>
      </c>
      <c r="F15" s="6" t="str">
        <f t="shared" ca="1" si="0"/>
        <v/>
      </c>
      <c r="G15" s="58">
        <f t="shared" si="1"/>
        <v>1</v>
      </c>
      <c r="H15" s="2" t="str">
        <f t="shared" ca="1" si="2"/>
        <v/>
      </c>
    </row>
    <row r="16" spans="1:10">
      <c r="A16" s="84">
        <v>300060</v>
      </c>
      <c r="B16" t="str">
        <f ca="1">IF(A16=VLOOKUP(A16,INDIRECT("tarieven!$A$3:$D$"&amp;tarieven!$A$1+3,TRUE),1),VLOOKUP(A16,INDIRECT("tarieven!$A$3:$D$"&amp;tarieven!$A$1+3,TRUE),2),"")</f>
        <v>trilwals (+ aan en afvoerkosten)</v>
      </c>
      <c r="C16" t="str">
        <f ca="1">IF(A16=VLOOKUP(A16,INDIRECT("tarieven!$A$3:$D$"&amp;tarieven!$A$1+3,TRUE),1),VLOOKUP(A16,INDIRECT("tarieven!$A$3:$D$"&amp;tarieven!$A$1+3,TRUE),3),"")</f>
        <v>dag</v>
      </c>
      <c r="D16" s="3">
        <f ca="1">IF(A16=VLOOKUP(A16,INDIRECT("tarieven!$A$3:$D$"&amp;tarieven!$A$1+3,TRUE),1),VLOOKUP(A16,INDIRECT("tarieven!$A$3:$D$"&amp;tarieven!$A$1+3,TRUE),4),"")</f>
        <v>775</v>
      </c>
      <c r="E16" s="86">
        <v>2000</v>
      </c>
      <c r="F16" s="6" t="str">
        <f t="shared" ca="1" si="0"/>
        <v>m2/dag</v>
      </c>
      <c r="G16" s="58">
        <f t="shared" si="1"/>
        <v>5.0000000000000001E-4</v>
      </c>
      <c r="H16" s="2">
        <f t="shared" ca="1" si="2"/>
        <v>0.38750000000000001</v>
      </c>
    </row>
    <row r="17" spans="1:8">
      <c r="A17" s="84">
        <v>102030</v>
      </c>
      <c r="B17" t="str">
        <f ca="1">IF(A17=VLOOKUP(A17,INDIRECT("tarieven!$A$3:$D$"&amp;tarieven!$A$1+3,TRUE),1),VLOOKUP(A17,INDIRECT("tarieven!$A$3:$D$"&amp;tarieven!$A$1+3,TRUE),2),"")</f>
        <v>machinist/chauffeur</v>
      </c>
      <c r="C17" t="str">
        <f ca="1">IF(A17=VLOOKUP(A17,INDIRECT("tarieven!$A$3:$D$"&amp;tarieven!$A$1+3,TRUE),1),VLOOKUP(A17,INDIRECT("tarieven!$A$3:$D$"&amp;tarieven!$A$1+3,TRUE),3),"")</f>
        <v>uur</v>
      </c>
      <c r="D17" s="3">
        <f ca="1">IF(A17=VLOOKUP(A17,INDIRECT("tarieven!$A$3:$D$"&amp;tarieven!$A$1+3,TRUE),1),VLOOKUP(A17,INDIRECT("tarieven!$A$3:$D$"&amp;tarieven!$A$1+3,TRUE),4),"")</f>
        <v>43.34</v>
      </c>
      <c r="E17" s="86">
        <v>250</v>
      </c>
      <c r="F17" s="6" t="str">
        <f t="shared" ca="1" si="0"/>
        <v>m2/uur</v>
      </c>
      <c r="G17" s="58">
        <f t="shared" si="1"/>
        <v>4.0000000000000001E-3</v>
      </c>
      <c r="H17" s="2">
        <f t="shared" ca="1" si="2"/>
        <v>0.17336000000000001</v>
      </c>
    </row>
    <row r="18" spans="1:8">
      <c r="A18" s="84">
        <v>304320</v>
      </c>
      <c r="B18" t="str">
        <f ca="1">IF(A18=VLOOKUP(A18,INDIRECT("tarieven!$A$3:$D$"&amp;tarieven!$A$1+3,TRUE),1),VLOOKUP(A18,INDIRECT("tarieven!$A$3:$D$"&amp;tarieven!$A$1+3,TRUE),2),"")</f>
        <v>Machinaal bestraten open verharding (nieuw materiaal)</v>
      </c>
      <c r="C18" t="str">
        <f ca="1">IF(A18=VLOOKUP(A18,INDIRECT("tarieven!$A$3:$D$"&amp;tarieven!$A$1+3,TRUE),1),VLOOKUP(A18,INDIRECT("tarieven!$A$3:$D$"&amp;tarieven!$A$1+3,TRUE),3),"")</f>
        <v>m2</v>
      </c>
      <c r="D18" s="3">
        <f ca="1">IF(A18=VLOOKUP(A18,INDIRECT("tarieven!$A$3:$D$"&amp;tarieven!$A$1+3,TRUE),1),VLOOKUP(A18,INDIRECT("tarieven!$A$3:$D$"&amp;tarieven!$A$1+3,TRUE),4),"")</f>
        <v>19.75</v>
      </c>
      <c r="E18" s="86">
        <v>1</v>
      </c>
      <c r="F18" s="6" t="str">
        <f t="shared" ca="1" si="0"/>
        <v>m2/m2</v>
      </c>
      <c r="G18" s="58">
        <f t="shared" si="1"/>
        <v>1</v>
      </c>
      <c r="H18" s="2">
        <f t="shared" ca="1" si="2"/>
        <v>19.75</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6"/>
      <c r="F19" s="6" t="str">
        <f t="shared" ca="1" si="0"/>
        <v/>
      </c>
      <c r="G19" s="58" t="str">
        <f t="shared" si="1"/>
        <v/>
      </c>
      <c r="H19" s="2" t="e">
        <f t="shared" ca="1" si="2"/>
        <v>#VALUE!</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6"/>
      <c r="F20" s="6" t="str">
        <f t="shared" ca="1" si="0"/>
        <v/>
      </c>
      <c r="G20" s="58" t="str">
        <f t="shared" si="1"/>
        <v/>
      </c>
      <c r="H20" s="2" t="e">
        <f t="shared" ca="1" si="2"/>
        <v>#VALUE!</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6"/>
      <c r="F21" s="6" t="str">
        <f t="shared" ca="1" si="0"/>
        <v/>
      </c>
      <c r="G21" s="58" t="str">
        <f t="shared" si="1"/>
        <v/>
      </c>
      <c r="H21" s="2" t="e">
        <f t="shared" ca="1" si="2"/>
        <v>#VALUE!</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6"/>
      <c r="F22" s="6" t="str">
        <f t="shared" ca="1" si="0"/>
        <v/>
      </c>
      <c r="G22" s="58" t="str">
        <f t="shared" si="1"/>
        <v/>
      </c>
      <c r="H22" s="2" t="e">
        <f t="shared" ca="1" si="2"/>
        <v>#VALUE!</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6"/>
      <c r="F23" s="6" t="str">
        <f t="shared" ca="1" si="0"/>
        <v/>
      </c>
      <c r="G23" s="58" t="str">
        <f t="shared" si="1"/>
        <v/>
      </c>
      <c r="H23" s="2" t="e">
        <f t="shared" ca="1" si="2"/>
        <v>#VALUE!</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6"/>
      <c r="F24" s="6" t="str">
        <f t="shared" ca="1" si="0"/>
        <v/>
      </c>
      <c r="G24" s="58" t="str">
        <f t="shared" si="1"/>
        <v/>
      </c>
      <c r="H24" s="2" t="e">
        <f t="shared" ca="1" si="2"/>
        <v>#VALUE!</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6"/>
      <c r="F25" s="6" t="str">
        <f t="shared" ca="1" si="0"/>
        <v/>
      </c>
      <c r="G25" s="58" t="str">
        <f t="shared" si="1"/>
        <v/>
      </c>
      <c r="H25" s="2" t="e">
        <f t="shared" ca="1" si="2"/>
        <v>#VALUE!</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sheetProtection selectLockedCells="1" selectUnlockedCells="1"/>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0000000}">
          <x14:formula1>
            <xm:f>INDIRECT("tarieven!$A$3:$A$"&amp;tarieven!$A$1+3,TRUE)</xm:f>
          </x14:formula1>
          <xm:sqref>A7:A25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48576"/>
  <sheetViews>
    <sheetView topLeftCell="F39" zoomScale="70" zoomScaleNormal="70" workbookViewId="0">
      <selection activeCell="I63" sqref="I63"/>
    </sheetView>
  </sheetViews>
  <sheetFormatPr defaultColWidth="8.875" defaultRowHeight="15"/>
  <cols>
    <col min="2" max="2" width="27.5" customWidth="1"/>
    <col min="3" max="4" width="16.125" customWidth="1"/>
    <col min="5" max="5" width="19.125" bestFit="1" customWidth="1"/>
    <col min="6" max="6" width="20" bestFit="1" customWidth="1"/>
    <col min="7" max="7" width="24.375" bestFit="1" customWidth="1"/>
    <col min="8" max="8" width="17.5" bestFit="1" customWidth="1"/>
    <col min="9" max="9" width="23.875" bestFit="1" customWidth="1"/>
    <col min="10" max="10" width="19.5" style="184" customWidth="1"/>
    <col min="11" max="11" width="56.625" style="229" customWidth="1"/>
    <col min="12" max="12" width="16.5" style="261" bestFit="1" customWidth="1"/>
  </cols>
  <sheetData>
    <row r="1" spans="1:26" ht="15.95" thickBot="1"/>
    <row r="2" spans="1:26">
      <c r="B2" s="415" t="s">
        <v>230</v>
      </c>
      <c r="C2" s="415"/>
      <c r="D2" s="415"/>
      <c r="E2" s="415"/>
      <c r="F2" s="415"/>
      <c r="G2" s="415"/>
      <c r="H2" s="415"/>
      <c r="I2" s="415"/>
      <c r="J2" s="230">
        <v>5</v>
      </c>
      <c r="K2" s="231" t="s">
        <v>231</v>
      </c>
    </row>
    <row r="3" spans="1:26">
      <c r="B3" s="416"/>
      <c r="C3" s="416"/>
      <c r="D3" s="416"/>
      <c r="E3" s="416"/>
      <c r="F3" s="416"/>
      <c r="G3" s="416"/>
      <c r="H3" s="416"/>
      <c r="I3" s="416"/>
      <c r="J3" s="232">
        <v>0.6</v>
      </c>
      <c r="K3" s="233" t="s">
        <v>232</v>
      </c>
    </row>
    <row r="4" spans="1:26">
      <c r="B4" s="416"/>
      <c r="C4" s="416"/>
      <c r="D4" s="416"/>
      <c r="E4" s="416"/>
      <c r="F4" s="416"/>
      <c r="G4" s="416"/>
      <c r="H4" s="416"/>
      <c r="I4" s="416"/>
      <c r="J4" s="232">
        <v>0.4</v>
      </c>
      <c r="K4" s="233" t="s">
        <v>233</v>
      </c>
    </row>
    <row r="5" spans="1:26">
      <c r="B5" s="416"/>
      <c r="C5" s="416"/>
      <c r="D5" s="416"/>
      <c r="E5" s="416"/>
      <c r="F5" s="416"/>
      <c r="G5" s="416"/>
      <c r="H5" s="416"/>
      <c r="I5" s="416"/>
      <c r="J5" s="232">
        <v>80</v>
      </c>
      <c r="K5" s="233" t="s">
        <v>234</v>
      </c>
    </row>
    <row r="6" spans="1:26">
      <c r="B6" s="416"/>
      <c r="C6" s="416"/>
      <c r="D6" s="416"/>
      <c r="E6" s="416"/>
      <c r="F6" s="416"/>
      <c r="G6" s="416"/>
      <c r="H6" s="416"/>
      <c r="I6" s="416"/>
      <c r="J6" s="232"/>
      <c r="K6" s="233"/>
    </row>
    <row r="7" spans="1:26">
      <c r="B7" s="416"/>
      <c r="C7" s="416"/>
      <c r="D7" s="416"/>
      <c r="E7" s="416"/>
      <c r="F7" s="416"/>
      <c r="G7" s="416"/>
      <c r="H7" s="416"/>
      <c r="I7" s="416"/>
      <c r="J7" s="232"/>
      <c r="K7" s="233"/>
    </row>
    <row r="8" spans="1:26">
      <c r="B8" s="416"/>
      <c r="C8" s="416"/>
      <c r="D8" s="416"/>
      <c r="E8" s="416"/>
      <c r="F8" s="416"/>
      <c r="G8" s="416"/>
      <c r="H8" s="416"/>
      <c r="I8" s="416"/>
      <c r="J8" s="232"/>
      <c r="K8" s="233"/>
    </row>
    <row r="9" spans="1:26">
      <c r="B9" s="416"/>
      <c r="C9" s="416"/>
      <c r="D9" s="416"/>
      <c r="E9" s="416"/>
      <c r="F9" s="416"/>
      <c r="G9" s="416"/>
      <c r="H9" s="416"/>
      <c r="I9" s="416"/>
      <c r="J9" s="232"/>
      <c r="K9" s="233"/>
    </row>
    <row r="10" spans="1:26" ht="15.95" thickBot="1"/>
    <row r="11" spans="1:26" ht="30.95" thickBot="1">
      <c r="A11" s="1"/>
      <c r="B11" s="234" t="s">
        <v>235</v>
      </c>
      <c r="C11" s="235" t="s">
        <v>236</v>
      </c>
      <c r="D11" s="235" t="s">
        <v>237</v>
      </c>
      <c r="E11" s="235" t="s">
        <v>238</v>
      </c>
      <c r="F11" s="235" t="s">
        <v>239</v>
      </c>
      <c r="G11" s="235" t="s">
        <v>240</v>
      </c>
      <c r="H11" s="235" t="s">
        <v>241</v>
      </c>
      <c r="I11" s="235" t="s">
        <v>240</v>
      </c>
      <c r="J11" s="236" t="s">
        <v>242</v>
      </c>
      <c r="K11" s="237" t="s">
        <v>243</v>
      </c>
      <c r="L11" s="276"/>
      <c r="M11" s="1"/>
      <c r="N11" s="1"/>
      <c r="O11" s="1"/>
      <c r="P11" s="1"/>
      <c r="Q11" s="1"/>
      <c r="R11" s="1"/>
      <c r="S11" s="1"/>
      <c r="T11" s="1"/>
      <c r="U11" s="1"/>
      <c r="V11" s="1"/>
      <c r="W11" s="1"/>
      <c r="X11" s="1"/>
      <c r="Y11" s="1"/>
      <c r="Z11" s="1"/>
    </row>
    <row r="12" spans="1:26" ht="33" thickBot="1">
      <c r="B12" s="238" t="s">
        <v>244</v>
      </c>
      <c r="C12" s="239">
        <v>75000</v>
      </c>
      <c r="D12" s="240">
        <f>J5</f>
        <v>80</v>
      </c>
      <c r="E12" s="241">
        <f t="shared" ref="E12:E20" si="0">C12*D12</f>
        <v>6000000</v>
      </c>
      <c r="F12" s="242">
        <v>15</v>
      </c>
      <c r="G12" s="239">
        <f>(E12/F12)*J4</f>
        <v>160000</v>
      </c>
      <c r="H12" s="239">
        <f>(E12/F12)*J3</f>
        <v>240000</v>
      </c>
      <c r="I12" s="243">
        <f>C12*J2*J4</f>
        <v>150000</v>
      </c>
      <c r="J12" s="243">
        <f>C12*J2*J3</f>
        <v>225000</v>
      </c>
      <c r="K12" s="244" t="s">
        <v>245</v>
      </c>
      <c r="L12" s="261" t="s">
        <v>246</v>
      </c>
    </row>
    <row r="13" spans="1:26" ht="30.95" thickBot="1">
      <c r="B13" s="245" t="s">
        <v>247</v>
      </c>
      <c r="C13" s="246">
        <v>300</v>
      </c>
      <c r="D13" s="247">
        <v>1295</v>
      </c>
      <c r="E13" s="246">
        <f t="shared" si="0"/>
        <v>388500</v>
      </c>
      <c r="F13" s="248">
        <v>7.5</v>
      </c>
      <c r="G13" s="249">
        <f>(E13/F13)*J4</f>
        <v>20720</v>
      </c>
      <c r="H13" s="246">
        <f>(E13/F13)*J3</f>
        <v>31080</v>
      </c>
      <c r="I13" s="250">
        <f>C13*(D13/J5)*J2*J4</f>
        <v>9712.5</v>
      </c>
      <c r="J13" s="250">
        <f>C13*(D13/J5)*5*J3</f>
        <v>14568.75</v>
      </c>
      <c r="K13" s="251" t="s">
        <v>248</v>
      </c>
      <c r="L13" s="261" t="s">
        <v>246</v>
      </c>
    </row>
    <row r="14" spans="1:26" ht="30.95" thickBot="1">
      <c r="B14" s="245" t="s">
        <v>249</v>
      </c>
      <c r="C14" s="252">
        <v>500</v>
      </c>
      <c r="D14" s="253">
        <v>1295</v>
      </c>
      <c r="E14" s="252">
        <f t="shared" si="0"/>
        <v>647500</v>
      </c>
      <c r="F14" s="254">
        <v>15</v>
      </c>
      <c r="G14" s="252">
        <f>(E14/F14)*J4</f>
        <v>17266.666666666668</v>
      </c>
      <c r="H14" s="252">
        <f>(E14/F14)*J3</f>
        <v>25899.999999999996</v>
      </c>
      <c r="I14" s="243">
        <f>C14*(D14/J5)*J2*J4</f>
        <v>16187.5</v>
      </c>
      <c r="J14" s="243">
        <f>C14*(D14/J5)*J2*J3</f>
        <v>24281.25</v>
      </c>
      <c r="K14" s="255" t="s">
        <v>248</v>
      </c>
      <c r="L14" s="261" t="s">
        <v>246</v>
      </c>
    </row>
    <row r="15" spans="1:26" ht="33" thickBot="1">
      <c r="B15" s="245" t="s">
        <v>250</v>
      </c>
      <c r="C15" s="246">
        <v>1000</v>
      </c>
      <c r="D15" s="247">
        <f>J5</f>
        <v>80</v>
      </c>
      <c r="E15" s="246">
        <f t="shared" si="0"/>
        <v>80000</v>
      </c>
      <c r="F15" s="248">
        <v>7.5</v>
      </c>
      <c r="G15" s="246"/>
      <c r="H15" s="246">
        <f>(E15/F15)</f>
        <v>10666.666666666666</v>
      </c>
      <c r="I15" s="250"/>
      <c r="J15" s="250">
        <f>C15*J2</f>
        <v>5000</v>
      </c>
      <c r="K15" s="251" t="s">
        <v>251</v>
      </c>
      <c r="L15" s="261" t="s">
        <v>246</v>
      </c>
    </row>
    <row r="16" spans="1:26" ht="33" thickBot="1">
      <c r="B16" s="245" t="s">
        <v>252</v>
      </c>
      <c r="C16" s="252">
        <v>40000</v>
      </c>
      <c r="D16" s="253">
        <f>J5</f>
        <v>80</v>
      </c>
      <c r="E16" s="252">
        <f t="shared" si="0"/>
        <v>3200000</v>
      </c>
      <c r="F16" s="254">
        <v>30</v>
      </c>
      <c r="G16" s="252">
        <f>(E16/F16)*J4</f>
        <v>42666.666666666672</v>
      </c>
      <c r="H16" s="252">
        <f>(E16/F16)*J3</f>
        <v>64000</v>
      </c>
      <c r="I16" s="243">
        <f>C16*J2*J4</f>
        <v>80000</v>
      </c>
      <c r="J16" s="243">
        <f>C16*J2*J3</f>
        <v>120000</v>
      </c>
      <c r="K16" s="255" t="s">
        <v>253</v>
      </c>
      <c r="L16" s="261" t="s">
        <v>246</v>
      </c>
    </row>
    <row r="17" spans="2:12" ht="48.95" thickBot="1">
      <c r="B17" s="245" t="s">
        <v>254</v>
      </c>
      <c r="C17" s="246">
        <v>2000</v>
      </c>
      <c r="D17" s="247">
        <v>568</v>
      </c>
      <c r="E17" s="246">
        <f t="shared" si="0"/>
        <v>1136000</v>
      </c>
      <c r="F17" s="248">
        <v>30</v>
      </c>
      <c r="G17" s="246">
        <f>(E17/F17)*J4</f>
        <v>15146.666666666666</v>
      </c>
      <c r="H17" s="246">
        <f>(E17/F17)*J3</f>
        <v>22719.999999999996</v>
      </c>
      <c r="I17" s="250">
        <f>C17*(D17/J5)*J2*J4</f>
        <v>28400</v>
      </c>
      <c r="J17" s="250">
        <f>C17*(D17/J5)*J2*J3</f>
        <v>42600</v>
      </c>
      <c r="K17" s="251" t="s">
        <v>255</v>
      </c>
      <c r="L17" s="261" t="s">
        <v>246</v>
      </c>
    </row>
    <row r="18" spans="2:12" ht="30.95" thickBot="1">
      <c r="B18" s="245" t="s">
        <v>256</v>
      </c>
      <c r="C18" s="252">
        <v>22000</v>
      </c>
      <c r="D18" s="253">
        <v>98</v>
      </c>
      <c r="E18" s="252">
        <f t="shared" si="0"/>
        <v>2156000</v>
      </c>
      <c r="F18" s="254">
        <v>30</v>
      </c>
      <c r="G18" s="252">
        <f>(E18/F18)*J4</f>
        <v>28746.666666666672</v>
      </c>
      <c r="H18" s="252">
        <f>(E18/F18)*J3</f>
        <v>43120</v>
      </c>
      <c r="I18" s="243">
        <f>C18*(D18/J5)*J2*J4</f>
        <v>53900.000000000015</v>
      </c>
      <c r="J18" s="243">
        <f>C18*(D18/J5)*J2*J3</f>
        <v>80850.000000000015</v>
      </c>
      <c r="K18" s="255" t="s">
        <v>248</v>
      </c>
      <c r="L18" s="261" t="s">
        <v>246</v>
      </c>
    </row>
    <row r="19" spans="2:12" ht="30.95" thickBot="1">
      <c r="B19" s="245" t="s">
        <v>257</v>
      </c>
      <c r="C19" s="246">
        <v>7000</v>
      </c>
      <c r="D19" s="247">
        <v>114</v>
      </c>
      <c r="E19" s="246">
        <f t="shared" si="0"/>
        <v>798000</v>
      </c>
      <c r="F19" s="248">
        <v>30</v>
      </c>
      <c r="G19" s="246">
        <f>(E19/F19)*J4</f>
        <v>10640</v>
      </c>
      <c r="H19" s="246">
        <f>(E19/F19)*J3</f>
        <v>15960</v>
      </c>
      <c r="I19" s="250">
        <f>C19*(D19/J5)*J2*J4</f>
        <v>19950</v>
      </c>
      <c r="J19" s="250">
        <f>C19*(D19/J5)*J2*J3</f>
        <v>29925</v>
      </c>
      <c r="K19" s="251" t="s">
        <v>248</v>
      </c>
      <c r="L19" s="261" t="s">
        <v>246</v>
      </c>
    </row>
    <row r="20" spans="2:12" ht="48.95" thickBot="1">
      <c r="B20" s="245" t="s">
        <v>258</v>
      </c>
      <c r="C20" s="252">
        <v>20000</v>
      </c>
      <c r="D20" s="253">
        <f>J5</f>
        <v>80</v>
      </c>
      <c r="E20" s="252">
        <f t="shared" si="0"/>
        <v>1600000</v>
      </c>
      <c r="F20" s="254">
        <v>30</v>
      </c>
      <c r="G20" s="252">
        <f>(E20/F20)*J4</f>
        <v>21333.333333333336</v>
      </c>
      <c r="H20" s="252">
        <f>(E20/F20)*J3</f>
        <v>32000</v>
      </c>
      <c r="I20" s="243">
        <f>C20*J2*J4</f>
        <v>40000</v>
      </c>
      <c r="J20" s="243">
        <f>C20*J2*J3</f>
        <v>60000</v>
      </c>
      <c r="K20" s="255" t="s">
        <v>259</v>
      </c>
      <c r="L20" s="261" t="s">
        <v>246</v>
      </c>
    </row>
    <row r="21" spans="2:12" ht="48.95" thickBot="1">
      <c r="B21" s="245" t="s">
        <v>260</v>
      </c>
      <c r="C21" s="256">
        <v>0.1</v>
      </c>
      <c r="D21" s="247"/>
      <c r="E21" s="246">
        <f>(H12+H13+H14+H16+H17+H18+H19+H20)</f>
        <v>474780</v>
      </c>
      <c r="F21" s="248">
        <v>1</v>
      </c>
      <c r="G21" s="246">
        <f>E21*C21*J4</f>
        <v>18991.2</v>
      </c>
      <c r="H21" s="246">
        <f>E21*C21*J3</f>
        <v>28486.799999999999</v>
      </c>
      <c r="I21" s="250">
        <f>SUM(I12:I20)*C21*J4</f>
        <v>15926</v>
      </c>
      <c r="J21" s="250"/>
      <c r="K21" s="251" t="s">
        <v>261</v>
      </c>
      <c r="L21" s="261" t="s">
        <v>262</v>
      </c>
    </row>
    <row r="22" spans="2:12" ht="33" thickBot="1">
      <c r="B22" s="245" t="s">
        <v>263</v>
      </c>
      <c r="C22" s="256">
        <v>0.18</v>
      </c>
      <c r="D22" s="257" t="s">
        <v>142</v>
      </c>
      <c r="E22" s="249" t="s">
        <v>142</v>
      </c>
      <c r="F22" s="258" t="s">
        <v>142</v>
      </c>
      <c r="G22" s="246">
        <f>E21*C22*J4</f>
        <v>34184.159999999996</v>
      </c>
      <c r="H22" s="246">
        <f>E21*C22*J3</f>
        <v>51276.24</v>
      </c>
      <c r="I22" s="250">
        <f>SUM(I12:I21)*C22*J4</f>
        <v>29813.471999999998</v>
      </c>
      <c r="J22" s="250"/>
      <c r="K22" s="251" t="s">
        <v>264</v>
      </c>
      <c r="L22" s="261" t="s">
        <v>262</v>
      </c>
    </row>
    <row r="23" spans="2:12" ht="55.5" customHeight="1" thickBot="1">
      <c r="B23" s="245" t="s">
        <v>265</v>
      </c>
      <c r="C23" s="252">
        <v>1000</v>
      </c>
      <c r="D23" s="253">
        <f>J5</f>
        <v>80</v>
      </c>
      <c r="E23" s="252" t="s">
        <v>142</v>
      </c>
      <c r="F23" s="254">
        <v>1</v>
      </c>
      <c r="G23" s="259" t="s">
        <v>142</v>
      </c>
      <c r="H23" s="252">
        <f>C23*D23</f>
        <v>80000</v>
      </c>
      <c r="I23" s="243"/>
      <c r="J23" s="243">
        <f>C23*J2</f>
        <v>5000</v>
      </c>
      <c r="K23" s="255" t="s">
        <v>266</v>
      </c>
      <c r="L23" s="261" t="s">
        <v>267</v>
      </c>
    </row>
    <row r="24" spans="2:12" ht="17.100000000000001" thickBot="1">
      <c r="B24" s="245" t="s">
        <v>268</v>
      </c>
      <c r="C24" s="246" t="s">
        <v>142</v>
      </c>
      <c r="D24" s="247" t="s">
        <v>142</v>
      </c>
      <c r="E24" s="246" t="s">
        <v>142</v>
      </c>
      <c r="F24" s="248" t="s">
        <v>142</v>
      </c>
      <c r="G24" s="258" t="s">
        <v>142</v>
      </c>
      <c r="H24" s="246" t="s">
        <v>142</v>
      </c>
      <c r="I24" s="249" t="s">
        <v>142</v>
      </c>
      <c r="J24" s="250" t="s">
        <v>142</v>
      </c>
      <c r="K24" s="251" t="s">
        <v>269</v>
      </c>
      <c r="L24" s="261" t="s">
        <v>270</v>
      </c>
    </row>
    <row r="25" spans="2:12" ht="33" thickBot="1">
      <c r="B25" s="245" t="s">
        <v>271</v>
      </c>
      <c r="C25" s="252" t="s">
        <v>142</v>
      </c>
      <c r="D25" s="253" t="s">
        <v>142</v>
      </c>
      <c r="E25" s="252" t="s">
        <v>142</v>
      </c>
      <c r="F25" s="254" t="s">
        <v>142</v>
      </c>
      <c r="G25" s="259" t="s">
        <v>142</v>
      </c>
      <c r="H25" s="252" t="s">
        <v>142</v>
      </c>
      <c r="I25" s="260" t="s">
        <v>142</v>
      </c>
      <c r="J25" s="243" t="s">
        <v>142</v>
      </c>
      <c r="K25" s="255" t="s">
        <v>272</v>
      </c>
      <c r="L25" s="261" t="s">
        <v>270</v>
      </c>
    </row>
    <row r="26" spans="2:12" ht="33" thickBot="1">
      <c r="B26" s="245" t="s">
        <v>273</v>
      </c>
      <c r="C26" s="246">
        <v>2450</v>
      </c>
      <c r="D26" s="247">
        <f>J5</f>
        <v>80</v>
      </c>
      <c r="E26" s="246" t="s">
        <v>142</v>
      </c>
      <c r="F26" s="248">
        <v>1</v>
      </c>
      <c r="G26" s="249" t="s">
        <v>142</v>
      </c>
      <c r="H26" s="246">
        <f>C26*D26</f>
        <v>196000</v>
      </c>
      <c r="I26" s="249" t="s">
        <v>142</v>
      </c>
      <c r="J26" s="250">
        <f>C26*J2</f>
        <v>12250</v>
      </c>
      <c r="K26" s="251" t="s">
        <v>274</v>
      </c>
      <c r="L26" s="261" t="s">
        <v>270</v>
      </c>
    </row>
    <row r="27" spans="2:12" ht="54" customHeight="1" thickBot="1">
      <c r="B27" s="245" t="s">
        <v>275</v>
      </c>
      <c r="C27" s="252">
        <v>15000</v>
      </c>
      <c r="D27" s="253">
        <v>3</v>
      </c>
      <c r="E27" s="252" t="s">
        <v>142</v>
      </c>
      <c r="F27" s="254">
        <v>1</v>
      </c>
      <c r="G27" s="259" t="s">
        <v>142</v>
      </c>
      <c r="H27" s="252">
        <f>C27*D27</f>
        <v>45000</v>
      </c>
      <c r="I27" s="260" t="s">
        <v>142</v>
      </c>
      <c r="J27" s="259" t="s">
        <v>142</v>
      </c>
      <c r="K27" s="255" t="s">
        <v>276</v>
      </c>
      <c r="L27" s="261" t="s">
        <v>267</v>
      </c>
    </row>
    <row r="28" spans="2:12" ht="60" customHeight="1" thickBot="1">
      <c r="B28" s="245" t="s">
        <v>277</v>
      </c>
      <c r="C28" s="246">
        <v>4000</v>
      </c>
      <c r="D28" s="247">
        <v>6</v>
      </c>
      <c r="E28" s="246" t="s">
        <v>142</v>
      </c>
      <c r="F28" s="248">
        <v>1</v>
      </c>
      <c r="G28" s="246">
        <f>C28*D28*J4</f>
        <v>9600</v>
      </c>
      <c r="H28" s="246">
        <f>C28*D28*J3</f>
        <v>14400</v>
      </c>
      <c r="I28" s="250">
        <f>C28*J2*J4</f>
        <v>8000</v>
      </c>
      <c r="J28" s="250">
        <f>C28*J2*J3</f>
        <v>12000</v>
      </c>
      <c r="K28" s="251" t="s">
        <v>278</v>
      </c>
      <c r="L28" s="261" t="s">
        <v>267</v>
      </c>
    </row>
    <row r="29" spans="2:12" ht="33" thickBot="1">
      <c r="B29" s="245" t="s">
        <v>279</v>
      </c>
      <c r="C29" s="252">
        <v>2000</v>
      </c>
      <c r="D29" s="253">
        <v>2</v>
      </c>
      <c r="E29" s="252" t="s">
        <v>142</v>
      </c>
      <c r="F29" s="254">
        <v>1</v>
      </c>
      <c r="G29" s="259" t="s">
        <v>142</v>
      </c>
      <c r="H29" s="252">
        <f>C29*D29</f>
        <v>4000</v>
      </c>
      <c r="I29" s="260" t="s">
        <v>142</v>
      </c>
      <c r="J29" s="259" t="s">
        <v>142</v>
      </c>
      <c r="K29" s="255" t="s">
        <v>280</v>
      </c>
      <c r="L29" s="261" t="s">
        <v>35</v>
      </c>
    </row>
    <row r="30" spans="2:12" ht="48.95" thickBot="1">
      <c r="B30" s="245" t="s">
        <v>281</v>
      </c>
      <c r="C30" s="246">
        <v>300000</v>
      </c>
      <c r="D30" s="247">
        <v>1</v>
      </c>
      <c r="E30" s="246" t="s">
        <v>142</v>
      </c>
      <c r="F30" s="248">
        <v>1</v>
      </c>
      <c r="G30" s="258" t="s">
        <v>142</v>
      </c>
      <c r="H30" s="246">
        <f>C30*F30</f>
        <v>300000</v>
      </c>
      <c r="I30" s="249" t="s">
        <v>142</v>
      </c>
      <c r="J30" s="258" t="s">
        <v>142</v>
      </c>
      <c r="K30" s="251" t="s">
        <v>282</v>
      </c>
      <c r="L30" s="261" t="s">
        <v>283</v>
      </c>
    </row>
    <row r="31" spans="2:12" ht="49.5" customHeight="1" thickBot="1">
      <c r="B31" s="245" t="s">
        <v>284</v>
      </c>
      <c r="C31" s="252">
        <v>3000</v>
      </c>
      <c r="D31" s="253">
        <v>15</v>
      </c>
      <c r="E31" s="252" t="s">
        <v>142</v>
      </c>
      <c r="F31" s="254">
        <v>1</v>
      </c>
      <c r="G31" s="259" t="s">
        <v>142</v>
      </c>
      <c r="H31" s="252">
        <f>C31*D31</f>
        <v>45000</v>
      </c>
      <c r="I31" s="260" t="s">
        <v>142</v>
      </c>
      <c r="J31" s="259" t="s">
        <v>142</v>
      </c>
      <c r="K31" s="255" t="s">
        <v>285</v>
      </c>
      <c r="L31" s="261" t="s">
        <v>267</v>
      </c>
    </row>
    <row r="32" spans="2:12" ht="65.099999999999994" thickBot="1">
      <c r="B32" s="245" t="s">
        <v>286</v>
      </c>
      <c r="C32" s="246">
        <v>25000</v>
      </c>
      <c r="D32" s="247">
        <v>3</v>
      </c>
      <c r="E32" s="246" t="s">
        <v>142</v>
      </c>
      <c r="F32" s="248">
        <v>1</v>
      </c>
      <c r="G32" s="258" t="s">
        <v>142</v>
      </c>
      <c r="H32" s="246">
        <f>+C32*D32</f>
        <v>75000</v>
      </c>
      <c r="I32" s="249" t="s">
        <v>142</v>
      </c>
      <c r="J32" s="258" t="s">
        <v>142</v>
      </c>
      <c r="K32" s="251" t="s">
        <v>287</v>
      </c>
      <c r="L32" s="261" t="s">
        <v>267</v>
      </c>
    </row>
    <row r="33" spans="2:13" ht="65.099999999999994" thickBot="1">
      <c r="B33" s="245" t="s">
        <v>288</v>
      </c>
      <c r="C33" s="252">
        <v>25000</v>
      </c>
      <c r="D33" s="253">
        <v>3</v>
      </c>
      <c r="E33" s="252" t="s">
        <v>142</v>
      </c>
      <c r="F33" s="254">
        <v>1</v>
      </c>
      <c r="G33" s="259" t="s">
        <v>142</v>
      </c>
      <c r="H33" s="252">
        <f>+C33*D33</f>
        <v>75000</v>
      </c>
      <c r="I33" s="260" t="s">
        <v>142</v>
      </c>
      <c r="J33" s="259" t="s">
        <v>142</v>
      </c>
      <c r="K33" s="255" t="s">
        <v>289</v>
      </c>
      <c r="L33" s="261" t="s">
        <v>290</v>
      </c>
    </row>
    <row r="34" spans="2:13" ht="51.75" customHeight="1" thickBot="1">
      <c r="B34" s="245" t="s">
        <v>291</v>
      </c>
      <c r="C34" s="246">
        <v>500</v>
      </c>
      <c r="D34" s="247">
        <f>J5</f>
        <v>80</v>
      </c>
      <c r="E34" s="246">
        <f>C34*D34</f>
        <v>40000</v>
      </c>
      <c r="F34" s="248">
        <v>15</v>
      </c>
      <c r="G34" s="246">
        <f>(E34/F34)*J4</f>
        <v>1066.6666666666667</v>
      </c>
      <c r="H34" s="246">
        <f>(E34/F34)*J3</f>
        <v>1599.9999999999998</v>
      </c>
      <c r="I34" s="250">
        <f>C34*J2*J4</f>
        <v>1000</v>
      </c>
      <c r="J34" s="250">
        <f>C34*J2*J3</f>
        <v>1500</v>
      </c>
      <c r="K34" s="251" t="s">
        <v>292</v>
      </c>
      <c r="L34" s="261" t="s">
        <v>267</v>
      </c>
    </row>
    <row r="35" spans="2:13" ht="33" thickBot="1">
      <c r="B35" s="245" t="s">
        <v>293</v>
      </c>
      <c r="C35" s="252">
        <v>3000</v>
      </c>
      <c r="D35" s="253">
        <v>1</v>
      </c>
      <c r="E35" s="252" t="s">
        <v>142</v>
      </c>
      <c r="F35" s="254">
        <v>1</v>
      </c>
      <c r="G35" s="259" t="s">
        <v>142</v>
      </c>
      <c r="H35" s="252">
        <f>C35*D35</f>
        <v>3000</v>
      </c>
      <c r="I35" s="260" t="s">
        <v>142</v>
      </c>
      <c r="J35" s="262" t="s">
        <v>142</v>
      </c>
      <c r="K35" s="255" t="s">
        <v>294</v>
      </c>
      <c r="L35" s="261" t="s">
        <v>295</v>
      </c>
    </row>
    <row r="36" spans="2:13" ht="33" thickBot="1">
      <c r="B36" s="245" t="s">
        <v>296</v>
      </c>
      <c r="C36" s="246">
        <v>40000</v>
      </c>
      <c r="D36" s="247">
        <v>1</v>
      </c>
      <c r="E36" s="246" t="s">
        <v>142</v>
      </c>
      <c r="F36" s="248">
        <v>1</v>
      </c>
      <c r="G36" s="258" t="s">
        <v>142</v>
      </c>
      <c r="H36" s="246">
        <f>C36*D36</f>
        <v>40000</v>
      </c>
      <c r="I36" s="249" t="s">
        <v>142</v>
      </c>
      <c r="J36" s="263" t="s">
        <v>142</v>
      </c>
      <c r="K36" s="251" t="s">
        <v>297</v>
      </c>
      <c r="L36" s="261" t="s">
        <v>298</v>
      </c>
    </row>
    <row r="37" spans="2:13" ht="60.75" customHeight="1" thickBot="1">
      <c r="B37" s="245" t="s">
        <v>299</v>
      </c>
      <c r="C37" s="252">
        <v>1000</v>
      </c>
      <c r="D37" s="253">
        <v>10</v>
      </c>
      <c r="E37" s="252" t="s">
        <v>142</v>
      </c>
      <c r="F37" s="254">
        <v>1</v>
      </c>
      <c r="G37" s="252"/>
      <c r="H37" s="252">
        <f>C37*D37</f>
        <v>10000</v>
      </c>
      <c r="I37" s="264"/>
      <c r="J37" s="264">
        <f>C37*J2</f>
        <v>5000</v>
      </c>
      <c r="K37" s="255" t="s">
        <v>300</v>
      </c>
      <c r="L37" s="261" t="s">
        <v>267</v>
      </c>
    </row>
    <row r="38" spans="2:13" ht="33" thickBot="1">
      <c r="B38" s="245" t="s">
        <v>301</v>
      </c>
      <c r="C38" s="246">
        <v>25000</v>
      </c>
      <c r="D38" s="247">
        <v>1</v>
      </c>
      <c r="E38" s="246" t="s">
        <v>142</v>
      </c>
      <c r="F38" s="248">
        <v>4</v>
      </c>
      <c r="G38" s="258" t="s">
        <v>142</v>
      </c>
      <c r="H38" s="246">
        <f>C38/F38</f>
        <v>6250</v>
      </c>
      <c r="I38" s="249" t="s">
        <v>142</v>
      </c>
      <c r="J38" s="263" t="s">
        <v>142</v>
      </c>
      <c r="K38" s="251" t="s">
        <v>302</v>
      </c>
      <c r="L38" s="261" t="s">
        <v>246</v>
      </c>
    </row>
    <row r="39" spans="2:13" ht="33" thickBot="1">
      <c r="B39" s="245" t="s">
        <v>303</v>
      </c>
      <c r="C39" s="252">
        <v>15000</v>
      </c>
      <c r="D39" s="253">
        <v>1</v>
      </c>
      <c r="E39" s="252" t="s">
        <v>142</v>
      </c>
      <c r="F39" s="254">
        <v>5</v>
      </c>
      <c r="G39" s="259" t="s">
        <v>142</v>
      </c>
      <c r="H39" s="252">
        <f>C39/F39</f>
        <v>3000</v>
      </c>
      <c r="I39" s="260" t="s">
        <v>142</v>
      </c>
      <c r="J39" s="262" t="s">
        <v>142</v>
      </c>
      <c r="K39" s="255" t="s">
        <v>304</v>
      </c>
      <c r="L39" s="261" t="s">
        <v>305</v>
      </c>
    </row>
    <row r="40" spans="2:13" ht="53.25" customHeight="1" thickBot="1">
      <c r="B40" s="245" t="s">
        <v>306</v>
      </c>
      <c r="C40" s="246">
        <v>750</v>
      </c>
      <c r="D40" s="247">
        <v>8</v>
      </c>
      <c r="E40" s="246" t="s">
        <v>142</v>
      </c>
      <c r="F40" s="248">
        <v>1</v>
      </c>
      <c r="G40" s="246">
        <f>C40*D40*0.375</f>
        <v>2250</v>
      </c>
      <c r="H40" s="246">
        <f>C40*D40*0.625</f>
        <v>3750</v>
      </c>
      <c r="I40" s="250">
        <f>C40*J2*0.4</f>
        <v>1500</v>
      </c>
      <c r="J40" s="250">
        <f>C40*J2*J3</f>
        <v>2250</v>
      </c>
      <c r="K40" s="251" t="s">
        <v>307</v>
      </c>
      <c r="L40" s="261" t="s">
        <v>267</v>
      </c>
    </row>
    <row r="41" spans="2:13" ht="48.95" thickBot="1">
      <c r="B41" s="245" t="s">
        <v>308</v>
      </c>
      <c r="C41" s="252">
        <v>1000</v>
      </c>
      <c r="D41" s="253">
        <v>1</v>
      </c>
      <c r="E41" s="252" t="s">
        <v>142</v>
      </c>
      <c r="F41" s="254">
        <v>1</v>
      </c>
      <c r="G41" s="259" t="s">
        <v>142</v>
      </c>
      <c r="H41" s="252">
        <f>C41*D41</f>
        <v>1000</v>
      </c>
      <c r="I41" s="260" t="s">
        <v>142</v>
      </c>
      <c r="J41" s="259" t="s">
        <v>142</v>
      </c>
      <c r="K41" s="255" t="s">
        <v>309</v>
      </c>
      <c r="L41" s="261" t="s">
        <v>310</v>
      </c>
      <c r="M41" t="s">
        <v>311</v>
      </c>
    </row>
    <row r="42" spans="2:13" ht="65.099999999999994" thickBot="1">
      <c r="B42" s="245" t="s">
        <v>312</v>
      </c>
      <c r="C42" s="246">
        <v>5000</v>
      </c>
      <c r="D42" s="247">
        <v>10</v>
      </c>
      <c r="E42" s="249" t="s">
        <v>142</v>
      </c>
      <c r="F42" s="258">
        <v>1</v>
      </c>
      <c r="G42" s="258" t="s">
        <v>142</v>
      </c>
      <c r="H42" s="246">
        <v>50000</v>
      </c>
      <c r="I42" s="249" t="s">
        <v>142</v>
      </c>
      <c r="J42" s="258" t="s">
        <v>142</v>
      </c>
      <c r="K42" s="251" t="s">
        <v>313</v>
      </c>
      <c r="L42" s="261" t="s">
        <v>262</v>
      </c>
    </row>
    <row r="43" spans="2:13" ht="49.5" customHeight="1" thickBot="1">
      <c r="B43" s="265" t="s">
        <v>314</v>
      </c>
      <c r="C43" s="252">
        <v>2500</v>
      </c>
      <c r="D43" s="253">
        <v>1</v>
      </c>
      <c r="E43" s="266" t="s">
        <v>142</v>
      </c>
      <c r="F43" s="259">
        <v>1</v>
      </c>
      <c r="G43" s="259" t="s">
        <v>142</v>
      </c>
      <c r="H43" s="252">
        <f>C43*D43</f>
        <v>2500</v>
      </c>
      <c r="I43" s="260" t="s">
        <v>142</v>
      </c>
      <c r="J43" s="259" t="s">
        <v>142</v>
      </c>
      <c r="K43" s="255" t="s">
        <v>315</v>
      </c>
      <c r="L43" s="261" t="s">
        <v>316</v>
      </c>
    </row>
    <row r="44" spans="2:13" ht="15.95" thickBot="1">
      <c r="B44" s="267"/>
      <c r="C44" s="268"/>
      <c r="D44" s="268"/>
      <c r="E44" s="414" t="s">
        <v>317</v>
      </c>
      <c r="F44" s="414"/>
      <c r="G44" s="269">
        <f>SUM(G11:G41)</f>
        <v>382612.02666666661</v>
      </c>
      <c r="H44" s="269"/>
      <c r="I44" s="269"/>
      <c r="J44" s="417"/>
      <c r="K44" s="418"/>
    </row>
    <row r="45" spans="2:13" ht="30.95" thickBot="1">
      <c r="B45" s="267"/>
      <c r="C45" s="268"/>
      <c r="D45" s="268"/>
      <c r="E45" s="268"/>
      <c r="F45" s="268"/>
      <c r="G45" s="268" t="s">
        <v>318</v>
      </c>
      <c r="H45" s="269">
        <f>SUM(H12:H43)</f>
        <v>1520709.7066666665</v>
      </c>
      <c r="I45" s="269"/>
      <c r="J45" s="417"/>
      <c r="K45" s="418"/>
    </row>
    <row r="46" spans="2:13" ht="15.95" thickBot="1">
      <c r="B46" s="270"/>
      <c r="C46" s="271"/>
      <c r="D46" s="271"/>
      <c r="E46" s="271"/>
      <c r="F46" s="271"/>
      <c r="G46" s="414" t="s">
        <v>317</v>
      </c>
      <c r="H46" s="414"/>
      <c r="I46" s="272">
        <f>SUM(I11:I42)</f>
        <v>454389.47200000001</v>
      </c>
      <c r="J46" s="273"/>
      <c r="K46" s="274"/>
    </row>
    <row r="47" spans="2:13" ht="15.95" thickBot="1">
      <c r="B47" s="270"/>
      <c r="C47" s="271"/>
      <c r="D47" s="271"/>
      <c r="E47" s="271"/>
      <c r="F47" s="419" t="s">
        <v>319</v>
      </c>
      <c r="G47" s="419"/>
      <c r="H47" s="419"/>
      <c r="I47" s="419"/>
      <c r="J47" s="272">
        <f>SUM(J12:J43)</f>
        <v>640225</v>
      </c>
      <c r="K47" s="275"/>
    </row>
    <row r="48" spans="2:13" ht="15.95" thickBot="1">
      <c r="B48" s="413" t="s">
        <v>320</v>
      </c>
      <c r="C48" s="414"/>
      <c r="D48" s="414"/>
      <c r="E48" s="414"/>
      <c r="F48" s="414"/>
      <c r="G48" s="414"/>
      <c r="H48" s="414"/>
      <c r="I48" s="414"/>
      <c r="J48" s="272">
        <f>H45+J47</f>
        <v>2160934.7066666665</v>
      </c>
      <c r="K48" s="238" t="s">
        <v>321</v>
      </c>
    </row>
    <row r="50" spans="8:10">
      <c r="H50" s="135"/>
      <c r="I50" s="135"/>
      <c r="J50" s="181"/>
    </row>
    <row r="51" spans="8:10">
      <c r="H51" s="135"/>
      <c r="I51" s="135"/>
      <c r="J51" s="181"/>
    </row>
    <row r="52" spans="8:10">
      <c r="H52" s="135"/>
      <c r="I52" s="135"/>
      <c r="J52" s="181"/>
    </row>
    <row r="1048576" spans="12:12">
      <c r="L1048576" s="261" t="s">
        <v>35</v>
      </c>
    </row>
  </sheetData>
  <mergeCells count="7">
    <mergeCell ref="B48:I48"/>
    <mergeCell ref="B2:I9"/>
    <mergeCell ref="E44:F44"/>
    <mergeCell ref="J44:K44"/>
    <mergeCell ref="J45:K45"/>
    <mergeCell ref="G46:H46"/>
    <mergeCell ref="F47:I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3"/>
  <sheetViews>
    <sheetView topLeftCell="A24" zoomScale="70" zoomScaleNormal="70" workbookViewId="0">
      <selection activeCell="I63" sqref="I63"/>
    </sheetView>
  </sheetViews>
  <sheetFormatPr defaultColWidth="8.875" defaultRowHeight="15"/>
  <cols>
    <col min="1" max="1" width="23.125" customWidth="1"/>
    <col min="2" max="2" width="12.375" bestFit="1" customWidth="1"/>
    <col min="3" max="3" width="11.625" customWidth="1"/>
    <col min="4" max="4" width="19.375" customWidth="1"/>
    <col min="5" max="5" width="24.625" customWidth="1"/>
    <col min="6" max="6" width="15.5" bestFit="1" customWidth="1"/>
    <col min="7" max="7" width="15.625" bestFit="1" customWidth="1"/>
    <col min="8" max="8" width="18.125" customWidth="1"/>
    <col min="9" max="9" width="18.375" customWidth="1"/>
    <col min="10" max="10" width="26" customWidth="1"/>
    <col min="11" max="11" width="15.875" style="298" customWidth="1"/>
    <col min="13" max="13" width="14" bestFit="1" customWidth="1"/>
  </cols>
  <sheetData>
    <row r="1" spans="1:13">
      <c r="A1" s="420" t="s">
        <v>322</v>
      </c>
      <c r="B1" s="420"/>
      <c r="C1" s="420"/>
      <c r="D1" s="420"/>
      <c r="E1" s="420"/>
      <c r="F1" s="420"/>
      <c r="G1" s="420"/>
      <c r="H1" s="420"/>
      <c r="I1" s="291">
        <v>2.5</v>
      </c>
      <c r="J1" s="292" t="s">
        <v>231</v>
      </c>
      <c r="K1" s="278"/>
    </row>
    <row r="2" spans="1:13" ht="30">
      <c r="A2" s="420"/>
      <c r="B2" s="420"/>
      <c r="C2" s="420"/>
      <c r="D2" s="420"/>
      <c r="E2" s="420"/>
      <c r="F2" s="420"/>
      <c r="G2" s="420"/>
      <c r="H2" s="420"/>
      <c r="I2" s="291">
        <v>0.6</v>
      </c>
      <c r="J2" s="292" t="s">
        <v>232</v>
      </c>
      <c r="K2" s="278"/>
    </row>
    <row r="3" spans="1:13" ht="30">
      <c r="A3" s="420"/>
      <c r="B3" s="420"/>
      <c r="C3" s="420"/>
      <c r="D3" s="420"/>
      <c r="E3" s="420"/>
      <c r="F3" s="420"/>
      <c r="G3" s="420"/>
      <c r="H3" s="420"/>
      <c r="I3" s="291">
        <v>0.4</v>
      </c>
      <c r="J3" s="292" t="s">
        <v>233</v>
      </c>
      <c r="K3" s="278"/>
    </row>
    <row r="4" spans="1:13" ht="30">
      <c r="A4" s="420"/>
      <c r="B4" s="420"/>
      <c r="C4" s="420"/>
      <c r="D4" s="420"/>
      <c r="E4" s="420"/>
      <c r="F4" s="420"/>
      <c r="G4" s="420"/>
      <c r="H4" s="420"/>
      <c r="I4" s="291">
        <v>85</v>
      </c>
      <c r="J4" s="292" t="s">
        <v>323</v>
      </c>
      <c r="K4" s="278"/>
    </row>
    <row r="5" spans="1:13">
      <c r="A5" s="420"/>
      <c r="B5" s="420"/>
      <c r="C5" s="420"/>
      <c r="D5" s="420"/>
      <c r="E5" s="420"/>
      <c r="F5" s="420"/>
      <c r="G5" s="420"/>
      <c r="H5" s="420"/>
      <c r="I5" s="291"/>
      <c r="J5" s="292"/>
      <c r="K5" s="278"/>
    </row>
    <row r="6" spans="1:13">
      <c r="A6" s="420"/>
      <c r="B6" s="420"/>
      <c r="C6" s="420"/>
      <c r="D6" s="420"/>
      <c r="E6" s="420"/>
      <c r="F6" s="420"/>
      <c r="G6" s="420"/>
      <c r="H6" s="420"/>
      <c r="I6" s="291"/>
      <c r="J6" s="292"/>
      <c r="K6" s="278"/>
    </row>
    <row r="7" spans="1:13">
      <c r="A7" s="420"/>
      <c r="B7" s="420"/>
      <c r="C7" s="420"/>
      <c r="D7" s="420"/>
      <c r="E7" s="420"/>
      <c r="F7" s="420"/>
      <c r="G7" s="420"/>
      <c r="H7" s="420"/>
      <c r="I7" s="291"/>
      <c r="J7" s="292"/>
      <c r="K7" s="278"/>
    </row>
    <row r="8" spans="1:13">
      <c r="A8" s="420"/>
      <c r="B8" s="420"/>
      <c r="C8" s="420"/>
      <c r="D8" s="420"/>
      <c r="E8" s="420"/>
      <c r="F8" s="420"/>
      <c r="G8" s="420"/>
      <c r="H8" s="420"/>
      <c r="I8" s="291"/>
      <c r="J8" s="292"/>
      <c r="K8" s="278"/>
    </row>
    <row r="9" spans="1:13" ht="15.95" thickBot="1"/>
    <row r="10" spans="1:13" ht="90.75" customHeight="1">
      <c r="A10" s="234" t="s">
        <v>235</v>
      </c>
      <c r="B10" s="235" t="s">
        <v>236</v>
      </c>
      <c r="C10" s="235" t="s">
        <v>237</v>
      </c>
      <c r="D10" s="235" t="s">
        <v>238</v>
      </c>
      <c r="E10" s="235" t="s">
        <v>239</v>
      </c>
      <c r="F10" s="235" t="s">
        <v>240</v>
      </c>
      <c r="G10" s="235" t="s">
        <v>241</v>
      </c>
      <c r="H10" s="235" t="s">
        <v>240</v>
      </c>
      <c r="I10" s="305" t="s">
        <v>242</v>
      </c>
      <c r="J10" s="237" t="s">
        <v>243</v>
      </c>
      <c r="K10" s="297"/>
    </row>
    <row r="11" spans="1:13" ht="96">
      <c r="A11" s="279" t="s">
        <v>244</v>
      </c>
      <c r="B11" s="281">
        <v>85000</v>
      </c>
      <c r="C11" s="282">
        <v>85</v>
      </c>
      <c r="D11" s="283">
        <f>B11*C11</f>
        <v>7225000</v>
      </c>
      <c r="E11" s="284">
        <v>15</v>
      </c>
      <c r="F11" s="281">
        <v>192666.66666666669</v>
      </c>
      <c r="G11" s="313">
        <v>289000</v>
      </c>
      <c r="H11" s="285">
        <v>85000</v>
      </c>
      <c r="I11" s="316">
        <v>127500</v>
      </c>
      <c r="J11" s="286" t="s">
        <v>324</v>
      </c>
      <c r="K11" s="299" t="s">
        <v>246</v>
      </c>
      <c r="M11" s="130"/>
    </row>
    <row r="12" spans="1:13" ht="32.1">
      <c r="A12" s="279" t="s">
        <v>247</v>
      </c>
      <c r="B12" s="281">
        <v>300</v>
      </c>
      <c r="C12" s="282">
        <v>1372</v>
      </c>
      <c r="D12" s="283">
        <f t="shared" ref="D12:D21" si="0">B12*C12</f>
        <v>411600</v>
      </c>
      <c r="E12" s="284">
        <v>15</v>
      </c>
      <c r="F12" s="281">
        <v>10976</v>
      </c>
      <c r="G12" s="313">
        <v>16464</v>
      </c>
      <c r="H12" s="285">
        <v>4842.3529411764703</v>
      </c>
      <c r="I12" s="316">
        <v>14527.058823529409</v>
      </c>
      <c r="J12" s="286" t="s">
        <v>325</v>
      </c>
      <c r="K12" s="299" t="s">
        <v>246</v>
      </c>
    </row>
    <row r="13" spans="1:13" ht="32.1">
      <c r="A13" s="294" t="s">
        <v>326</v>
      </c>
      <c r="B13" s="391">
        <v>650</v>
      </c>
      <c r="C13" s="392">
        <v>0</v>
      </c>
      <c r="D13" s="283">
        <f t="shared" si="0"/>
        <v>0</v>
      </c>
      <c r="E13" s="284">
        <v>15</v>
      </c>
      <c r="F13" s="281">
        <v>0</v>
      </c>
      <c r="G13" s="313">
        <v>0</v>
      </c>
      <c r="H13" s="281" t="s">
        <v>142</v>
      </c>
      <c r="I13" s="313" t="s">
        <v>142</v>
      </c>
      <c r="J13" s="286" t="s">
        <v>327</v>
      </c>
      <c r="K13" s="299" t="s">
        <v>246</v>
      </c>
    </row>
    <row r="14" spans="1:13" ht="30">
      <c r="A14" s="279" t="s">
        <v>249</v>
      </c>
      <c r="B14" s="281">
        <v>600</v>
      </c>
      <c r="C14" s="282">
        <v>1372</v>
      </c>
      <c r="D14" s="283">
        <f t="shared" si="0"/>
        <v>823200</v>
      </c>
      <c r="E14" s="284">
        <v>15</v>
      </c>
      <c r="F14" s="281">
        <v>21952</v>
      </c>
      <c r="G14" s="313">
        <v>32928</v>
      </c>
      <c r="H14" s="285">
        <v>9684.7058823529405</v>
      </c>
      <c r="I14" s="316">
        <v>14527.058823529409</v>
      </c>
      <c r="J14" s="286" t="s">
        <v>248</v>
      </c>
      <c r="K14" s="299" t="s">
        <v>246</v>
      </c>
    </row>
    <row r="15" spans="1:13" ht="144">
      <c r="A15" s="279" t="s">
        <v>250</v>
      </c>
      <c r="B15" s="281">
        <v>1500</v>
      </c>
      <c r="C15" s="282">
        <v>46</v>
      </c>
      <c r="D15" s="283">
        <f t="shared" si="0"/>
        <v>69000</v>
      </c>
      <c r="E15" s="284">
        <v>7.5</v>
      </c>
      <c r="F15" s="281"/>
      <c r="G15" s="313">
        <v>9200</v>
      </c>
      <c r="H15" s="285"/>
      <c r="I15" s="316">
        <v>3750</v>
      </c>
      <c r="J15" s="286" t="s">
        <v>328</v>
      </c>
      <c r="K15" s="299" t="s">
        <v>246</v>
      </c>
    </row>
    <row r="16" spans="1:13" ht="96">
      <c r="A16" s="279" t="s">
        <v>252</v>
      </c>
      <c r="B16" s="281">
        <v>60000</v>
      </c>
      <c r="C16" s="282">
        <v>85</v>
      </c>
      <c r="D16" s="283">
        <f t="shared" si="0"/>
        <v>5100000</v>
      </c>
      <c r="E16" s="284">
        <v>30</v>
      </c>
      <c r="F16" s="281">
        <v>68000</v>
      </c>
      <c r="G16" s="313">
        <v>102000</v>
      </c>
      <c r="H16" s="285">
        <v>60000</v>
      </c>
      <c r="I16" s="316">
        <v>90000</v>
      </c>
      <c r="J16" s="286" t="s">
        <v>329</v>
      </c>
      <c r="K16" s="299" t="s">
        <v>246</v>
      </c>
    </row>
    <row r="17" spans="1:13" ht="80.099999999999994">
      <c r="A17" s="279" t="s">
        <v>254</v>
      </c>
      <c r="B17" s="281">
        <v>2500</v>
      </c>
      <c r="C17" s="282">
        <v>608</v>
      </c>
      <c r="D17" s="283">
        <f t="shared" si="0"/>
        <v>1520000</v>
      </c>
      <c r="E17" s="284">
        <v>30</v>
      </c>
      <c r="F17" s="281">
        <v>20266.666666666668</v>
      </c>
      <c r="G17" s="313">
        <v>30399.999999999996</v>
      </c>
      <c r="H17" s="285">
        <v>17882.352941176472</v>
      </c>
      <c r="I17" s="316">
        <v>26823.52941176471</v>
      </c>
      <c r="J17" s="286" t="s">
        <v>330</v>
      </c>
      <c r="K17" s="299" t="s">
        <v>246</v>
      </c>
    </row>
    <row r="18" spans="1:13" ht="32.1">
      <c r="A18" s="294" t="s">
        <v>331</v>
      </c>
      <c r="B18" s="281">
        <v>1250</v>
      </c>
      <c r="C18" s="282">
        <v>200</v>
      </c>
      <c r="D18" s="283">
        <f t="shared" si="0"/>
        <v>250000</v>
      </c>
      <c r="E18" s="284">
        <v>30</v>
      </c>
      <c r="F18" s="281">
        <v>708333.33333333337</v>
      </c>
      <c r="G18" s="313">
        <v>3333.3333333333339</v>
      </c>
      <c r="H18" s="285">
        <v>2941.176470588236</v>
      </c>
      <c r="I18" s="316">
        <v>4411.7647058823532</v>
      </c>
      <c r="J18" s="286" t="s">
        <v>332</v>
      </c>
      <c r="K18" s="299" t="s">
        <v>246</v>
      </c>
    </row>
    <row r="19" spans="1:13" ht="32.1">
      <c r="A19" s="279" t="s">
        <v>256</v>
      </c>
      <c r="B19" s="281">
        <v>22500</v>
      </c>
      <c r="C19" s="282">
        <v>184</v>
      </c>
      <c r="D19" s="283">
        <f t="shared" si="0"/>
        <v>4140000</v>
      </c>
      <c r="E19" s="284">
        <v>30</v>
      </c>
      <c r="F19" s="281">
        <v>55200</v>
      </c>
      <c r="G19" s="313">
        <v>82800</v>
      </c>
      <c r="H19" s="285">
        <v>48705.882352941175</v>
      </c>
      <c r="I19" s="316">
        <v>73058.823529411762</v>
      </c>
      <c r="J19" s="286" t="s">
        <v>333</v>
      </c>
      <c r="K19" s="299" t="s">
        <v>246</v>
      </c>
    </row>
    <row r="20" spans="1:13" ht="32.1">
      <c r="A20" s="279" t="s">
        <v>257</v>
      </c>
      <c r="B20" s="281">
        <v>7000</v>
      </c>
      <c r="C20" s="282">
        <v>113</v>
      </c>
      <c r="D20" s="283">
        <f t="shared" si="0"/>
        <v>791000</v>
      </c>
      <c r="E20" s="284">
        <v>30</v>
      </c>
      <c r="F20" s="281">
        <v>10546.666666666668</v>
      </c>
      <c r="G20" s="313">
        <v>15820</v>
      </c>
      <c r="H20" s="285">
        <v>9305.8823529411766</v>
      </c>
      <c r="I20" s="316">
        <v>13958.823529411764</v>
      </c>
      <c r="J20" s="286" t="s">
        <v>334</v>
      </c>
      <c r="K20" s="299" t="s">
        <v>246</v>
      </c>
    </row>
    <row r="21" spans="1:13" ht="111.95">
      <c r="A21" s="279" t="s">
        <v>258</v>
      </c>
      <c r="B21" s="281">
        <v>24000</v>
      </c>
      <c r="C21" s="282">
        <v>85</v>
      </c>
      <c r="D21" s="283">
        <f t="shared" si="0"/>
        <v>2040000</v>
      </c>
      <c r="E21" s="284">
        <v>30</v>
      </c>
      <c r="F21" s="281">
        <v>27200</v>
      </c>
      <c r="G21" s="313">
        <v>40800</v>
      </c>
      <c r="H21" s="285">
        <v>24000</v>
      </c>
      <c r="I21" s="316">
        <v>36000</v>
      </c>
      <c r="J21" s="286" t="s">
        <v>335</v>
      </c>
      <c r="K21" s="299" t="s">
        <v>246</v>
      </c>
    </row>
    <row r="22" spans="1:13" ht="144">
      <c r="A22" s="279" t="s">
        <v>312</v>
      </c>
      <c r="B22" s="281">
        <v>5000</v>
      </c>
      <c r="C22" s="282">
        <v>10</v>
      </c>
      <c r="D22" s="281" t="s">
        <v>142</v>
      </c>
      <c r="E22" s="284">
        <v>1</v>
      </c>
      <c r="F22" s="284" t="s">
        <v>142</v>
      </c>
      <c r="G22" s="313">
        <v>50000</v>
      </c>
      <c r="H22" s="281" t="s">
        <v>142</v>
      </c>
      <c r="I22" s="317" t="s">
        <v>142</v>
      </c>
      <c r="J22" s="286" t="s">
        <v>313</v>
      </c>
      <c r="K22" s="299" t="s">
        <v>246</v>
      </c>
    </row>
    <row r="23" spans="1:13" ht="80.099999999999994">
      <c r="A23" s="279" t="s">
        <v>260</v>
      </c>
      <c r="B23" s="287"/>
      <c r="C23" s="282"/>
      <c r="D23" s="281">
        <v>0</v>
      </c>
      <c r="E23" s="284">
        <v>0</v>
      </c>
      <c r="F23" s="281">
        <v>0</v>
      </c>
      <c r="G23" s="302">
        <v>0</v>
      </c>
      <c r="H23" s="285">
        <v>0</v>
      </c>
      <c r="I23" s="306">
        <v>0</v>
      </c>
      <c r="J23" s="286" t="s">
        <v>261</v>
      </c>
      <c r="K23" s="299" t="s">
        <v>336</v>
      </c>
    </row>
    <row r="24" spans="1:13" ht="63.95">
      <c r="A24" s="279" t="s">
        <v>263</v>
      </c>
      <c r="B24" s="287">
        <v>0.1</v>
      </c>
      <c r="C24" s="282" t="s">
        <v>142</v>
      </c>
      <c r="D24" s="281">
        <f>SUM(D11:D22)</f>
        <v>22369800</v>
      </c>
      <c r="E24" s="284">
        <v>30</v>
      </c>
      <c r="F24" s="281">
        <f>(B24*D24)/E24*I3</f>
        <v>29826.400000000001</v>
      </c>
      <c r="G24" s="313">
        <f>(B24*D24)/E24*I2</f>
        <v>44739.6</v>
      </c>
      <c r="H24" s="281">
        <f>(B24*D24)/E24*I2</f>
        <v>44739.6</v>
      </c>
      <c r="I24" s="313">
        <f>(D24*F24)/G24*K2</f>
        <v>0</v>
      </c>
      <c r="J24" s="286" t="s">
        <v>264</v>
      </c>
      <c r="K24" s="299" t="s">
        <v>246</v>
      </c>
      <c r="M24" s="300"/>
    </row>
    <row r="25" spans="1:13" ht="96">
      <c r="A25" s="279" t="s">
        <v>337</v>
      </c>
      <c r="B25" s="281">
        <v>10000</v>
      </c>
      <c r="C25" s="282">
        <v>50</v>
      </c>
      <c r="D25" s="281" t="s">
        <v>142</v>
      </c>
      <c r="E25" s="284">
        <v>3</v>
      </c>
      <c r="F25" s="284" t="s">
        <v>142</v>
      </c>
      <c r="G25" s="315">
        <v>166666.66666666666</v>
      </c>
      <c r="H25" s="281" t="s">
        <v>142</v>
      </c>
      <c r="I25" s="302">
        <v>0</v>
      </c>
      <c r="J25" s="286" t="s">
        <v>338</v>
      </c>
      <c r="K25" s="299" t="s">
        <v>339</v>
      </c>
    </row>
    <row r="26" spans="1:13" ht="63.95">
      <c r="A26" s="294" t="s">
        <v>340</v>
      </c>
      <c r="B26" s="295">
        <v>3000</v>
      </c>
      <c r="C26" s="282">
        <v>85</v>
      </c>
      <c r="D26" s="281" t="s">
        <v>142</v>
      </c>
      <c r="E26" s="284" t="s">
        <v>142</v>
      </c>
      <c r="F26" s="284" t="s">
        <v>142</v>
      </c>
      <c r="G26" s="314">
        <v>0</v>
      </c>
      <c r="H26" s="281" t="s">
        <v>142</v>
      </c>
      <c r="I26" s="314">
        <v>0</v>
      </c>
      <c r="J26" s="293" t="s">
        <v>341</v>
      </c>
      <c r="K26" s="299" t="s">
        <v>342</v>
      </c>
      <c r="L26" s="281" t="s">
        <v>336</v>
      </c>
      <c r="M26" s="295">
        <v>255000</v>
      </c>
    </row>
    <row r="27" spans="1:13" ht="32.1">
      <c r="A27" s="279" t="s">
        <v>268</v>
      </c>
      <c r="B27" s="281" t="s">
        <v>142</v>
      </c>
      <c r="C27" s="282" t="s">
        <v>142</v>
      </c>
      <c r="D27" s="281" t="s">
        <v>142</v>
      </c>
      <c r="E27" s="284" t="s">
        <v>142</v>
      </c>
      <c r="F27" s="284" t="s">
        <v>142</v>
      </c>
      <c r="G27" s="314">
        <v>0</v>
      </c>
      <c r="H27" s="281" t="s">
        <v>142</v>
      </c>
      <c r="I27" s="314">
        <v>0</v>
      </c>
      <c r="J27" s="286" t="s">
        <v>269</v>
      </c>
      <c r="K27" s="299" t="s">
        <v>342</v>
      </c>
    </row>
    <row r="28" spans="1:13" ht="80.099999999999994">
      <c r="A28" s="279" t="s">
        <v>271</v>
      </c>
      <c r="B28" s="281" t="s">
        <v>142</v>
      </c>
      <c r="C28" s="282" t="s">
        <v>142</v>
      </c>
      <c r="D28" s="281" t="s">
        <v>142</v>
      </c>
      <c r="E28" s="284" t="s">
        <v>142</v>
      </c>
      <c r="F28" s="284" t="s">
        <v>142</v>
      </c>
      <c r="G28" s="314">
        <v>0</v>
      </c>
      <c r="H28" s="281" t="s">
        <v>142</v>
      </c>
      <c r="I28" s="314">
        <v>0</v>
      </c>
      <c r="J28" s="286" t="s">
        <v>272</v>
      </c>
      <c r="K28" s="299" t="s">
        <v>342</v>
      </c>
    </row>
    <row r="29" spans="1:13" ht="96">
      <c r="A29" s="279" t="s">
        <v>273</v>
      </c>
      <c r="B29" s="295">
        <v>3000</v>
      </c>
      <c r="C29" s="282">
        <v>85</v>
      </c>
      <c r="D29" s="281" t="s">
        <v>142</v>
      </c>
      <c r="E29" s="284">
        <v>1</v>
      </c>
      <c r="F29" s="281" t="s">
        <v>142</v>
      </c>
      <c r="G29" s="314">
        <v>255000</v>
      </c>
      <c r="H29" s="281" t="s">
        <v>142</v>
      </c>
      <c r="I29" s="319">
        <v>7500</v>
      </c>
      <c r="J29" s="286" t="s">
        <v>274</v>
      </c>
      <c r="K29" s="299" t="s">
        <v>342</v>
      </c>
    </row>
    <row r="30" spans="1:13" ht="96">
      <c r="A30" s="279" t="s">
        <v>275</v>
      </c>
      <c r="B30" s="295">
        <v>15000</v>
      </c>
      <c r="C30" s="296">
        <v>2.5</v>
      </c>
      <c r="D30" s="281" t="s">
        <v>142</v>
      </c>
      <c r="E30" s="284">
        <v>1</v>
      </c>
      <c r="F30" s="284" t="s">
        <v>142</v>
      </c>
      <c r="G30" s="315">
        <v>37500</v>
      </c>
      <c r="H30" s="281" t="s">
        <v>142</v>
      </c>
      <c r="I30" s="307" t="s">
        <v>142</v>
      </c>
      <c r="J30" s="286" t="s">
        <v>276</v>
      </c>
      <c r="K30" s="299" t="s">
        <v>339</v>
      </c>
    </row>
    <row r="31" spans="1:13" ht="63.95">
      <c r="A31" s="279" t="s">
        <v>277</v>
      </c>
      <c r="B31" s="295">
        <v>4000</v>
      </c>
      <c r="C31" s="296">
        <v>2.5</v>
      </c>
      <c r="D31" s="281" t="s">
        <v>142</v>
      </c>
      <c r="E31" s="284">
        <v>1</v>
      </c>
      <c r="F31" s="281">
        <v>4000</v>
      </c>
      <c r="G31" s="315">
        <v>6000</v>
      </c>
      <c r="H31" s="285">
        <v>4000</v>
      </c>
      <c r="I31" s="318">
        <v>6000</v>
      </c>
      <c r="J31" s="286" t="s">
        <v>278</v>
      </c>
      <c r="K31" s="299" t="s">
        <v>339</v>
      </c>
    </row>
    <row r="32" spans="1:13" ht="80.099999999999994">
      <c r="A32" s="279" t="s">
        <v>279</v>
      </c>
      <c r="B32" s="295">
        <v>2000</v>
      </c>
      <c r="C32" s="282">
        <v>2</v>
      </c>
      <c r="D32" s="281" t="s">
        <v>142</v>
      </c>
      <c r="E32" s="284">
        <v>1</v>
      </c>
      <c r="F32" s="284" t="s">
        <v>142</v>
      </c>
      <c r="G32" s="313">
        <v>4000</v>
      </c>
      <c r="H32" s="281" t="s">
        <v>142</v>
      </c>
      <c r="I32" s="307" t="s">
        <v>142</v>
      </c>
      <c r="J32" s="286" t="s">
        <v>280</v>
      </c>
      <c r="K32" s="299" t="s">
        <v>246</v>
      </c>
    </row>
    <row r="33" spans="1:11" ht="96">
      <c r="A33" s="279" t="s">
        <v>281</v>
      </c>
      <c r="B33" s="281">
        <v>300000</v>
      </c>
      <c r="C33" s="282">
        <v>1</v>
      </c>
      <c r="D33" s="281" t="s">
        <v>142</v>
      </c>
      <c r="E33" s="284">
        <v>1</v>
      </c>
      <c r="F33" s="284" t="s">
        <v>142</v>
      </c>
      <c r="G33" s="302"/>
      <c r="H33" s="281" t="s">
        <v>142</v>
      </c>
      <c r="I33" s="307" t="s">
        <v>142</v>
      </c>
      <c r="J33" s="286" t="s">
        <v>282</v>
      </c>
      <c r="K33" s="299" t="s">
        <v>343</v>
      </c>
    </row>
    <row r="34" spans="1:11" ht="159.94999999999999">
      <c r="A34" s="279" t="s">
        <v>286</v>
      </c>
      <c r="B34" s="281">
        <v>25000</v>
      </c>
      <c r="C34" s="282">
        <v>3</v>
      </c>
      <c r="D34" s="281" t="s">
        <v>142</v>
      </c>
      <c r="E34" s="284">
        <v>1</v>
      </c>
      <c r="F34" s="284" t="s">
        <v>142</v>
      </c>
      <c r="G34" s="315">
        <v>75000</v>
      </c>
      <c r="H34" s="281" t="s">
        <v>142</v>
      </c>
      <c r="I34" s="307" t="s">
        <v>142</v>
      </c>
      <c r="J34" s="286" t="s">
        <v>287</v>
      </c>
      <c r="K34" s="299" t="s">
        <v>339</v>
      </c>
    </row>
    <row r="35" spans="1:11" ht="159.94999999999999">
      <c r="A35" s="279" t="s">
        <v>288</v>
      </c>
      <c r="B35" s="281">
        <v>25000</v>
      </c>
      <c r="C35" s="296">
        <v>1.5</v>
      </c>
      <c r="D35" s="281" t="s">
        <v>142</v>
      </c>
      <c r="E35" s="284">
        <v>1</v>
      </c>
      <c r="F35" s="284" t="s">
        <v>142</v>
      </c>
      <c r="G35" s="315">
        <f>B35*C35</f>
        <v>37500</v>
      </c>
      <c r="H35" s="281" t="s">
        <v>142</v>
      </c>
      <c r="I35" s="307" t="s">
        <v>142</v>
      </c>
      <c r="J35" s="286" t="s">
        <v>289</v>
      </c>
      <c r="K35" s="299" t="s">
        <v>339</v>
      </c>
    </row>
    <row r="36" spans="1:11" ht="159.94999999999999">
      <c r="A36" s="279" t="s">
        <v>288</v>
      </c>
      <c r="B36" s="281">
        <v>25000</v>
      </c>
      <c r="C36" s="296">
        <v>1.5</v>
      </c>
      <c r="D36" s="281" t="s">
        <v>142</v>
      </c>
      <c r="E36" s="284">
        <v>1</v>
      </c>
      <c r="F36" s="284" t="s">
        <v>142</v>
      </c>
      <c r="G36" s="313">
        <f>B36*C36</f>
        <v>37500</v>
      </c>
      <c r="H36" s="281" t="s">
        <v>142</v>
      </c>
      <c r="I36" s="307" t="s">
        <v>142</v>
      </c>
      <c r="J36" s="286" t="s">
        <v>289</v>
      </c>
      <c r="K36" s="299" t="s">
        <v>246</v>
      </c>
    </row>
    <row r="37" spans="1:11" ht="80.099999999999994">
      <c r="A37" s="279" t="s">
        <v>296</v>
      </c>
      <c r="B37" s="281">
        <v>40000</v>
      </c>
      <c r="C37" s="282">
        <v>1</v>
      </c>
      <c r="D37" s="281" t="s">
        <v>142</v>
      </c>
      <c r="E37" s="284">
        <v>1</v>
      </c>
      <c r="F37" s="284" t="s">
        <v>142</v>
      </c>
      <c r="G37" s="302">
        <v>0</v>
      </c>
      <c r="H37" s="281" t="s">
        <v>142</v>
      </c>
      <c r="I37" s="308" t="s">
        <v>142</v>
      </c>
      <c r="J37" s="286" t="s">
        <v>297</v>
      </c>
      <c r="K37" s="299" t="s">
        <v>343</v>
      </c>
    </row>
    <row r="38" spans="1:11" ht="128.1">
      <c r="A38" s="279" t="s">
        <v>299</v>
      </c>
      <c r="B38" s="281">
        <v>1000</v>
      </c>
      <c r="C38" s="282">
        <v>10</v>
      </c>
      <c r="D38" s="281" t="s">
        <v>142</v>
      </c>
      <c r="E38" s="284">
        <v>1</v>
      </c>
      <c r="F38" s="281"/>
      <c r="G38" s="302">
        <v>0</v>
      </c>
      <c r="H38" s="285"/>
      <c r="I38" s="306">
        <v>0</v>
      </c>
      <c r="J38" s="286" t="s">
        <v>344</v>
      </c>
      <c r="K38" s="299" t="s">
        <v>343</v>
      </c>
    </row>
    <row r="39" spans="1:11" ht="63.95">
      <c r="A39" s="279" t="s">
        <v>301</v>
      </c>
      <c r="B39" s="281">
        <v>25000</v>
      </c>
      <c r="C39" s="282">
        <v>1</v>
      </c>
      <c r="D39" s="281" t="s">
        <v>142</v>
      </c>
      <c r="E39" s="284">
        <v>4</v>
      </c>
      <c r="F39" s="284" t="s">
        <v>142</v>
      </c>
      <c r="G39" s="302">
        <v>0</v>
      </c>
      <c r="H39" s="281" t="s">
        <v>142</v>
      </c>
      <c r="I39" s="308" t="s">
        <v>142</v>
      </c>
      <c r="J39" s="286" t="s">
        <v>302</v>
      </c>
      <c r="K39" s="299" t="s">
        <v>343</v>
      </c>
    </row>
    <row r="40" spans="1:11" ht="48">
      <c r="A40" s="279" t="s">
        <v>303</v>
      </c>
      <c r="B40" s="281">
        <v>15000</v>
      </c>
      <c r="C40" s="282">
        <v>1</v>
      </c>
      <c r="D40" s="281" t="s">
        <v>142</v>
      </c>
      <c r="E40" s="284">
        <v>5</v>
      </c>
      <c r="F40" s="284" t="s">
        <v>142</v>
      </c>
      <c r="G40" s="302">
        <v>0</v>
      </c>
      <c r="H40" s="281" t="s">
        <v>142</v>
      </c>
      <c r="I40" s="308" t="s">
        <v>142</v>
      </c>
      <c r="J40" s="286" t="s">
        <v>304</v>
      </c>
      <c r="K40" s="299" t="s">
        <v>343</v>
      </c>
    </row>
    <row r="41" spans="1:11" ht="45">
      <c r="A41" s="279"/>
      <c r="B41" s="279"/>
      <c r="C41" s="279"/>
      <c r="D41" s="289"/>
      <c r="E41" s="289" t="s">
        <v>345</v>
      </c>
      <c r="F41" s="288">
        <f>SUM(F11:F40)</f>
        <v>1148967.7333333334</v>
      </c>
      <c r="G41" s="303"/>
      <c r="H41" s="288"/>
      <c r="I41" s="309"/>
      <c r="J41" s="280"/>
      <c r="K41" s="299"/>
    </row>
    <row r="42" spans="1:11" ht="45">
      <c r="A42" s="279"/>
      <c r="B42" s="279"/>
      <c r="C42" s="279"/>
      <c r="D42" s="279"/>
      <c r="E42" s="279"/>
      <c r="F42" s="279" t="s">
        <v>318</v>
      </c>
      <c r="G42" s="303">
        <f>SUM(G11:G40)</f>
        <v>1336651.5999999999</v>
      </c>
      <c r="H42" s="288"/>
      <c r="I42" s="309"/>
      <c r="J42" s="280"/>
      <c r="K42" s="299"/>
    </row>
    <row r="43" spans="1:11" ht="60.95" thickBot="1">
      <c r="A43" s="289"/>
      <c r="B43" s="289"/>
      <c r="C43" s="289"/>
      <c r="D43" s="289"/>
      <c r="E43" s="289"/>
      <c r="F43" s="289"/>
      <c r="G43" s="304" t="s">
        <v>346</v>
      </c>
      <c r="H43" s="290">
        <f>SUM(H11:H40)</f>
        <v>311101.95294117642</v>
      </c>
      <c r="I43" s="309"/>
      <c r="J43" s="280"/>
      <c r="K43" s="299"/>
    </row>
    <row r="44" spans="1:11" ht="30">
      <c r="A44" s="289"/>
      <c r="B44" s="289"/>
      <c r="C44" s="289"/>
      <c r="D44" s="289"/>
      <c r="E44" s="288"/>
      <c r="F44" s="288"/>
      <c r="G44" s="288"/>
      <c r="H44" s="288" t="s">
        <v>319</v>
      </c>
      <c r="I44" s="310">
        <f>SUM(I11:I40)</f>
        <v>418057.05882352934</v>
      </c>
      <c r="J44" s="289"/>
    </row>
    <row r="45" spans="1:11" ht="30">
      <c r="A45" s="289"/>
      <c r="B45" s="289"/>
      <c r="C45" s="289"/>
      <c r="D45" s="289"/>
      <c r="E45" s="289"/>
      <c r="F45" s="289"/>
      <c r="G45" s="289"/>
      <c r="H45" s="289" t="s">
        <v>320</v>
      </c>
      <c r="I45" s="310">
        <f>G42+I44</f>
        <v>1754708.6588235293</v>
      </c>
      <c r="J45" s="279" t="s">
        <v>347</v>
      </c>
    </row>
    <row r="46" spans="1:11" ht="45">
      <c r="H46" s="289" t="s">
        <v>348</v>
      </c>
      <c r="I46" s="310">
        <v>1850000</v>
      </c>
    </row>
    <row r="47" spans="1:11">
      <c r="I47" s="208"/>
    </row>
    <row r="48" spans="1:11" ht="32.1">
      <c r="G48" s="126" t="s">
        <v>349</v>
      </c>
      <c r="H48" s="299" t="s">
        <v>339</v>
      </c>
      <c r="I48" s="311">
        <f>G25+G30+G31+G34+G35+I31</f>
        <v>328666.66666666663</v>
      </c>
    </row>
    <row r="49" spans="8:9">
      <c r="H49" s="299" t="s">
        <v>246</v>
      </c>
      <c r="I49" s="311">
        <f>SUM(G11:G24)+G32+G36+SUM(I11:I24)</f>
        <v>1163541.9921568625</v>
      </c>
    </row>
    <row r="50" spans="8:9">
      <c r="H50" s="299" t="s">
        <v>342</v>
      </c>
      <c r="I50" s="311">
        <f>G26+G27+G28+G29+I26+I27+I28+I29</f>
        <v>262500</v>
      </c>
    </row>
    <row r="51" spans="8:9" ht="15.95" thickBot="1">
      <c r="I51" s="312">
        <f>SUM(I48:I50)</f>
        <v>1754708.6588235293</v>
      </c>
    </row>
    <row r="53" spans="8:9">
      <c r="I53" s="300">
        <f>F41+G42+H43+I44</f>
        <v>3214778.3450980387</v>
      </c>
    </row>
  </sheetData>
  <mergeCells count="1">
    <mergeCell ref="A1:H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topLeftCell="A46" workbookViewId="0">
      <selection activeCell="B60" sqref="B60"/>
    </sheetView>
  </sheetViews>
  <sheetFormatPr defaultColWidth="8.875" defaultRowHeight="15"/>
  <cols>
    <col min="2" max="2" width="51.125" customWidth="1"/>
    <col min="4" max="4" width="11.125" style="121" customWidth="1"/>
    <col min="5" max="5" width="29.875" bestFit="1" customWidth="1"/>
    <col min="6" max="6" width="12.875" style="3" customWidth="1"/>
    <col min="8" max="8" width="22.625" style="119" customWidth="1"/>
    <col min="9" max="9" width="12.625" bestFit="1" customWidth="1"/>
  </cols>
  <sheetData>
    <row r="1" spans="1:8">
      <c r="A1">
        <f>COUNTIF(D4:D281,"&gt;0")</f>
        <v>55</v>
      </c>
    </row>
    <row r="2" spans="1:8" s="126" customFormat="1" ht="44.25" customHeight="1">
      <c r="A2" s="126" t="s">
        <v>350</v>
      </c>
      <c r="B2" s="126" t="s">
        <v>351</v>
      </c>
      <c r="C2" s="126" t="s">
        <v>9</v>
      </c>
      <c r="D2" s="126" t="s">
        <v>352</v>
      </c>
      <c r="E2" s="126" t="s">
        <v>353</v>
      </c>
      <c r="F2" s="127" t="s">
        <v>354</v>
      </c>
      <c r="H2" s="128"/>
    </row>
    <row r="3" spans="1:8">
      <c r="A3" t="s">
        <v>6</v>
      </c>
      <c r="B3" t="str">
        <f>""</f>
        <v/>
      </c>
      <c r="C3" t="str">
        <f>""</f>
        <v/>
      </c>
      <c r="D3" s="181"/>
      <c r="E3" s="184"/>
      <c r="F3" t="str">
        <f>""</f>
        <v/>
      </c>
    </row>
    <row r="4" spans="1:8">
      <c r="A4">
        <v>100010</v>
      </c>
      <c r="B4" t="s">
        <v>355</v>
      </c>
      <c r="C4" t="s">
        <v>356</v>
      </c>
      <c r="D4" s="135">
        <f>44.38</f>
        <v>44.38</v>
      </c>
      <c r="E4" t="s">
        <v>357</v>
      </c>
      <c r="F4" s="122">
        <v>37.380000000000003</v>
      </c>
    </row>
    <row r="5" spans="1:8">
      <c r="A5">
        <v>101020</v>
      </c>
      <c r="B5" t="s">
        <v>358</v>
      </c>
      <c r="C5" t="s">
        <v>356</v>
      </c>
      <c r="D5" s="135">
        <v>56.95</v>
      </c>
      <c r="E5" t="s">
        <v>359</v>
      </c>
      <c r="F5" s="122">
        <v>40.89</v>
      </c>
    </row>
    <row r="6" spans="1:8">
      <c r="A6">
        <v>102030</v>
      </c>
      <c r="B6" t="s">
        <v>360</v>
      </c>
      <c r="C6" t="s">
        <v>356</v>
      </c>
      <c r="D6" s="135">
        <v>43.34</v>
      </c>
      <c r="F6" s="122">
        <v>32.67</v>
      </c>
    </row>
    <row r="7" spans="1:8">
      <c r="A7">
        <v>200410</v>
      </c>
      <c r="B7" t="s">
        <v>361</v>
      </c>
      <c r="C7" t="s">
        <v>362</v>
      </c>
      <c r="D7" s="135">
        <f>(0.91+4.62+5)*0.5</f>
        <v>5.2650000000000006</v>
      </c>
      <c r="E7" s="185" t="s">
        <v>363</v>
      </c>
      <c r="F7" s="122">
        <v>1.17</v>
      </c>
    </row>
    <row r="8" spans="1:8">
      <c r="A8">
        <v>200440</v>
      </c>
      <c r="B8" t="s">
        <v>364</v>
      </c>
      <c r="C8" t="s">
        <v>362</v>
      </c>
      <c r="D8" s="135">
        <f>(0.91+4.62+10)*0.25</f>
        <v>3.8825000000000003</v>
      </c>
      <c r="E8" s="185" t="s">
        <v>363</v>
      </c>
      <c r="F8" s="122">
        <v>1.26</v>
      </c>
    </row>
    <row r="9" spans="1:8">
      <c r="A9">
        <v>200450</v>
      </c>
      <c r="B9" t="s">
        <v>365</v>
      </c>
      <c r="C9" t="s">
        <v>362</v>
      </c>
      <c r="D9" s="135">
        <f>(0.91+4.62+10)*0.2</f>
        <v>3.1060000000000003</v>
      </c>
      <c r="E9" s="185" t="s">
        <v>363</v>
      </c>
      <c r="F9" s="122">
        <v>1.46</v>
      </c>
    </row>
    <row r="10" spans="1:8">
      <c r="A10">
        <v>200451</v>
      </c>
      <c r="B10" t="s">
        <v>366</v>
      </c>
      <c r="C10" t="s">
        <v>362</v>
      </c>
      <c r="D10" s="135">
        <f>(0.91+4.62+10)*0.25</f>
        <v>3.8825000000000003</v>
      </c>
      <c r="E10" s="185" t="s">
        <v>363</v>
      </c>
      <c r="F10" s="122">
        <v>1.46</v>
      </c>
    </row>
    <row r="11" spans="1:8">
      <c r="A11">
        <v>201010</v>
      </c>
      <c r="B11" t="s">
        <v>367</v>
      </c>
      <c r="C11" t="s">
        <v>368</v>
      </c>
      <c r="D11" s="135">
        <v>1855</v>
      </c>
      <c r="E11" t="s">
        <v>369</v>
      </c>
      <c r="F11" s="122">
        <v>1785</v>
      </c>
    </row>
    <row r="12" spans="1:8" s="118" customFormat="1">
      <c r="A12">
        <v>201015</v>
      </c>
      <c r="B12" t="s">
        <v>370</v>
      </c>
      <c r="C12" t="s">
        <v>368</v>
      </c>
      <c r="D12" s="135">
        <v>3535</v>
      </c>
      <c r="E12" t="s">
        <v>371</v>
      </c>
      <c r="F12" s="121">
        <v>3400</v>
      </c>
      <c r="H12" s="120"/>
    </row>
    <row r="13" spans="1:8">
      <c r="A13">
        <v>201020</v>
      </c>
      <c r="B13" t="s">
        <v>372</v>
      </c>
      <c r="C13" t="s">
        <v>368</v>
      </c>
      <c r="D13" s="135">
        <v>6270</v>
      </c>
      <c r="E13" t="s">
        <v>373</v>
      </c>
      <c r="F13" s="121">
        <v>6030</v>
      </c>
    </row>
    <row r="14" spans="1:8">
      <c r="A14">
        <v>201030</v>
      </c>
      <c r="B14" t="s">
        <v>374</v>
      </c>
      <c r="C14" t="s">
        <v>375</v>
      </c>
      <c r="D14" s="135">
        <v>9</v>
      </c>
      <c r="E14" s="185" t="s">
        <v>376</v>
      </c>
      <c r="F14" s="121">
        <v>80</v>
      </c>
      <c r="H14" s="119" t="s">
        <v>377</v>
      </c>
    </row>
    <row r="15" spans="1:8" ht="15.95">
      <c r="A15">
        <v>201040</v>
      </c>
      <c r="B15" t="s">
        <v>378</v>
      </c>
      <c r="C15" t="s">
        <v>375</v>
      </c>
      <c r="D15" s="182">
        <f>1.6*26</f>
        <v>41.6</v>
      </c>
      <c r="E15" s="185" t="s">
        <v>379</v>
      </c>
      <c r="F15" s="121"/>
    </row>
    <row r="16" spans="1:8">
      <c r="A16">
        <v>201130</v>
      </c>
      <c r="B16" t="s">
        <v>380</v>
      </c>
      <c r="C16" t="s">
        <v>362</v>
      </c>
      <c r="D16" s="182">
        <f>3.26+(3*0.025*5)</f>
        <v>3.6349999999999998</v>
      </c>
      <c r="E16" s="185" t="s">
        <v>381</v>
      </c>
      <c r="F16" s="121">
        <v>4</v>
      </c>
    </row>
    <row r="17" spans="1:12">
      <c r="A17">
        <v>201140</v>
      </c>
      <c r="B17" t="s">
        <v>382</v>
      </c>
      <c r="C17" t="s">
        <v>362</v>
      </c>
      <c r="D17" s="182">
        <f>3.26+(4*0.025*5)</f>
        <v>3.76</v>
      </c>
      <c r="E17" s="185" t="s">
        <v>381</v>
      </c>
      <c r="F17" s="121">
        <v>5</v>
      </c>
    </row>
    <row r="18" spans="1:12">
      <c r="A18">
        <v>201150</v>
      </c>
      <c r="B18" t="s">
        <v>383</v>
      </c>
      <c r="C18" t="s">
        <v>362</v>
      </c>
      <c r="D18" s="182">
        <f>3.32+(5*0.025*5)</f>
        <v>3.9449999999999998</v>
      </c>
      <c r="E18" s="185" t="s">
        <v>381</v>
      </c>
      <c r="F18" s="121">
        <v>6</v>
      </c>
    </row>
    <row r="19" spans="1:12">
      <c r="A19">
        <v>201160</v>
      </c>
      <c r="B19" t="s">
        <v>384</v>
      </c>
      <c r="C19" t="s">
        <v>362</v>
      </c>
      <c r="D19" s="182">
        <f>3.32+(6*0.025*5)</f>
        <v>4.07</v>
      </c>
      <c r="E19" s="185" t="s">
        <v>381</v>
      </c>
      <c r="F19" s="121">
        <v>8</v>
      </c>
    </row>
    <row r="20" spans="1:12">
      <c r="A20">
        <v>201180</v>
      </c>
      <c r="B20" t="s">
        <v>385</v>
      </c>
      <c r="C20" t="s">
        <v>362</v>
      </c>
      <c r="D20" s="182">
        <f>3.37+(8*0.025*5)</f>
        <v>4.37</v>
      </c>
      <c r="E20" s="185" t="s">
        <v>381</v>
      </c>
      <c r="F20" s="121">
        <v>9</v>
      </c>
    </row>
    <row r="21" spans="1:12">
      <c r="A21">
        <v>201200</v>
      </c>
      <c r="B21" t="s">
        <v>386</v>
      </c>
      <c r="C21" t="s">
        <v>362</v>
      </c>
      <c r="D21" s="182">
        <f>3.98+(10*0.025*5)</f>
        <v>5.23</v>
      </c>
      <c r="E21" s="185" t="s">
        <v>381</v>
      </c>
      <c r="F21" s="121">
        <v>12</v>
      </c>
    </row>
    <row r="22" spans="1:12">
      <c r="A22">
        <v>201610</v>
      </c>
      <c r="B22" t="s">
        <v>387</v>
      </c>
      <c r="C22" t="s">
        <v>362</v>
      </c>
      <c r="D22" s="135">
        <v>0.4</v>
      </c>
      <c r="E22" t="s">
        <v>388</v>
      </c>
      <c r="F22" s="121">
        <f>0.11+0.24</f>
        <v>0.35</v>
      </c>
    </row>
    <row r="23" spans="1:12">
      <c r="A23">
        <v>300010</v>
      </c>
      <c r="B23" t="s">
        <v>389</v>
      </c>
      <c r="C23" t="s">
        <v>356</v>
      </c>
      <c r="D23" s="135">
        <v>94.4</v>
      </c>
      <c r="F23" s="121">
        <v>89</v>
      </c>
      <c r="H23" s="119" t="s">
        <v>390</v>
      </c>
    </row>
    <row r="24" spans="1:12">
      <c r="A24">
        <v>300020</v>
      </c>
      <c r="B24" t="s">
        <v>391</v>
      </c>
      <c r="C24" t="s">
        <v>356</v>
      </c>
      <c r="D24" s="135">
        <v>82.6</v>
      </c>
      <c r="F24" s="121">
        <v>75</v>
      </c>
      <c r="H24" s="119" t="s">
        <v>390</v>
      </c>
    </row>
    <row r="25" spans="1:12">
      <c r="A25">
        <v>300030</v>
      </c>
      <c r="B25" t="s">
        <v>392</v>
      </c>
      <c r="C25" t="s">
        <v>356</v>
      </c>
      <c r="D25" s="135">
        <f>96.25+6</f>
        <v>102.25</v>
      </c>
      <c r="F25" s="121">
        <v>100</v>
      </c>
    </row>
    <row r="26" spans="1:12">
      <c r="A26">
        <v>300040</v>
      </c>
      <c r="B26" t="s">
        <v>393</v>
      </c>
      <c r="C26" t="s">
        <v>368</v>
      </c>
      <c r="D26" s="135">
        <f>2640+2060+1040+(8*76.9)</f>
        <v>6355.2</v>
      </c>
      <c r="E26" s="185" t="s">
        <v>394</v>
      </c>
      <c r="F26" s="123">
        <v>4325</v>
      </c>
    </row>
    <row r="27" spans="1:12">
      <c r="A27">
        <v>300050</v>
      </c>
      <c r="B27" t="s">
        <v>395</v>
      </c>
      <c r="C27" t="s">
        <v>368</v>
      </c>
      <c r="D27" s="135">
        <f>2240+2060+(8*76.9)</f>
        <v>4915.2</v>
      </c>
      <c r="E27" s="185" t="s">
        <v>394</v>
      </c>
      <c r="F27" s="123">
        <v>2650</v>
      </c>
    </row>
    <row r="28" spans="1:12">
      <c r="A28">
        <v>300060</v>
      </c>
      <c r="B28" t="s">
        <v>396</v>
      </c>
      <c r="C28" t="s">
        <v>368</v>
      </c>
      <c r="D28" s="135">
        <f>220+555</f>
        <v>775</v>
      </c>
      <c r="F28" s="123">
        <v>775</v>
      </c>
    </row>
    <row r="29" spans="1:12">
      <c r="A29">
        <v>300070</v>
      </c>
      <c r="B29" t="s">
        <v>397</v>
      </c>
      <c r="C29" t="s">
        <v>368</v>
      </c>
      <c r="D29" s="135">
        <v>80</v>
      </c>
      <c r="F29" s="123">
        <v>12.53</v>
      </c>
    </row>
    <row r="30" spans="1:12">
      <c r="A30">
        <v>301010</v>
      </c>
      <c r="B30" t="s">
        <v>398</v>
      </c>
      <c r="C30" t="s">
        <v>399</v>
      </c>
      <c r="D30" s="135">
        <f>D32</f>
        <v>96.25</v>
      </c>
      <c r="E30" t="s">
        <v>400</v>
      </c>
      <c r="F30" s="123">
        <v>75</v>
      </c>
      <c r="H30" s="120" t="s">
        <v>401</v>
      </c>
    </row>
    <row r="31" spans="1:12" ht="32.1">
      <c r="A31">
        <v>301110</v>
      </c>
      <c r="B31" t="s">
        <v>402</v>
      </c>
      <c r="C31" t="s">
        <v>399</v>
      </c>
      <c r="D31" s="135">
        <f>71.5+12</f>
        <v>83.5</v>
      </c>
      <c r="E31" s="186" t="s">
        <v>403</v>
      </c>
      <c r="F31" s="121">
        <v>83.5</v>
      </c>
      <c r="H31" s="129">
        <v>84.05</v>
      </c>
      <c r="I31" s="119" t="s">
        <v>404</v>
      </c>
      <c r="J31" s="130">
        <f>D31-H31</f>
        <v>-0.54999999999999716</v>
      </c>
      <c r="K31" t="s">
        <v>405</v>
      </c>
    </row>
    <row r="32" spans="1:12">
      <c r="A32">
        <v>301210</v>
      </c>
      <c r="B32" t="s">
        <v>406</v>
      </c>
      <c r="C32" t="s">
        <v>399</v>
      </c>
      <c r="D32" s="135">
        <f>84.25+12</f>
        <v>96.25</v>
      </c>
      <c r="E32" s="185" t="s">
        <v>407</v>
      </c>
      <c r="F32" s="121">
        <v>97.4</v>
      </c>
      <c r="H32" s="129">
        <v>89.6</v>
      </c>
      <c r="J32" s="130">
        <f t="shared" ref="J32:J39" si="0">D32-H32</f>
        <v>6.6500000000000057</v>
      </c>
      <c r="K32">
        <f>30*8.45</f>
        <v>253.49999999999997</v>
      </c>
      <c r="L32">
        <f>K32/95</f>
        <v>2.6684210526315786</v>
      </c>
    </row>
    <row r="33" spans="1:10">
      <c r="A33">
        <v>301220</v>
      </c>
      <c r="B33" t="s">
        <v>408</v>
      </c>
      <c r="C33" t="s">
        <v>399</v>
      </c>
      <c r="D33" s="135">
        <f>84.5+12</f>
        <v>96.5</v>
      </c>
      <c r="E33" s="185" t="s">
        <v>407</v>
      </c>
      <c r="F33" s="121">
        <v>98.05</v>
      </c>
      <c r="H33" s="129">
        <f>64.8</f>
        <v>64.8</v>
      </c>
      <c r="J33" s="130">
        <f t="shared" si="0"/>
        <v>31.700000000000003</v>
      </c>
    </row>
    <row r="34" spans="1:10" ht="32.1">
      <c r="A34">
        <v>301230</v>
      </c>
      <c r="B34" t="s">
        <v>409</v>
      </c>
      <c r="C34" t="s">
        <v>399</v>
      </c>
      <c r="D34" s="135">
        <f>89.6+12</f>
        <v>101.6</v>
      </c>
      <c r="E34" s="185" t="s">
        <v>410</v>
      </c>
      <c r="F34" s="121"/>
      <c r="H34" s="129">
        <f>H33-10</f>
        <v>54.8</v>
      </c>
      <c r="I34" s="131" t="s">
        <v>411</v>
      </c>
      <c r="J34" s="130">
        <f t="shared" si="0"/>
        <v>46.8</v>
      </c>
    </row>
    <row r="35" spans="1:10">
      <c r="A35">
        <v>302110</v>
      </c>
      <c r="B35" t="s">
        <v>412</v>
      </c>
      <c r="C35" t="s">
        <v>399</v>
      </c>
      <c r="D35" s="135">
        <f>64.8+12</f>
        <v>76.8</v>
      </c>
      <c r="E35" s="185"/>
      <c r="F35" s="121">
        <v>78.7</v>
      </c>
      <c r="H35" s="129">
        <v>71.75</v>
      </c>
      <c r="J35" s="130">
        <f t="shared" si="0"/>
        <v>5.0499999999999972</v>
      </c>
    </row>
    <row r="36" spans="1:10">
      <c r="A36">
        <v>302120</v>
      </c>
      <c r="B36" t="s">
        <v>413</v>
      </c>
      <c r="C36" t="s">
        <v>399</v>
      </c>
      <c r="D36" s="135">
        <f>47+12</f>
        <v>59</v>
      </c>
      <c r="E36" s="185"/>
      <c r="F36" s="121">
        <v>58.35</v>
      </c>
      <c r="H36" s="129">
        <v>61.1</v>
      </c>
      <c r="J36" s="130">
        <f t="shared" si="0"/>
        <v>-2.1000000000000014</v>
      </c>
    </row>
    <row r="37" spans="1:10" ht="32.1">
      <c r="A37">
        <v>302210</v>
      </c>
      <c r="B37" t="s">
        <v>414</v>
      </c>
      <c r="C37" t="s">
        <v>399</v>
      </c>
      <c r="D37" s="135">
        <f>72.4+12</f>
        <v>84.4</v>
      </c>
      <c r="E37" s="185"/>
      <c r="F37" s="121">
        <v>78.45</v>
      </c>
      <c r="H37" s="129">
        <f>H35-13.8</f>
        <v>57.95</v>
      </c>
      <c r="I37" s="131" t="s">
        <v>415</v>
      </c>
      <c r="J37" s="130">
        <f t="shared" si="0"/>
        <v>26.450000000000003</v>
      </c>
    </row>
    <row r="38" spans="1:10">
      <c r="A38">
        <v>302220</v>
      </c>
      <c r="B38" t="s">
        <v>416</v>
      </c>
      <c r="C38" t="s">
        <v>399</v>
      </c>
      <c r="D38" s="135">
        <f>69.75+12</f>
        <v>81.75</v>
      </c>
      <c r="E38" s="185"/>
      <c r="F38" s="121">
        <v>77.25</v>
      </c>
      <c r="H38" s="129"/>
      <c r="J38" s="130">
        <f t="shared" si="0"/>
        <v>81.75</v>
      </c>
    </row>
    <row r="39" spans="1:10">
      <c r="A39">
        <v>302230</v>
      </c>
      <c r="B39" t="s">
        <v>417</v>
      </c>
      <c r="C39" t="s">
        <v>399</v>
      </c>
      <c r="D39" s="135">
        <f>49.45+12</f>
        <v>61.45</v>
      </c>
      <c r="E39" s="185"/>
      <c r="F39" s="121">
        <v>60.05</v>
      </c>
      <c r="H39" s="121">
        <v>69.75</v>
      </c>
      <c r="J39" s="130">
        <f t="shared" si="0"/>
        <v>-8.2999999999999972</v>
      </c>
    </row>
    <row r="40" spans="1:10">
      <c r="A40">
        <v>302240</v>
      </c>
      <c r="B40" t="s">
        <v>418</v>
      </c>
      <c r="C40" t="s">
        <v>399</v>
      </c>
      <c r="D40" s="135">
        <f>55.65+12</f>
        <v>67.650000000000006</v>
      </c>
      <c r="E40" s="185" t="s">
        <v>410</v>
      </c>
      <c r="F40" s="121">
        <v>59.45</v>
      </c>
    </row>
    <row r="41" spans="1:10">
      <c r="A41">
        <v>302240</v>
      </c>
      <c r="B41" t="s">
        <v>419</v>
      </c>
      <c r="C41" t="s">
        <v>399</v>
      </c>
      <c r="D41" s="135">
        <f>233+12</f>
        <v>245</v>
      </c>
      <c r="E41" s="185" t="s">
        <v>420</v>
      </c>
      <c r="F41" s="121">
        <v>59.45</v>
      </c>
    </row>
    <row r="42" spans="1:10">
      <c r="A42">
        <v>302240</v>
      </c>
      <c r="B42" t="s">
        <v>421</v>
      </c>
      <c r="C42" t="s">
        <v>399</v>
      </c>
      <c r="D42" s="135">
        <f>253+12</f>
        <v>265</v>
      </c>
      <c r="E42" s="185" t="s">
        <v>422</v>
      </c>
      <c r="F42" s="121">
        <v>59.45</v>
      </c>
      <c r="H42" s="119" t="s">
        <v>423</v>
      </c>
    </row>
    <row r="43" spans="1:10">
      <c r="A43">
        <v>302810</v>
      </c>
      <c r="B43" t="s">
        <v>424</v>
      </c>
      <c r="C43" t="s">
        <v>362</v>
      </c>
      <c r="D43" s="135">
        <v>0.35</v>
      </c>
      <c r="E43" t="s">
        <v>425</v>
      </c>
      <c r="F43" s="121">
        <v>0.3</v>
      </c>
    </row>
    <row r="44" spans="1:10" ht="63.95">
      <c r="A44">
        <v>303010</v>
      </c>
      <c r="B44" t="s">
        <v>426</v>
      </c>
      <c r="C44" t="s">
        <v>368</v>
      </c>
      <c r="D44" s="135">
        <v>4000</v>
      </c>
      <c r="E44" s="126" t="s">
        <v>427</v>
      </c>
      <c r="F44" s="121">
        <v>3530</v>
      </c>
    </row>
    <row r="45" spans="1:10" ht="15.95">
      <c r="A45">
        <v>303020</v>
      </c>
      <c r="B45" t="s">
        <v>428</v>
      </c>
      <c r="C45" t="s">
        <v>368</v>
      </c>
      <c r="D45" s="135">
        <f>6*8*60+520</f>
        <v>3400</v>
      </c>
      <c r="E45" s="186" t="s">
        <v>429</v>
      </c>
      <c r="F45" s="121"/>
      <c r="H45" s="119" t="s">
        <v>430</v>
      </c>
    </row>
    <row r="46" spans="1:10">
      <c r="A46">
        <v>303110</v>
      </c>
      <c r="B46" t="s">
        <v>431</v>
      </c>
      <c r="C46" t="s">
        <v>368</v>
      </c>
      <c r="D46" s="183">
        <v>1100</v>
      </c>
      <c r="E46" s="187" t="s">
        <v>432</v>
      </c>
      <c r="F46" s="124">
        <v>960</v>
      </c>
    </row>
    <row r="47" spans="1:10">
      <c r="A47">
        <v>303210</v>
      </c>
      <c r="B47" t="s">
        <v>433</v>
      </c>
      <c r="C47" t="s">
        <v>434</v>
      </c>
      <c r="D47" s="135">
        <v>120.35</v>
      </c>
      <c r="F47" s="121">
        <v>101.2</v>
      </c>
      <c r="H47" s="119" t="s">
        <v>435</v>
      </c>
    </row>
    <row r="48" spans="1:10">
      <c r="A48">
        <v>303220</v>
      </c>
      <c r="B48" t="s">
        <v>436</v>
      </c>
      <c r="C48" t="s">
        <v>434</v>
      </c>
      <c r="D48" s="183">
        <v>185</v>
      </c>
      <c r="E48" s="187" t="s">
        <v>437</v>
      </c>
      <c r="F48" s="121">
        <v>175</v>
      </c>
      <c r="H48" s="119" t="s">
        <v>435</v>
      </c>
    </row>
    <row r="49" spans="1:6">
      <c r="A49">
        <v>303230</v>
      </c>
      <c r="B49" t="s">
        <v>438</v>
      </c>
      <c r="C49" t="s">
        <v>375</v>
      </c>
      <c r="D49" s="135">
        <f>5.32+15</f>
        <v>20.32</v>
      </c>
      <c r="E49" t="s">
        <v>429</v>
      </c>
      <c r="F49" s="121"/>
    </row>
    <row r="50" spans="1:6">
      <c r="A50">
        <v>304110</v>
      </c>
      <c r="B50" t="s">
        <v>439</v>
      </c>
      <c r="C50" t="s">
        <v>362</v>
      </c>
      <c r="D50" s="135">
        <f>4.83</f>
        <v>4.83</v>
      </c>
      <c r="E50" t="s">
        <v>440</v>
      </c>
      <c r="F50" s="121">
        <f>(4.75+7.17)/2</f>
        <v>5.96</v>
      </c>
    </row>
    <row r="51" spans="1:6">
      <c r="A51">
        <v>304120</v>
      </c>
      <c r="B51" t="s">
        <v>441</v>
      </c>
      <c r="C51" t="s">
        <v>362</v>
      </c>
      <c r="D51" s="135">
        <v>2.64</v>
      </c>
      <c r="F51" s="121">
        <v>0.97</v>
      </c>
    </row>
    <row r="52" spans="1:6">
      <c r="A52">
        <v>304210</v>
      </c>
      <c r="B52" t="s">
        <v>442</v>
      </c>
      <c r="C52" t="s">
        <v>362</v>
      </c>
      <c r="D52" s="135">
        <v>20.7</v>
      </c>
      <c r="F52" s="125">
        <v>17</v>
      </c>
    </row>
    <row r="53" spans="1:6">
      <c r="A53">
        <v>304220</v>
      </c>
      <c r="B53" t="s">
        <v>443</v>
      </c>
      <c r="C53" t="s">
        <v>362</v>
      </c>
      <c r="D53" s="135">
        <v>15.9</v>
      </c>
      <c r="F53" s="125">
        <v>15.5</v>
      </c>
    </row>
    <row r="54" spans="1:6">
      <c r="A54">
        <v>304310</v>
      </c>
      <c r="B54" t="s">
        <v>444</v>
      </c>
      <c r="C54" t="s">
        <v>362</v>
      </c>
      <c r="D54" s="135"/>
      <c r="E54" s="185" t="s">
        <v>445</v>
      </c>
      <c r="F54" s="121">
        <v>6.5</v>
      </c>
    </row>
    <row r="55" spans="1:6">
      <c r="A55">
        <v>304320</v>
      </c>
      <c r="B55" t="s">
        <v>446</v>
      </c>
      <c r="C55" t="s">
        <v>362</v>
      </c>
      <c r="D55" s="135">
        <v>19.75</v>
      </c>
      <c r="E55" s="185" t="s">
        <v>447</v>
      </c>
      <c r="F55" s="121">
        <v>5.5</v>
      </c>
    </row>
    <row r="56" spans="1:6">
      <c r="A56">
        <v>310010</v>
      </c>
      <c r="B56" t="s">
        <v>448</v>
      </c>
      <c r="C56" t="s">
        <v>362</v>
      </c>
      <c r="D56" s="135"/>
      <c r="F56" s="121">
        <v>6.5</v>
      </c>
    </row>
    <row r="57" spans="1:6">
      <c r="A57">
        <v>310110</v>
      </c>
      <c r="B57" t="s">
        <v>449</v>
      </c>
      <c r="C57" t="s">
        <v>362</v>
      </c>
      <c r="D57" s="135">
        <v>5.15</v>
      </c>
      <c r="E57" s="185" t="s">
        <v>450</v>
      </c>
      <c r="F57" s="121">
        <v>4.0999999999999996</v>
      </c>
    </row>
    <row r="58" spans="1:6">
      <c r="A58">
        <v>310120</v>
      </c>
      <c r="B58" t="s">
        <v>451</v>
      </c>
      <c r="C58" t="s">
        <v>362</v>
      </c>
      <c r="D58" s="135">
        <v>6.07</v>
      </c>
      <c r="E58" s="185" t="s">
        <v>450</v>
      </c>
      <c r="F58" s="121">
        <v>4.92</v>
      </c>
    </row>
    <row r="59" spans="1:6">
      <c r="A59">
        <v>310130</v>
      </c>
      <c r="B59" t="s">
        <v>452</v>
      </c>
      <c r="C59" t="s">
        <v>362</v>
      </c>
      <c r="D59" s="135">
        <v>4</v>
      </c>
      <c r="E59" t="s">
        <v>453</v>
      </c>
      <c r="F59" s="121">
        <v>4</v>
      </c>
    </row>
    <row r="60" spans="1:6">
      <c r="A60">
        <v>401010</v>
      </c>
      <c r="B60" t="s">
        <v>454</v>
      </c>
      <c r="C60" t="s">
        <v>368</v>
      </c>
      <c r="D60" s="135">
        <v>2600</v>
      </c>
      <c r="F60" s="121">
        <v>2600</v>
      </c>
    </row>
    <row r="61" spans="1:6">
      <c r="F61" s="121"/>
    </row>
  </sheetData>
  <sortState xmlns:xlrd2="http://schemas.microsoft.com/office/spreadsheetml/2017/richdata2" ref="A4:D40">
    <sortCondition ref="A4:A40"/>
  </sortState>
  <pageMargins left="0.7" right="0.7" top="0.75" bottom="0.75" header="0.3" footer="0.3"/>
  <pageSetup paperSize="9"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21"/>
  <sheetViews>
    <sheetView workbookViewId="0">
      <selection activeCell="B60" sqref="B60"/>
    </sheetView>
  </sheetViews>
  <sheetFormatPr defaultColWidth="9" defaultRowHeight="15"/>
  <cols>
    <col min="1" max="1" width="72.625" style="1" bestFit="1" customWidth="1"/>
    <col min="2" max="2" width="3" style="1" customWidth="1"/>
    <col min="3" max="3" width="16" style="1" customWidth="1"/>
    <col min="4" max="4" width="9" style="1"/>
    <col min="5" max="5" width="10.625" style="59" bestFit="1" customWidth="1"/>
    <col min="6" max="16384" width="9" style="1"/>
  </cols>
  <sheetData>
    <row r="2" spans="1:5">
      <c r="A2" s="1" t="s">
        <v>455</v>
      </c>
      <c r="C2" s="1" t="s">
        <v>456</v>
      </c>
      <c r="D2" s="1" t="s">
        <v>9</v>
      </c>
      <c r="E2" s="59" t="s">
        <v>10</v>
      </c>
    </row>
    <row r="3" spans="1:5">
      <c r="A3" s="1" t="s">
        <v>6</v>
      </c>
      <c r="B3" s="1" t="str">
        <f>""</f>
        <v/>
      </c>
      <c r="C3" s="1" t="str">
        <f>""</f>
        <v/>
      </c>
      <c r="D3" s="1" t="str">
        <f>""</f>
        <v/>
      </c>
      <c r="E3" s="1" t="str">
        <f>""</f>
        <v/>
      </c>
    </row>
    <row r="4" spans="1:5">
      <c r="A4" s="1" t="str">
        <f ca="1">INDEX(INDIRECT("'onderbouwing "&amp;B4&amp;"'!B3:D4",TRUE),2,1,1)</f>
        <v>ZOAB vervangen dikte 80mm</v>
      </c>
      <c r="B4" s="1">
        <v>1</v>
      </c>
      <c r="C4" s="1" t="str">
        <f t="shared" ref="C4:C19" ca="1" si="0">INDEX(INDIRECT("'onderbouwing "&amp;B4&amp;"'!B3:D4",TRUE),1,1,1)</f>
        <v>Wegtype 1 en 2</v>
      </c>
      <c r="D4" s="1" t="str">
        <f t="shared" ref="D4:D19" ca="1" si="1">INDEX(INDIRECT("'onderbouwing "&amp;B4&amp;"'!B3:D4",TRUE ),2,2,1)</f>
        <v>m2</v>
      </c>
      <c r="E4" s="59">
        <f ca="1">VALUE(INDEX(INDIRECT("'onderbouwing "&amp;B4&amp;"'!B3:D4",TRUE ),2,3,1))</f>
        <v>23.441040000000001</v>
      </c>
    </row>
    <row r="5" spans="1:5">
      <c r="A5" s="1" t="str">
        <f t="shared" ref="A5:A19" ca="1" si="2">INDEX(INDIRECT("'onderbouwing "&amp;B5&amp;"'!B3:D4",TRUE ),2,1,1)</f>
        <v>Dunne deklaag vervangen dikte 30-40mm</v>
      </c>
      <c r="B5" s="1">
        <v>2</v>
      </c>
      <c r="C5" s="1" t="str">
        <f t="shared" ca="1" si="0"/>
        <v>Wegtype 1 en 2</v>
      </c>
      <c r="D5" s="1" t="str">
        <f t="shared" ca="1" si="1"/>
        <v>m2</v>
      </c>
      <c r="E5" s="59">
        <f t="shared" ref="E5:E19" ca="1" si="3">INDEX(INDIRECT("'onderbouwing "&amp;B5&amp;"'!B3:D4",TRUE ),2,3,1)</f>
        <v>16.33933</v>
      </c>
    </row>
    <row r="6" spans="1:5">
      <c r="A6" s="1" t="str">
        <f t="shared" ca="1" si="2"/>
        <v>Dunne deklaag vervangen dikte 30-40mm met reparaties tussenlaag 80mm (25% v.h. opp.)</v>
      </c>
      <c r="B6" s="1">
        <v>3</v>
      </c>
      <c r="C6" s="1" t="str">
        <f t="shared" ca="1" si="0"/>
        <v>Wegtype 1 en 2</v>
      </c>
      <c r="D6" s="1" t="str">
        <f t="shared" ca="1" si="1"/>
        <v>m2</v>
      </c>
      <c r="E6" s="59">
        <f t="shared" ca="1" si="3"/>
        <v>18.660829999999997</v>
      </c>
    </row>
    <row r="7" spans="1:5">
      <c r="A7" s="1" t="str">
        <f t="shared" ca="1" si="2"/>
        <v>Dunne deklaag vervangen dikte 30-40mm met reparaties tussenlaag 80mm (100%)</v>
      </c>
      <c r="B7" s="1">
        <v>4</v>
      </c>
      <c r="C7" s="1" t="str">
        <f t="shared" ca="1" si="0"/>
        <v>Wegtype 1 en 2</v>
      </c>
      <c r="D7" s="1" t="str">
        <f t="shared" ca="1" si="1"/>
        <v>m2</v>
      </c>
      <c r="E7" s="59">
        <f t="shared" ca="1" si="3"/>
        <v>29.67295</v>
      </c>
    </row>
    <row r="8" spans="1:5">
      <c r="A8" s="1" t="str">
        <f t="shared" ca="1" si="2"/>
        <v>Vervangen asfaltconstructie (60 mm frezen, profileerlaag, + 170 mm asfalt incl deklaag)</v>
      </c>
      <c r="B8" s="1">
        <v>5</v>
      </c>
      <c r="C8" s="1" t="str">
        <f t="shared" ca="1" si="0"/>
        <v>Wegtype 1 en 2</v>
      </c>
      <c r="D8" s="1" t="str">
        <f t="shared" ca="1" si="1"/>
        <v>m2</v>
      </c>
      <c r="E8" s="59">
        <f t="shared" ca="1" si="3"/>
        <v>43.750549999999997</v>
      </c>
    </row>
    <row r="9" spans="1:5">
      <c r="A9" s="1" t="str">
        <f t="shared" ca="1" si="2"/>
        <v>Plaatselijk repareren en voegen vullen betonweg</v>
      </c>
      <c r="B9" s="1">
        <v>6</v>
      </c>
      <c r="C9" s="1" t="str">
        <f t="shared" ca="1" si="0"/>
        <v>Wegtype 1 en 2</v>
      </c>
      <c r="D9" s="1" t="str">
        <f t="shared" ca="1" si="1"/>
        <v>m2</v>
      </c>
      <c r="E9" s="59">
        <f t="shared" ca="1" si="3"/>
        <v>98.410000000000011</v>
      </c>
    </row>
    <row r="10" spans="1:5">
      <c r="A10" s="1" t="str">
        <f t="shared" ca="1" si="2"/>
        <v>(Gedeeltelijk) plaatvervanging betonverharding</v>
      </c>
      <c r="B10" s="1">
        <v>7</v>
      </c>
      <c r="C10" s="1" t="str">
        <f t="shared" ca="1" si="0"/>
        <v>Wegtype 1 en 2</v>
      </c>
      <c r="D10" s="1" t="str">
        <f t="shared" ca="1" si="1"/>
        <v>m2</v>
      </c>
      <c r="E10" s="59">
        <f t="shared" ca="1" si="3"/>
        <v>93.244661111111128</v>
      </c>
    </row>
    <row r="11" spans="1:5">
      <c r="A11" s="1" t="str">
        <f t="shared" ca="1" si="2"/>
        <v>Gedeeltelijk onderhoud 30%-50% elementenverharding herstraten</v>
      </c>
      <c r="B11" s="1">
        <v>8</v>
      </c>
      <c r="C11" s="1" t="str">
        <f t="shared" ca="1" si="0"/>
        <v>Wegtype 1 en 2</v>
      </c>
      <c r="D11" s="1" t="str">
        <f t="shared" ca="1" si="1"/>
        <v>m2</v>
      </c>
      <c r="E11" s="59" t="e">
        <f t="shared" ca="1" si="3"/>
        <v>#VALUE!</v>
      </c>
    </row>
    <row r="12" spans="1:5">
      <c r="A12" s="1" t="str">
        <f t="shared" ca="1" si="2"/>
        <v>Herstraten elementenverharding (100%)</v>
      </c>
      <c r="B12" s="1">
        <v>9</v>
      </c>
      <c r="C12" s="1" t="str">
        <f t="shared" ca="1" si="0"/>
        <v>Wegtype 1 en 2</v>
      </c>
      <c r="D12" s="1" t="str">
        <f t="shared" ca="1" si="1"/>
        <v>m2</v>
      </c>
      <c r="E12" s="59" t="e">
        <f t="shared" ca="1" si="3"/>
        <v>#VALUE!</v>
      </c>
    </row>
    <row r="13" spans="1:5">
      <c r="A13" s="1" t="str">
        <f t="shared" ca="1" si="2"/>
        <v>Rehabilitatie elementenverharding (fundering vervangen en elementen herstraten)</v>
      </c>
      <c r="B13" s="1">
        <v>10</v>
      </c>
      <c r="C13" s="1" t="str">
        <f t="shared" ca="1" si="0"/>
        <v>Wegtype 1 en 2</v>
      </c>
      <c r="D13" s="1" t="str">
        <f t="shared" ca="1" si="1"/>
        <v>m2</v>
      </c>
      <c r="E13" s="59" t="e">
        <f t="shared" ca="1" si="3"/>
        <v>#VALUE!</v>
      </c>
    </row>
    <row r="14" spans="1:5">
      <c r="A14" s="1" t="str">
        <f t="shared" ca="1" si="2"/>
        <v>Profileer deklaag dikte 30-40mm</v>
      </c>
      <c r="B14" s="1">
        <v>11</v>
      </c>
      <c r="C14" s="1" t="str">
        <f t="shared" ca="1" si="0"/>
        <v>Wegtype 7</v>
      </c>
      <c r="D14" s="1" t="str">
        <f t="shared" ca="1" si="1"/>
        <v>m2</v>
      </c>
      <c r="E14" s="59" t="e">
        <f t="shared" ca="1" si="3"/>
        <v>#VALUE!</v>
      </c>
    </row>
    <row r="15" spans="1:5">
      <c r="A15" s="1" t="str">
        <f t="shared" ca="1" si="2"/>
        <v>Overlagen dikte 30-40mm</v>
      </c>
      <c r="B15" s="1">
        <v>12</v>
      </c>
      <c r="C15" s="1" t="str">
        <f t="shared" ca="1" si="0"/>
        <v>Wegtype 7</v>
      </c>
      <c r="D15" s="1" t="str">
        <f t="shared" ca="1" si="1"/>
        <v>m2</v>
      </c>
      <c r="E15" s="59" t="e">
        <f t="shared" ca="1" si="3"/>
        <v>#VALUE!</v>
      </c>
    </row>
    <row r="16" spans="1:5">
      <c r="A16" s="1" t="str">
        <f t="shared" ca="1" si="2"/>
        <v>Rehabiliteren asfaltconstructie 140mm</v>
      </c>
      <c r="B16" s="1">
        <v>13</v>
      </c>
      <c r="C16" s="1" t="str">
        <f t="shared" ca="1" si="0"/>
        <v>Wegtype 7</v>
      </c>
      <c r="D16" s="1" t="str">
        <f t="shared" ca="1" si="1"/>
        <v>m2</v>
      </c>
      <c r="E16" s="59" t="e">
        <f t="shared" ca="1" si="3"/>
        <v>#VALUE!</v>
      </c>
    </row>
    <row r="17" spans="1:5">
      <c r="A17" s="1" t="str">
        <f t="shared" ca="1" si="2"/>
        <v>Plaatselijk repareren en voegen vullen betonweg</v>
      </c>
      <c r="B17" s="1">
        <v>14</v>
      </c>
      <c r="C17" s="1" t="str">
        <f t="shared" ca="1" si="0"/>
        <v>Wegtype 7</v>
      </c>
      <c r="D17" s="1" t="str">
        <f t="shared" ca="1" si="1"/>
        <v>m2</v>
      </c>
      <c r="E17" s="59" t="e">
        <f t="shared" ca="1" si="3"/>
        <v>#VALUE!</v>
      </c>
    </row>
    <row r="18" spans="1:5">
      <c r="A18" s="1" t="str">
        <f t="shared" ca="1" si="2"/>
        <v>(Gedeeltelijk) plaatvervanging betonverharding</v>
      </c>
      <c r="B18" s="1">
        <v>15</v>
      </c>
      <c r="C18" s="1" t="str">
        <f t="shared" ca="1" si="0"/>
        <v>Wegtype 7</v>
      </c>
      <c r="D18" s="1" t="str">
        <f t="shared" ca="1" si="1"/>
        <v>m2</v>
      </c>
      <c r="E18" s="59" t="e">
        <f t="shared" ca="1" si="3"/>
        <v>#VALUE!</v>
      </c>
    </row>
    <row r="19" spans="1:5">
      <c r="A19" s="1" t="str">
        <f t="shared" ca="1" si="2"/>
        <v>Gedeeltelijk onderhoud 30%-50% elementenverharding herstraten</v>
      </c>
      <c r="B19" s="1">
        <v>16</v>
      </c>
      <c r="C19" s="1" t="str">
        <f t="shared" ca="1" si="0"/>
        <v>Wegtype 7</v>
      </c>
      <c r="D19" s="1" t="str">
        <f t="shared" ca="1" si="1"/>
        <v>m2</v>
      </c>
      <c r="E19" s="59" t="e">
        <f t="shared" ca="1" si="3"/>
        <v>#VALUE!</v>
      </c>
    </row>
    <row r="20" spans="1:5">
      <c r="A20" s="1" t="str">
        <f t="shared" ref="A20:A21" ca="1" si="4">INDEX(INDIRECT("'onderbouwing "&amp;B20&amp;"'!B3:D4",TRUE ),2,1,1)</f>
        <v>Herstraten elementenverharding (100%)</v>
      </c>
      <c r="B20" s="1">
        <v>17</v>
      </c>
      <c r="C20" s="1" t="str">
        <f t="shared" ref="C20:C21" ca="1" si="5">INDEX(INDIRECT("'onderbouwing "&amp;B20&amp;"'!B3:D4",TRUE),1,1,1)</f>
        <v>Wegtype 7</v>
      </c>
      <c r="D20" s="1" t="str">
        <f t="shared" ref="D20:D21" ca="1" si="6">INDEX(INDIRECT("'onderbouwing "&amp;B20&amp;"'!B3:D4",TRUE ),2,2,1)</f>
        <v>m2</v>
      </c>
      <c r="E20" s="59" t="e">
        <f t="shared" ref="E20:E21" ca="1" si="7">INDEX(INDIRECT("'onderbouwing "&amp;B20&amp;"'!B3:D4",TRUE ),2,3,1)</f>
        <v>#VALUE!</v>
      </c>
    </row>
    <row r="21" spans="1:5">
      <c r="A21" s="1" t="str">
        <f t="shared" ca="1" si="4"/>
        <v>Rehabilitatie elementenverharding (fundering vervangen en elementen herstraten)</v>
      </c>
      <c r="B21" s="1">
        <v>18</v>
      </c>
      <c r="C21" s="1" t="str">
        <f t="shared" ca="1" si="5"/>
        <v>Wegtype 7</v>
      </c>
      <c r="D21" s="1" t="str">
        <f t="shared" ca="1" si="6"/>
        <v>m2</v>
      </c>
      <c r="E21" s="59" t="e">
        <f t="shared" ca="1" si="7"/>
        <v>#VALUE!</v>
      </c>
    </row>
  </sheetData>
  <sheetProtection password="C4EA" sheet="1" objects="1" scenarios="1"/>
  <pageMargins left="0.7" right="0.7" top="0.75" bottom="0.75" header="0.3" footer="0.3"/>
  <pageSetup paperSize="9"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J105"/>
  <sheetViews>
    <sheetView workbookViewId="0">
      <selection activeCell="B60" sqref="B60"/>
    </sheetView>
  </sheetViews>
  <sheetFormatPr defaultColWidth="8.875" defaultRowHeight="15"/>
  <cols>
    <col min="1" max="1" width="7.375" bestFit="1" customWidth="1"/>
    <col min="2" max="2" width="42.125" customWidth="1"/>
    <col min="4" max="4" width="10.625" style="3" customWidth="1"/>
    <col min="5" max="5" width="15.375" style="9" bestFit="1" customWidth="1"/>
    <col min="6" max="6" width="10.625" style="9" customWidth="1"/>
    <col min="7" max="7" width="10.625" style="7" customWidth="1"/>
    <col min="8" max="8" width="13.125" style="3" customWidth="1"/>
    <col min="9" max="9" width="36" customWidth="1"/>
  </cols>
  <sheetData>
    <row r="2" spans="1:10">
      <c r="A2" t="s">
        <v>6</v>
      </c>
      <c r="B2" s="1" t="s">
        <v>7</v>
      </c>
      <c r="C2" s="1" t="s">
        <v>9</v>
      </c>
      <c r="D2" s="2" t="s">
        <v>10</v>
      </c>
      <c r="E2" s="6"/>
      <c r="F2" s="6"/>
    </row>
    <row r="3" spans="1:10">
      <c r="B3" s="1" t="s">
        <v>457</v>
      </c>
      <c r="C3" s="1"/>
      <c r="D3" s="2"/>
      <c r="E3" s="6"/>
      <c r="F3" s="6"/>
    </row>
    <row r="4" spans="1:10" ht="15.95" thickBot="1">
      <c r="A4" s="4">
        <v>1</v>
      </c>
      <c r="B4" s="4" t="s">
        <v>458</v>
      </c>
      <c r="C4" s="4" t="s">
        <v>362</v>
      </c>
      <c r="D4" s="5">
        <f ca="1">SUM(H7:H25)</f>
        <v>23.441040000000001</v>
      </c>
      <c r="E4" s="8"/>
      <c r="F4" s="8"/>
    </row>
    <row r="5" spans="1:10" ht="15.95" thickTop="1">
      <c r="B5" t="s">
        <v>459</v>
      </c>
    </row>
    <row r="6" spans="1:10">
      <c r="A6" t="s">
        <v>350</v>
      </c>
      <c r="B6" t="s">
        <v>351</v>
      </c>
      <c r="C6" t="s">
        <v>9</v>
      </c>
      <c r="D6" s="3" t="s">
        <v>10</v>
      </c>
      <c r="E6" s="9" t="s">
        <v>460</v>
      </c>
      <c r="F6" s="9" t="s">
        <v>461</v>
      </c>
      <c r="G6" s="7" t="s">
        <v>8</v>
      </c>
      <c r="H6" s="3" t="s">
        <v>11</v>
      </c>
      <c r="I6" t="s">
        <v>462</v>
      </c>
      <c r="J6" t="s">
        <v>463</v>
      </c>
    </row>
    <row r="7" spans="1:10">
      <c r="A7" s="84">
        <v>201180</v>
      </c>
      <c r="B7" t="str">
        <f ca="1">IF(A7=VLOOKUP(A7,INDIRECT("tarieven!$A$3:$D$"&amp;tarieven!$A$1+3,TRUE),1),VLOOKUP(A7,INDIRECT("tarieven!$A$3:$D$"&amp;tarieven!$A$1+3,TRUE),2),"")</f>
        <v>Frezen asfalt 80mm niet teerh. incl. afvoer en stortkosten 0,-</v>
      </c>
      <c r="C7" t="str">
        <f ca="1">IF(A7=VLOOKUP(A7,INDIRECT("tarieven!$A$3:$D$"&amp;tarieven!$A$1+3,TRUE),1),VLOOKUP(A7,INDIRECT("tarieven!$A$3:$D$"&amp;tarieven!$A$1+3,TRUE),3),"")</f>
        <v>m2</v>
      </c>
      <c r="D7" s="3">
        <f ca="1">IF(A7=VLOOKUP(A7,INDIRECT("tarieven!$A$3:$D$"&amp;tarieven!$A$1+3,TRUE),1),VLOOKUP(A7,INDIRECT("tarieven!$A$3:$D$"&amp;tarieven!$A$1+3,TRUE),4),"")</f>
        <v>4.37</v>
      </c>
      <c r="E7" s="85">
        <v>1</v>
      </c>
      <c r="F7" s="9" t="str">
        <f t="shared" ref="F7:F26" ca="1" si="0">IF(C7="","",$C$4&amp;"/"&amp;C7)</f>
        <v>m2/m2</v>
      </c>
      <c r="G7" s="10">
        <f t="shared" ref="G7" si="1">IF(E7="","",1/E7)</f>
        <v>1</v>
      </c>
      <c r="H7" s="3">
        <f ca="1">IF(D7="","",D7*G7)</f>
        <v>4.37</v>
      </c>
    </row>
    <row r="8" spans="1:10">
      <c r="A8" s="84">
        <v>201610</v>
      </c>
      <c r="B8" t="str">
        <f ca="1">IF(A8=VLOOKUP(A8,INDIRECT("tarieven!$A$3:$D$"&amp;tarieven!$A$1+3,TRUE),1),VLOOKUP(A8,INDIRECT("tarieven!$A$3:$D$"&amp;tarieven!$A$1+3,TRUE),2),"")</f>
        <v>Schoonmaken oppervlak t.b.v. reparaties</v>
      </c>
      <c r="C8" t="str">
        <f ca="1">IF(A8=VLOOKUP(A8,INDIRECT("tarieven!$A$3:$D$"&amp;tarieven!$A$1+3,TRUE),1),VLOOKUP(A8,INDIRECT("tarieven!$A$3:$D$"&amp;tarieven!$A$1+3,TRUE),3),"")</f>
        <v>m2</v>
      </c>
      <c r="D8" s="3">
        <f ca="1">IF(A8=VLOOKUP(A8,INDIRECT("tarieven!$A$3:$D$"&amp;tarieven!$A$1+3,TRUE),1),VLOOKUP(A8,INDIRECT("tarieven!$A$3:$D$"&amp;tarieven!$A$1+3,TRUE),4),"")</f>
        <v>0.4</v>
      </c>
      <c r="E8" s="85">
        <v>1</v>
      </c>
      <c r="F8" s="9" t="str">
        <f t="shared" ref="F8:F25" ca="1" si="2">IF(C8="","",$C$4&amp;"/"&amp;C8)</f>
        <v>m2/m2</v>
      </c>
      <c r="G8" s="10">
        <f t="shared" ref="G8:G25" si="3">IF(E8="","",1/E8)</f>
        <v>1</v>
      </c>
      <c r="H8" s="3">
        <f t="shared" ref="H8:H14" ca="1" si="4">IF(D8="","",D8*G8)</f>
        <v>0.4</v>
      </c>
    </row>
    <row r="9" spans="1:10">
      <c r="A9" s="84">
        <v>302810</v>
      </c>
      <c r="B9" t="str">
        <f ca="1">IF(A9=VLOOKUP(A9,INDIRECT("tarieven!$A$3:$D$"&amp;tarieven!$A$1+3,TRUE),1),VLOOKUP(A9,INDIRECT("tarieven!$A$3:$D$"&amp;tarieven!$A$1+3,TRUE),2),"")</f>
        <v>kleeflaag 0,3kg/m2</v>
      </c>
      <c r="C9" t="str">
        <f ca="1">IF(A9=VLOOKUP(A9,INDIRECT("tarieven!$A$3:$D$"&amp;tarieven!$A$1+3,TRUE),1),VLOOKUP(A9,INDIRECT("tarieven!$A$3:$D$"&amp;tarieven!$A$1+3,TRUE),3),"")</f>
        <v>m2</v>
      </c>
      <c r="D9" s="3">
        <f ca="1">IF(A9=VLOOKUP(A9,INDIRECT("tarieven!$A$3:$D$"&amp;tarieven!$A$1+3,TRUE),1),VLOOKUP(A9,INDIRECT("tarieven!$A$3:$D$"&amp;tarieven!$A$1+3,TRUE),4),"")</f>
        <v>0.35</v>
      </c>
      <c r="E9" s="85">
        <v>1</v>
      </c>
      <c r="F9" s="9" t="str">
        <f t="shared" ca="1" si="2"/>
        <v>m2/m2</v>
      </c>
      <c r="G9" s="10">
        <f t="shared" si="3"/>
        <v>1</v>
      </c>
      <c r="H9" s="3">
        <f t="shared" ca="1" si="4"/>
        <v>0.35</v>
      </c>
    </row>
    <row r="10" spans="1:10">
      <c r="A10" s="84">
        <v>300040</v>
      </c>
      <c r="B10" t="str">
        <f ca="1">IF(A10=VLOOKUP(A10,INDIRECT("tarieven!$A$3:$D$"&amp;tarieven!$A$1+3,TRUE),1),VLOOKUP(A10,INDIRECT("tarieven!$A$3:$D$"&amp;tarieven!$A$1+3,TRUE),2),"")</f>
        <v>asfaltset groot met transport incl. (+ aan en afvoerkosten)</v>
      </c>
      <c r="C10" t="str">
        <f ca="1">IF(A10=VLOOKUP(A10,INDIRECT("tarieven!$A$3:$D$"&amp;tarieven!$A$1+3,TRUE),1),VLOOKUP(A10,INDIRECT("tarieven!$A$3:$D$"&amp;tarieven!$A$1+3,TRUE),3),"")</f>
        <v>dag</v>
      </c>
      <c r="D10" s="3">
        <f ca="1">IF(A10=VLOOKUP(A10,INDIRECT("tarieven!$A$3:$D$"&amp;tarieven!$A$1+3,TRUE),1),VLOOKUP(A10,INDIRECT("tarieven!$A$3:$D$"&amp;tarieven!$A$1+3,TRUE),4),"")</f>
        <v>6355.2</v>
      </c>
      <c r="E10" s="85">
        <v>5000</v>
      </c>
      <c r="F10" s="9" t="str">
        <f t="shared" ca="1" si="2"/>
        <v>m2/dag</v>
      </c>
      <c r="G10" s="10">
        <f t="shared" si="3"/>
        <v>2.0000000000000001E-4</v>
      </c>
      <c r="H10" s="3">
        <f t="shared" ca="1" si="4"/>
        <v>1.2710399999999999</v>
      </c>
      <c r="I10" t="s">
        <v>464</v>
      </c>
    </row>
    <row r="11" spans="1:10">
      <c r="A11" s="84">
        <v>301110</v>
      </c>
      <c r="B11" t="str">
        <f ca="1">IF(A11=VLOOKUP(A11,INDIRECT("tarieven!$A$3:$D$"&amp;tarieven!$A$1+3,TRUE),1),VLOOKUP(A11,INDIRECT("tarieven!$A$3:$D$"&amp;tarieven!$A$1+3,TRUE),2),"")</f>
        <v>levering ZOAB asfalt 0/11 en 0/16</v>
      </c>
      <c r="C11" t="str">
        <f ca="1">IF(A11=VLOOKUP(A11,INDIRECT("tarieven!$A$3:$D$"&amp;tarieven!$A$1+3,TRUE),1),VLOOKUP(A11,INDIRECT("tarieven!$A$3:$D$"&amp;tarieven!$A$1+3,TRUE),3),"")</f>
        <v>ton</v>
      </c>
      <c r="D11" s="3">
        <f ca="1">IF(A11=VLOOKUP(A11,INDIRECT("tarieven!$A$3:$D$"&amp;tarieven!$A$1+3,TRUE),1),VLOOKUP(A11,INDIRECT("tarieven!$A$3:$D$"&amp;tarieven!$A$1+3,TRUE),4),"")</f>
        <v>83.5</v>
      </c>
      <c r="E11" s="85">
        <f>0.4/0.03</f>
        <v>13.333333333333334</v>
      </c>
      <c r="F11" s="9" t="str">
        <f t="shared" ca="1" si="2"/>
        <v>m2/ton</v>
      </c>
      <c r="G11" s="10">
        <f t="shared" si="3"/>
        <v>7.4999999999999997E-2</v>
      </c>
      <c r="H11" s="3">
        <f t="shared" ca="1" si="4"/>
        <v>6.2625000000000002</v>
      </c>
      <c r="I11" t="s">
        <v>465</v>
      </c>
      <c r="J11">
        <f>E11*400</f>
        <v>5333.3333333333339</v>
      </c>
    </row>
    <row r="12" spans="1:10">
      <c r="A12" s="84">
        <v>302810</v>
      </c>
      <c r="B12" t="str">
        <f ca="1">IF(A12=VLOOKUP(A12,INDIRECT("tarieven!$A$3:$D$"&amp;tarieven!$A$1+3,TRUE),1),VLOOKUP(A12,INDIRECT("tarieven!$A$3:$D$"&amp;tarieven!$A$1+3,TRUE),2),"")</f>
        <v>kleeflaag 0,3kg/m2</v>
      </c>
      <c r="C12" t="str">
        <f ca="1">IF(A12=VLOOKUP(A12,INDIRECT("tarieven!$A$3:$D$"&amp;tarieven!$A$1+3,TRUE),1),VLOOKUP(A12,INDIRECT("tarieven!$A$3:$D$"&amp;tarieven!$A$1+3,TRUE),3),"")</f>
        <v>m2</v>
      </c>
      <c r="D12" s="3">
        <f ca="1">IF(A12=VLOOKUP(A12,INDIRECT("tarieven!$A$3:$D$"&amp;tarieven!$A$1+3,TRUE),1),VLOOKUP(A12,INDIRECT("tarieven!$A$3:$D$"&amp;tarieven!$A$1+3,TRUE),4),"")</f>
        <v>0.35</v>
      </c>
      <c r="E12" s="85">
        <v>1</v>
      </c>
      <c r="F12" s="9" t="str">
        <f t="shared" ca="1" si="2"/>
        <v>m2/m2</v>
      </c>
      <c r="G12" s="10">
        <f t="shared" si="3"/>
        <v>1</v>
      </c>
      <c r="H12" s="3">
        <f t="shared" ca="1" si="4"/>
        <v>0.35</v>
      </c>
    </row>
    <row r="13" spans="1:10">
      <c r="A13" s="84">
        <v>301110</v>
      </c>
      <c r="B13" t="str">
        <f ca="1">IF(A13=VLOOKUP(A13,INDIRECT("tarieven!$A$3:$D$"&amp;tarieven!$A$1+3,TRUE),1),VLOOKUP(A13,INDIRECT("tarieven!$A$3:$D$"&amp;tarieven!$A$1+3,TRUE),2),"")</f>
        <v>levering ZOAB asfalt 0/11 en 0/16</v>
      </c>
      <c r="C13" t="str">
        <f ca="1">IF(A13=VLOOKUP(A13,INDIRECT("tarieven!$A$3:$D$"&amp;tarieven!$A$1+3,TRUE),1),VLOOKUP(A13,INDIRECT("tarieven!$A$3:$D$"&amp;tarieven!$A$1+3,TRUE),3),"")</f>
        <v>ton</v>
      </c>
      <c r="D13" s="3">
        <f ca="1">IF(A13=VLOOKUP(A13,INDIRECT("tarieven!$A$3:$D$"&amp;tarieven!$A$1+3,TRUE),1),VLOOKUP(A13,INDIRECT("tarieven!$A$3:$D$"&amp;tarieven!$A$1+3,TRUE),4),"")</f>
        <v>83.5</v>
      </c>
      <c r="E13" s="85">
        <f>0.4/0.05</f>
        <v>8</v>
      </c>
      <c r="F13" s="9" t="str">
        <f t="shared" ca="1" si="2"/>
        <v>m2/ton</v>
      </c>
      <c r="G13" s="10">
        <f t="shared" si="3"/>
        <v>0.125</v>
      </c>
      <c r="H13" s="3">
        <f t="shared" ca="1" si="4"/>
        <v>10.4375</v>
      </c>
      <c r="I13" t="s">
        <v>466</v>
      </c>
    </row>
    <row r="14" spans="1:10">
      <c r="A14" s="84">
        <v>401010</v>
      </c>
      <c r="B14" t="str">
        <f ca="1">IF(A14=VLOOKUP(A14,INDIRECT("tarieven!$A$3:$D$"&amp;tarieven!$A$1+3,TRUE),1),VLOOKUP(A14,INDIRECT("tarieven!$A$3:$D$"&amp;tarieven!$A$1+3,TRUE),2),"")</f>
        <v/>
      </c>
      <c r="C14" t="str">
        <f ca="1">IF(A14=VLOOKUP(A14,INDIRECT("tarieven!$A$3:$D$"&amp;tarieven!$A$1+3,TRUE),1),VLOOKUP(A14,INDIRECT("tarieven!$A$3:$D$"&amp;tarieven!$A$1+3,TRUE),3),"")</f>
        <v/>
      </c>
      <c r="D14" s="3" t="str">
        <f ca="1">IF(A14=VLOOKUP(A14,INDIRECT("tarieven!$A$3:$D$"&amp;tarieven!$A$1+3,TRUE),1),VLOOKUP(A14,INDIRECT("tarieven!$A$3:$D$"&amp;tarieven!$A$1+3,TRUE),4),"")</f>
        <v/>
      </c>
      <c r="E14" s="85">
        <v>5000</v>
      </c>
      <c r="F14" s="9" t="str">
        <f t="shared" ca="1" si="2"/>
        <v/>
      </c>
      <c r="G14" s="10">
        <f t="shared" si="3"/>
        <v>2.0000000000000001E-4</v>
      </c>
      <c r="H14" s="3" t="str">
        <f t="shared" ca="1" si="4"/>
        <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5"/>
      <c r="F15" s="9" t="str">
        <f t="shared" ca="1" si="2"/>
        <v/>
      </c>
      <c r="G15" s="10" t="str">
        <f t="shared" si="3"/>
        <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5"/>
      <c r="F16" s="9" t="str">
        <f t="shared" ca="1" si="2"/>
        <v/>
      </c>
      <c r="G16" s="10" t="str">
        <f t="shared" si="3"/>
        <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5"/>
      <c r="F17" s="9" t="str">
        <f t="shared" ca="1" si="2"/>
        <v/>
      </c>
      <c r="G17" s="10" t="str">
        <f t="shared" si="3"/>
        <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5"/>
      <c r="F18" s="9" t="str">
        <f t="shared" ca="1" si="2"/>
        <v/>
      </c>
      <c r="G18" s="10" t="str">
        <f t="shared" si="3"/>
        <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5"/>
      <c r="F19" s="9" t="str">
        <f t="shared" ca="1" si="2"/>
        <v/>
      </c>
      <c r="G19" s="10" t="str">
        <f t="shared" si="3"/>
        <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5"/>
      <c r="F20" s="9" t="str">
        <f t="shared" ca="1" si="2"/>
        <v/>
      </c>
      <c r="G20" s="10" t="str">
        <f t="shared" si="3"/>
        <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5"/>
      <c r="F21" s="9" t="str">
        <f t="shared" ca="1" si="2"/>
        <v/>
      </c>
      <c r="G21" s="10" t="str">
        <f t="shared" si="3"/>
        <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5"/>
      <c r="F22" s="9" t="str">
        <f t="shared" ca="1" si="2"/>
        <v/>
      </c>
      <c r="G22" s="10" t="str">
        <f t="shared" si="3"/>
        <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5"/>
      <c r="F23" s="9" t="str">
        <f t="shared" ca="1" si="2"/>
        <v/>
      </c>
      <c r="G23" s="10" t="str">
        <f t="shared" si="3"/>
        <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5"/>
      <c r="F24" s="9" t="str">
        <f t="shared" ca="1" si="2"/>
        <v/>
      </c>
      <c r="G24" s="10" t="str">
        <f t="shared" si="3"/>
        <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5"/>
      <c r="F25" s="9" t="str">
        <f t="shared" ca="1" si="2"/>
        <v/>
      </c>
      <c r="G25" s="10" t="str">
        <f t="shared" si="3"/>
        <v/>
      </c>
    </row>
    <row r="26" spans="1:8">
      <c r="F26" s="9" t="str">
        <f t="shared" si="0"/>
        <v/>
      </c>
      <c r="G26" s="10" t="str">
        <f t="shared" ref="G26:G71" si="5">IF(E26="","",1/E26)</f>
        <v/>
      </c>
      <c r="H26" s="3" t="str">
        <f t="shared" ref="H26:H57" si="6">IF(G26="","",D26*G26)</f>
        <v/>
      </c>
    </row>
    <row r="27" spans="1:8">
      <c r="G27" s="10" t="str">
        <f t="shared" si="5"/>
        <v/>
      </c>
      <c r="H27" s="3" t="str">
        <f t="shared" si="6"/>
        <v/>
      </c>
    </row>
    <row r="28" spans="1:8">
      <c r="G28" s="10" t="str">
        <f t="shared" si="5"/>
        <v/>
      </c>
      <c r="H28" s="3" t="str">
        <f t="shared" si="6"/>
        <v/>
      </c>
    </row>
    <row r="29" spans="1:8">
      <c r="G29" s="10" t="str">
        <f t="shared" si="5"/>
        <v/>
      </c>
      <c r="H29" s="3" t="str">
        <f t="shared" si="6"/>
        <v/>
      </c>
    </row>
    <row r="30" spans="1:8">
      <c r="G30" s="10" t="str">
        <f t="shared" si="5"/>
        <v/>
      </c>
      <c r="H30" s="3" t="str">
        <f t="shared" si="6"/>
        <v/>
      </c>
    </row>
    <row r="31" spans="1:8">
      <c r="G31" s="10" t="str">
        <f t="shared" si="5"/>
        <v/>
      </c>
      <c r="H31" s="3" t="str">
        <f t="shared" si="6"/>
        <v/>
      </c>
    </row>
    <row r="32" spans="1:8">
      <c r="G32" s="10" t="str">
        <f t="shared" si="5"/>
        <v/>
      </c>
      <c r="H32" s="3" t="str">
        <f t="shared" si="6"/>
        <v/>
      </c>
    </row>
    <row r="33" spans="7:8">
      <c r="G33" s="10" t="str">
        <f t="shared" si="5"/>
        <v/>
      </c>
      <c r="H33" s="3" t="str">
        <f t="shared" si="6"/>
        <v/>
      </c>
    </row>
    <row r="34" spans="7:8">
      <c r="G34" s="10" t="str">
        <f t="shared" si="5"/>
        <v/>
      </c>
      <c r="H34" s="3" t="str">
        <f t="shared" si="6"/>
        <v/>
      </c>
    </row>
    <row r="35" spans="7:8">
      <c r="G35" s="10" t="str">
        <f t="shared" si="5"/>
        <v/>
      </c>
      <c r="H35" s="3" t="str">
        <f t="shared" si="6"/>
        <v/>
      </c>
    </row>
    <row r="36" spans="7:8">
      <c r="G36" s="10" t="str">
        <f t="shared" si="5"/>
        <v/>
      </c>
      <c r="H36" s="3" t="str">
        <f t="shared" si="6"/>
        <v/>
      </c>
    </row>
    <row r="37" spans="7:8">
      <c r="G37" s="10" t="str">
        <f t="shared" si="5"/>
        <v/>
      </c>
      <c r="H37" s="3" t="str">
        <f t="shared" si="6"/>
        <v/>
      </c>
    </row>
    <row r="38" spans="7:8">
      <c r="G38" s="10" t="str">
        <f t="shared" si="5"/>
        <v/>
      </c>
      <c r="H38" s="3" t="str">
        <f t="shared" si="6"/>
        <v/>
      </c>
    </row>
    <row r="39" spans="7:8">
      <c r="G39" s="10" t="str">
        <f t="shared" si="5"/>
        <v/>
      </c>
      <c r="H39" s="3" t="str">
        <f t="shared" si="6"/>
        <v/>
      </c>
    </row>
    <row r="40" spans="7:8">
      <c r="G40" s="10" t="str">
        <f t="shared" si="5"/>
        <v/>
      </c>
      <c r="H40" s="3" t="str">
        <f t="shared" si="6"/>
        <v/>
      </c>
    </row>
    <row r="41" spans="7:8">
      <c r="G41" s="10" t="str">
        <f t="shared" si="5"/>
        <v/>
      </c>
      <c r="H41" s="3" t="str">
        <f t="shared" si="6"/>
        <v/>
      </c>
    </row>
    <row r="42" spans="7:8">
      <c r="G42" s="10" t="str">
        <f t="shared" si="5"/>
        <v/>
      </c>
      <c r="H42" s="3" t="str">
        <f t="shared" si="6"/>
        <v/>
      </c>
    </row>
    <row r="43" spans="7:8">
      <c r="G43" s="10" t="str">
        <f t="shared" si="5"/>
        <v/>
      </c>
      <c r="H43" s="3" t="str">
        <f t="shared" si="6"/>
        <v/>
      </c>
    </row>
    <row r="44" spans="7:8">
      <c r="G44" s="10" t="str">
        <f t="shared" si="5"/>
        <v/>
      </c>
      <c r="H44" s="3" t="str">
        <f t="shared" si="6"/>
        <v/>
      </c>
    </row>
    <row r="45" spans="7:8">
      <c r="G45" s="10" t="str">
        <f t="shared" si="5"/>
        <v/>
      </c>
      <c r="H45" s="3" t="str">
        <f t="shared" si="6"/>
        <v/>
      </c>
    </row>
    <row r="46" spans="7:8">
      <c r="G46" s="10" t="str">
        <f t="shared" si="5"/>
        <v/>
      </c>
      <c r="H46" s="3" t="str">
        <f t="shared" si="6"/>
        <v/>
      </c>
    </row>
    <row r="47" spans="7:8">
      <c r="G47" s="10" t="str">
        <f t="shared" si="5"/>
        <v/>
      </c>
      <c r="H47" s="3" t="str">
        <f t="shared" si="6"/>
        <v/>
      </c>
    </row>
    <row r="48" spans="7:8">
      <c r="G48" s="10" t="str">
        <f t="shared" si="5"/>
        <v/>
      </c>
      <c r="H48" s="3" t="str">
        <f t="shared" si="6"/>
        <v/>
      </c>
    </row>
    <row r="49" spans="7:8">
      <c r="G49" s="10" t="str">
        <f t="shared" si="5"/>
        <v/>
      </c>
      <c r="H49" s="3" t="str">
        <f t="shared" si="6"/>
        <v/>
      </c>
    </row>
    <row r="50" spans="7:8">
      <c r="G50" s="10" t="str">
        <f t="shared" si="5"/>
        <v/>
      </c>
      <c r="H50" s="3" t="str">
        <f t="shared" si="6"/>
        <v/>
      </c>
    </row>
    <row r="51" spans="7:8">
      <c r="G51" s="10" t="str">
        <f t="shared" si="5"/>
        <v/>
      </c>
      <c r="H51" s="3" t="str">
        <f t="shared" si="6"/>
        <v/>
      </c>
    </row>
    <row r="52" spans="7:8">
      <c r="G52" s="10" t="str">
        <f t="shared" si="5"/>
        <v/>
      </c>
      <c r="H52" s="3" t="str">
        <f t="shared" si="6"/>
        <v/>
      </c>
    </row>
    <row r="53" spans="7:8">
      <c r="G53" s="10" t="str">
        <f t="shared" si="5"/>
        <v/>
      </c>
      <c r="H53" s="3" t="str">
        <f t="shared" si="6"/>
        <v/>
      </c>
    </row>
    <row r="54" spans="7:8">
      <c r="G54" s="10" t="str">
        <f t="shared" si="5"/>
        <v/>
      </c>
      <c r="H54" s="3" t="str">
        <f t="shared" si="6"/>
        <v/>
      </c>
    </row>
    <row r="55" spans="7:8">
      <c r="G55" s="10" t="str">
        <f t="shared" si="5"/>
        <v/>
      </c>
      <c r="H55" s="3" t="str">
        <f t="shared" si="6"/>
        <v/>
      </c>
    </row>
    <row r="56" spans="7:8">
      <c r="G56" s="10" t="str">
        <f t="shared" si="5"/>
        <v/>
      </c>
      <c r="H56" s="3" t="str">
        <f t="shared" si="6"/>
        <v/>
      </c>
    </row>
    <row r="57" spans="7:8">
      <c r="G57" s="10" t="str">
        <f t="shared" si="5"/>
        <v/>
      </c>
      <c r="H57" s="3" t="str">
        <f t="shared" si="6"/>
        <v/>
      </c>
    </row>
    <row r="58" spans="7:8">
      <c r="G58" s="10" t="str">
        <f t="shared" si="5"/>
        <v/>
      </c>
      <c r="H58" s="3" t="str">
        <f t="shared" ref="H58:H89" si="7">IF(G58="","",D58*G58)</f>
        <v/>
      </c>
    </row>
    <row r="59" spans="7:8">
      <c r="G59" s="10" t="str">
        <f t="shared" si="5"/>
        <v/>
      </c>
      <c r="H59" s="3" t="str">
        <f t="shared" si="7"/>
        <v/>
      </c>
    </row>
    <row r="60" spans="7:8">
      <c r="G60" s="10" t="str">
        <f t="shared" si="5"/>
        <v/>
      </c>
      <c r="H60" s="3" t="str">
        <f t="shared" si="7"/>
        <v/>
      </c>
    </row>
    <row r="61" spans="7:8">
      <c r="G61" s="10" t="str">
        <f t="shared" si="5"/>
        <v/>
      </c>
      <c r="H61" s="3" t="str">
        <f t="shared" si="7"/>
        <v/>
      </c>
    </row>
    <row r="62" spans="7:8">
      <c r="G62" s="10" t="str">
        <f t="shared" si="5"/>
        <v/>
      </c>
      <c r="H62" s="3" t="str">
        <f t="shared" si="7"/>
        <v/>
      </c>
    </row>
    <row r="63" spans="7:8">
      <c r="G63" s="10" t="str">
        <f t="shared" si="5"/>
        <v/>
      </c>
      <c r="H63" s="3" t="str">
        <f t="shared" si="7"/>
        <v/>
      </c>
    </row>
    <row r="64" spans="7:8">
      <c r="G64" s="10" t="str">
        <f t="shared" si="5"/>
        <v/>
      </c>
      <c r="H64" s="3" t="str">
        <f t="shared" si="7"/>
        <v/>
      </c>
    </row>
    <row r="65" spans="7:8">
      <c r="G65" s="10" t="str">
        <f t="shared" si="5"/>
        <v/>
      </c>
      <c r="H65" s="3" t="str">
        <f t="shared" si="7"/>
        <v/>
      </c>
    </row>
    <row r="66" spans="7:8">
      <c r="G66" s="10" t="str">
        <f t="shared" si="5"/>
        <v/>
      </c>
      <c r="H66" s="3" t="str">
        <f t="shared" si="7"/>
        <v/>
      </c>
    </row>
    <row r="67" spans="7:8">
      <c r="G67" s="10" t="str">
        <f t="shared" si="5"/>
        <v/>
      </c>
      <c r="H67" s="3" t="str">
        <f t="shared" si="7"/>
        <v/>
      </c>
    </row>
    <row r="68" spans="7:8">
      <c r="G68" s="10" t="str">
        <f t="shared" si="5"/>
        <v/>
      </c>
      <c r="H68" s="3" t="str">
        <f t="shared" si="7"/>
        <v/>
      </c>
    </row>
    <row r="69" spans="7:8">
      <c r="G69" s="10" t="str">
        <f t="shared" si="5"/>
        <v/>
      </c>
      <c r="H69" s="3" t="str">
        <f t="shared" si="7"/>
        <v/>
      </c>
    </row>
    <row r="70" spans="7:8">
      <c r="G70" s="10" t="str">
        <f t="shared" si="5"/>
        <v/>
      </c>
      <c r="H70" s="3" t="str">
        <f t="shared" si="7"/>
        <v/>
      </c>
    </row>
    <row r="71" spans="7:8">
      <c r="G71" s="10" t="str">
        <f t="shared" si="5"/>
        <v/>
      </c>
      <c r="H71" s="3" t="str">
        <f t="shared" si="7"/>
        <v/>
      </c>
    </row>
    <row r="72" spans="7:8">
      <c r="G72" s="10" t="str">
        <f t="shared" ref="G72:G105" si="8">IF(E72="","",1/E72)</f>
        <v/>
      </c>
      <c r="H72" s="3" t="str">
        <f t="shared" si="7"/>
        <v/>
      </c>
    </row>
    <row r="73" spans="7:8">
      <c r="G73" s="10" t="str">
        <f t="shared" si="8"/>
        <v/>
      </c>
      <c r="H73" s="3" t="str">
        <f t="shared" si="7"/>
        <v/>
      </c>
    </row>
    <row r="74" spans="7:8">
      <c r="G74" s="10" t="str">
        <f t="shared" si="8"/>
        <v/>
      </c>
      <c r="H74" s="3" t="str">
        <f t="shared" si="7"/>
        <v/>
      </c>
    </row>
    <row r="75" spans="7:8">
      <c r="G75" s="10" t="str">
        <f t="shared" si="8"/>
        <v/>
      </c>
      <c r="H75" s="3" t="str">
        <f t="shared" si="7"/>
        <v/>
      </c>
    </row>
    <row r="76" spans="7:8">
      <c r="G76" s="10" t="str">
        <f t="shared" si="8"/>
        <v/>
      </c>
      <c r="H76" s="3" t="str">
        <f t="shared" si="7"/>
        <v/>
      </c>
    </row>
    <row r="77" spans="7:8">
      <c r="G77" s="10" t="str">
        <f t="shared" si="8"/>
        <v/>
      </c>
      <c r="H77" s="3" t="str">
        <f t="shared" si="7"/>
        <v/>
      </c>
    </row>
    <row r="78" spans="7:8">
      <c r="G78" s="10" t="str">
        <f t="shared" si="8"/>
        <v/>
      </c>
      <c r="H78" s="3" t="str">
        <f t="shared" si="7"/>
        <v/>
      </c>
    </row>
    <row r="79" spans="7:8">
      <c r="G79" s="10" t="str">
        <f t="shared" si="8"/>
        <v/>
      </c>
      <c r="H79" s="3" t="str">
        <f t="shared" si="7"/>
        <v/>
      </c>
    </row>
    <row r="80" spans="7:8">
      <c r="G80" s="10" t="str">
        <f t="shared" si="8"/>
        <v/>
      </c>
      <c r="H80" s="3" t="str">
        <f t="shared" si="7"/>
        <v/>
      </c>
    </row>
    <row r="81" spans="7:8">
      <c r="G81" s="10" t="str">
        <f t="shared" si="8"/>
        <v/>
      </c>
      <c r="H81" s="3" t="str">
        <f t="shared" si="7"/>
        <v/>
      </c>
    </row>
    <row r="82" spans="7:8">
      <c r="G82" s="10" t="str">
        <f t="shared" si="8"/>
        <v/>
      </c>
      <c r="H82" s="3" t="str">
        <f t="shared" si="7"/>
        <v/>
      </c>
    </row>
    <row r="83" spans="7:8">
      <c r="G83" s="10" t="str">
        <f t="shared" si="8"/>
        <v/>
      </c>
      <c r="H83" s="3" t="str">
        <f t="shared" si="7"/>
        <v/>
      </c>
    </row>
    <row r="84" spans="7:8">
      <c r="G84" s="10" t="str">
        <f t="shared" si="8"/>
        <v/>
      </c>
      <c r="H84" s="3" t="str">
        <f t="shared" si="7"/>
        <v/>
      </c>
    </row>
    <row r="85" spans="7:8">
      <c r="G85" s="10" t="str">
        <f t="shared" si="8"/>
        <v/>
      </c>
      <c r="H85" s="3" t="str">
        <f t="shared" si="7"/>
        <v/>
      </c>
    </row>
    <row r="86" spans="7:8">
      <c r="G86" s="10" t="str">
        <f t="shared" si="8"/>
        <v/>
      </c>
      <c r="H86" s="3" t="str">
        <f t="shared" si="7"/>
        <v/>
      </c>
    </row>
    <row r="87" spans="7:8">
      <c r="G87" s="10" t="str">
        <f t="shared" si="8"/>
        <v/>
      </c>
      <c r="H87" s="3" t="str">
        <f t="shared" si="7"/>
        <v/>
      </c>
    </row>
    <row r="88" spans="7:8">
      <c r="G88" s="10" t="str">
        <f t="shared" si="8"/>
        <v/>
      </c>
      <c r="H88" s="3" t="str">
        <f t="shared" si="7"/>
        <v/>
      </c>
    </row>
    <row r="89" spans="7:8">
      <c r="G89" s="10" t="str">
        <f t="shared" si="8"/>
        <v/>
      </c>
      <c r="H89" s="3" t="str">
        <f t="shared" si="7"/>
        <v/>
      </c>
    </row>
    <row r="90" spans="7:8">
      <c r="G90" s="10" t="str">
        <f t="shared" si="8"/>
        <v/>
      </c>
      <c r="H90" s="3" t="str">
        <f t="shared" ref="H90:H105" si="9">IF(G90="","",D90*G90)</f>
        <v/>
      </c>
    </row>
    <row r="91" spans="7:8">
      <c r="G91" s="10" t="str">
        <f t="shared" si="8"/>
        <v/>
      </c>
      <c r="H91" s="3" t="str">
        <f t="shared" si="9"/>
        <v/>
      </c>
    </row>
    <row r="92" spans="7:8">
      <c r="G92" s="10" t="str">
        <f t="shared" si="8"/>
        <v/>
      </c>
      <c r="H92" s="3" t="str">
        <f t="shared" si="9"/>
        <v/>
      </c>
    </row>
    <row r="93" spans="7:8">
      <c r="G93" s="10" t="str">
        <f t="shared" si="8"/>
        <v/>
      </c>
      <c r="H93" s="3" t="str">
        <f t="shared" si="9"/>
        <v/>
      </c>
    </row>
    <row r="94" spans="7:8">
      <c r="G94" s="10" t="str">
        <f t="shared" si="8"/>
        <v/>
      </c>
      <c r="H94" s="3" t="str">
        <f t="shared" si="9"/>
        <v/>
      </c>
    </row>
    <row r="95" spans="7:8">
      <c r="G95" s="10" t="str">
        <f t="shared" si="8"/>
        <v/>
      </c>
      <c r="H95" s="3" t="str">
        <f t="shared" si="9"/>
        <v/>
      </c>
    </row>
    <row r="96" spans="7:8">
      <c r="G96" s="10" t="str">
        <f t="shared" si="8"/>
        <v/>
      </c>
      <c r="H96" s="3" t="str">
        <f t="shared" si="9"/>
        <v/>
      </c>
    </row>
    <row r="97" spans="7:8">
      <c r="G97" s="10" t="str">
        <f t="shared" si="8"/>
        <v/>
      </c>
      <c r="H97" s="3" t="str">
        <f t="shared" si="9"/>
        <v/>
      </c>
    </row>
    <row r="98" spans="7:8">
      <c r="G98" s="10" t="str">
        <f t="shared" si="8"/>
        <v/>
      </c>
      <c r="H98" s="3" t="str">
        <f t="shared" si="9"/>
        <v/>
      </c>
    </row>
    <row r="99" spans="7:8">
      <c r="G99" s="10" t="str">
        <f t="shared" si="8"/>
        <v/>
      </c>
      <c r="H99" s="3" t="str">
        <f t="shared" si="9"/>
        <v/>
      </c>
    </row>
    <row r="100" spans="7:8">
      <c r="G100" s="10" t="str">
        <f t="shared" si="8"/>
        <v/>
      </c>
      <c r="H100" s="3" t="str">
        <f t="shared" si="9"/>
        <v/>
      </c>
    </row>
    <row r="101" spans="7:8">
      <c r="G101" s="10" t="str">
        <f t="shared" si="8"/>
        <v/>
      </c>
      <c r="H101" s="3" t="str">
        <f t="shared" si="9"/>
        <v/>
      </c>
    </row>
    <row r="102" spans="7:8">
      <c r="G102" s="10" t="str">
        <f t="shared" si="8"/>
        <v/>
      </c>
      <c r="H102" s="3" t="str">
        <f t="shared" si="9"/>
        <v/>
      </c>
    </row>
    <row r="103" spans="7:8">
      <c r="G103" s="10" t="str">
        <f t="shared" si="8"/>
        <v/>
      </c>
      <c r="H103" s="3" t="str">
        <f t="shared" si="9"/>
        <v/>
      </c>
    </row>
    <row r="104" spans="7:8">
      <c r="G104" s="10" t="str">
        <f t="shared" si="8"/>
        <v/>
      </c>
      <c r="H104" s="3" t="str">
        <f t="shared" si="9"/>
        <v/>
      </c>
    </row>
    <row r="105" spans="7:8">
      <c r="G105" s="10" t="str">
        <f t="shared" si="8"/>
        <v/>
      </c>
      <c r="H105" s="3" t="str">
        <f t="shared" si="9"/>
        <v/>
      </c>
    </row>
  </sheetData>
  <conditionalFormatting sqref="E7:E25">
    <cfRule type="cellIs" dxfId="3" priority="1" operator="greaterThan">
      <formula>0</formula>
    </cfRule>
  </conditionalFormatting>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INDIRECT("tarieven!$A$3:$A$"&amp;tarieven!$A$1+3,TRUE)</xm:f>
          </x14:formula1>
          <xm:sqref>A7:A25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105"/>
  <sheetViews>
    <sheetView workbookViewId="0">
      <selection activeCell="B60" sqref="B60"/>
    </sheetView>
  </sheetViews>
  <sheetFormatPr defaultColWidth="8.875" defaultRowHeight="15"/>
  <cols>
    <col min="1" max="1" width="7.375" bestFit="1" customWidth="1"/>
    <col min="2" max="2" width="42.125" customWidth="1"/>
    <col min="4" max="4" width="10.625" style="3" customWidth="1"/>
    <col min="5" max="5" width="15.375" style="9" bestFit="1" customWidth="1"/>
    <col min="6" max="6" width="10.625" style="9" customWidth="1"/>
    <col min="7" max="7" width="10.625" style="7" customWidth="1"/>
    <col min="8" max="8" width="13.125" style="3" customWidth="1"/>
    <col min="9" max="9" width="36" customWidth="1"/>
  </cols>
  <sheetData>
    <row r="2" spans="1:10">
      <c r="A2" t="s">
        <v>6</v>
      </c>
      <c r="B2" s="1" t="s">
        <v>7</v>
      </c>
      <c r="C2" s="1" t="s">
        <v>9</v>
      </c>
      <c r="D2" s="2" t="s">
        <v>10</v>
      </c>
      <c r="E2" s="6"/>
      <c r="F2" s="6"/>
    </row>
    <row r="3" spans="1:10">
      <c r="B3" s="1" t="s">
        <v>457</v>
      </c>
      <c r="C3" s="1"/>
      <c r="D3" s="2"/>
      <c r="E3" s="6"/>
      <c r="F3" s="6"/>
    </row>
    <row r="4" spans="1:10" ht="15.95" thickBot="1">
      <c r="A4" s="4">
        <v>1</v>
      </c>
      <c r="B4" s="4" t="s">
        <v>467</v>
      </c>
      <c r="C4" s="4" t="s">
        <v>362</v>
      </c>
      <c r="D4" s="5">
        <f ca="1">SUM(H7:H25)</f>
        <v>16.33933</v>
      </c>
      <c r="E4" s="8"/>
      <c r="F4" s="8"/>
    </row>
    <row r="5" spans="1:10" ht="15.95" thickTop="1">
      <c r="B5" t="s">
        <v>459</v>
      </c>
    </row>
    <row r="6" spans="1:10">
      <c r="A6" t="s">
        <v>350</v>
      </c>
      <c r="B6" t="s">
        <v>351</v>
      </c>
      <c r="C6" t="s">
        <v>9</v>
      </c>
      <c r="D6" s="3" t="s">
        <v>10</v>
      </c>
      <c r="E6" s="9" t="s">
        <v>460</v>
      </c>
      <c r="F6" s="9" t="s">
        <v>461</v>
      </c>
      <c r="G6" s="7" t="s">
        <v>8</v>
      </c>
      <c r="H6" s="3" t="s">
        <v>11</v>
      </c>
      <c r="I6" t="s">
        <v>462</v>
      </c>
      <c r="J6" t="s">
        <v>463</v>
      </c>
    </row>
    <row r="7" spans="1:10">
      <c r="A7" s="84">
        <v>201130</v>
      </c>
      <c r="B7" t="str">
        <f ca="1">IF(A7=VLOOKUP(A7,INDIRECT("tarieven!$A$3:$D$"&amp;tarieven!$A$1+3,TRUE),1),VLOOKUP(A7,INDIRECT("tarieven!$A$3:$D$"&amp;tarieven!$A$1+3,TRUE),2),"")</f>
        <v>Frezen asfalt 30mm niet teerh. incl. afvoer en stortkosten 0,-</v>
      </c>
      <c r="C7" t="str">
        <f ca="1">IF(A7=VLOOKUP(A7,INDIRECT("tarieven!$A$3:$D$"&amp;tarieven!$A$1+3,TRUE),1),VLOOKUP(A7,INDIRECT("tarieven!$A$3:$D$"&amp;tarieven!$A$1+3,TRUE),3),"")</f>
        <v>m2</v>
      </c>
      <c r="D7" s="3">
        <f ca="1">IF(A7=VLOOKUP(A7,INDIRECT("tarieven!$A$3:$D$"&amp;tarieven!$A$1+3,TRUE),1),VLOOKUP(A7,INDIRECT("tarieven!$A$3:$D$"&amp;tarieven!$A$1+3,TRUE),4),"")</f>
        <v>3.6349999999999998</v>
      </c>
      <c r="E7" s="85">
        <v>1</v>
      </c>
      <c r="F7" s="9" t="str">
        <f t="shared" ref="F7:F26" ca="1" si="0">IF(C7="","",$C$4&amp;"/"&amp;C7)</f>
        <v>m2/m2</v>
      </c>
      <c r="G7" s="10">
        <f t="shared" ref="G7:G70" si="1">IF(E7="","",1/E7)</f>
        <v>1</v>
      </c>
      <c r="H7" s="3">
        <f ca="1">IF(D7="","",D7*G7)</f>
        <v>3.6349999999999998</v>
      </c>
    </row>
    <row r="8" spans="1:10">
      <c r="A8" s="84">
        <v>201610</v>
      </c>
      <c r="B8" t="str">
        <f ca="1">IF(A8=VLOOKUP(A8,INDIRECT("tarieven!$A$3:$D$"&amp;tarieven!$A$1+3,TRUE),1),VLOOKUP(A8,INDIRECT("tarieven!$A$3:$D$"&amp;tarieven!$A$1+3,TRUE),2),"")</f>
        <v>Schoonmaken oppervlak t.b.v. reparaties</v>
      </c>
      <c r="C8" t="str">
        <f ca="1">IF(A8=VLOOKUP(A8,INDIRECT("tarieven!$A$3:$D$"&amp;tarieven!$A$1+3,TRUE),1),VLOOKUP(A8,INDIRECT("tarieven!$A$3:$D$"&amp;tarieven!$A$1+3,TRUE),3),"")</f>
        <v>m2</v>
      </c>
      <c r="D8" s="3">
        <f ca="1">IF(A8=VLOOKUP(A8,INDIRECT("tarieven!$A$3:$D$"&amp;tarieven!$A$1+3,TRUE),1),VLOOKUP(A8,INDIRECT("tarieven!$A$3:$D$"&amp;tarieven!$A$1+3,TRUE),4),"")</f>
        <v>0.4</v>
      </c>
      <c r="E8" s="85">
        <v>1</v>
      </c>
      <c r="F8" s="9" t="str">
        <f t="shared" ca="1" si="0"/>
        <v>m2/m2</v>
      </c>
      <c r="G8" s="10">
        <f t="shared" si="1"/>
        <v>1</v>
      </c>
      <c r="H8" s="3">
        <f t="shared" ref="H8:H13" ca="1" si="2">IF(D8="","",D8*G8)</f>
        <v>0.4</v>
      </c>
    </row>
    <row r="9" spans="1:10">
      <c r="A9" s="84">
        <v>302810</v>
      </c>
      <c r="B9" t="str">
        <f ca="1">IF(A9=VLOOKUP(A9,INDIRECT("tarieven!$A$3:$D$"&amp;tarieven!$A$1+3,TRUE),1),VLOOKUP(A9,INDIRECT("tarieven!$A$3:$D$"&amp;tarieven!$A$1+3,TRUE),2),"")</f>
        <v>kleeflaag 0,3kg/m2</v>
      </c>
      <c r="C9" t="str">
        <f ca="1">IF(A9=VLOOKUP(A9,INDIRECT("tarieven!$A$3:$D$"&amp;tarieven!$A$1+3,TRUE),1),VLOOKUP(A9,INDIRECT("tarieven!$A$3:$D$"&amp;tarieven!$A$1+3,TRUE),3),"")</f>
        <v>m2</v>
      </c>
      <c r="D9" s="3">
        <f ca="1">IF(A9=VLOOKUP(A9,INDIRECT("tarieven!$A$3:$D$"&amp;tarieven!$A$1+3,TRUE),1),VLOOKUP(A9,INDIRECT("tarieven!$A$3:$D$"&amp;tarieven!$A$1+3,TRUE),4),"")</f>
        <v>0.35</v>
      </c>
      <c r="E9" s="85">
        <v>1</v>
      </c>
      <c r="F9" s="9" t="str">
        <f t="shared" ca="1" si="0"/>
        <v>m2/m2</v>
      </c>
      <c r="G9" s="10">
        <f t="shared" si="1"/>
        <v>1</v>
      </c>
      <c r="H9" s="3">
        <f t="shared" ca="1" si="2"/>
        <v>0.35</v>
      </c>
    </row>
    <row r="10" spans="1:10">
      <c r="A10" s="84">
        <v>300040</v>
      </c>
      <c r="B10" t="str">
        <f ca="1">IF(A10=VLOOKUP(A10,INDIRECT("tarieven!$A$3:$D$"&amp;tarieven!$A$1+3,TRUE),1),VLOOKUP(A10,INDIRECT("tarieven!$A$3:$D$"&amp;tarieven!$A$1+3,TRUE),2),"")</f>
        <v>asfaltset groot met transport incl. (+ aan en afvoerkosten)</v>
      </c>
      <c r="C10" t="str">
        <f ca="1">IF(A10=VLOOKUP(A10,INDIRECT("tarieven!$A$3:$D$"&amp;tarieven!$A$1+3,TRUE),1),VLOOKUP(A10,INDIRECT("tarieven!$A$3:$D$"&amp;tarieven!$A$1+3,TRUE),3),"")</f>
        <v>dag</v>
      </c>
      <c r="D10" s="3">
        <f ca="1">IF(A10=VLOOKUP(A10,INDIRECT("tarieven!$A$3:$D$"&amp;tarieven!$A$1+3,TRUE),1),VLOOKUP(A10,INDIRECT("tarieven!$A$3:$D$"&amp;tarieven!$A$1+3,TRUE),4),"")</f>
        <v>6355.2</v>
      </c>
      <c r="E10" s="85">
        <f>5000/2</f>
        <v>2500</v>
      </c>
      <c r="F10" s="9" t="str">
        <f t="shared" ca="1" si="0"/>
        <v>m2/dag</v>
      </c>
      <c r="G10" s="10">
        <f>IF(E10="","",1/E10)</f>
        <v>4.0000000000000002E-4</v>
      </c>
      <c r="H10" s="3">
        <f t="shared" ca="1" si="2"/>
        <v>2.5420799999999999</v>
      </c>
      <c r="I10" t="s">
        <v>468</v>
      </c>
    </row>
    <row r="11" spans="1:10">
      <c r="A11" s="84">
        <v>301210</v>
      </c>
      <c r="B11" t="str">
        <f ca="1">IF(A11=VLOOKUP(A11,INDIRECT("tarieven!$A$3:$D$"&amp;tarieven!$A$1+3,TRUE),1),VLOOKUP(A11,INDIRECT("tarieven!$A$3:$D$"&amp;tarieven!$A$1+3,TRUE),2),"")</f>
        <v>levering asfalt deklaag geluidsreducerend incl. SMA 11B type 2</v>
      </c>
      <c r="C11" t="str">
        <f ca="1">IF(A11=VLOOKUP(A11,INDIRECT("tarieven!$A$3:$D$"&amp;tarieven!$A$1+3,TRUE),1),VLOOKUP(A11,INDIRECT("tarieven!$A$3:$D$"&amp;tarieven!$A$1+3,TRUE),3),"")</f>
        <v>ton</v>
      </c>
      <c r="D11" s="3">
        <f ca="1">IF(A11=VLOOKUP(A11,INDIRECT("tarieven!$A$3:$D$"&amp;tarieven!$A$1+3,TRUE),1),VLOOKUP(A11,INDIRECT("tarieven!$A$3:$D$"&amp;tarieven!$A$1+3,TRUE),4),"")</f>
        <v>96.25</v>
      </c>
      <c r="E11" s="85">
        <f>0.4/0.03</f>
        <v>13.333333333333334</v>
      </c>
      <c r="F11" s="9" t="str">
        <f t="shared" ca="1" si="0"/>
        <v>m2/ton</v>
      </c>
      <c r="G11" s="10">
        <f>IF(E11="","",1/E11)</f>
        <v>7.4999999999999997E-2</v>
      </c>
      <c r="H11" s="3">
        <f t="shared" ca="1" si="2"/>
        <v>7.21875</v>
      </c>
      <c r="J11">
        <f>E11*400</f>
        <v>5333.3333333333339</v>
      </c>
    </row>
    <row r="12" spans="1:10">
      <c r="A12" s="84">
        <v>302810</v>
      </c>
      <c r="B12" t="str">
        <f ca="1">IF(A12=VLOOKUP(A12,INDIRECT("tarieven!$A$3:$D$"&amp;tarieven!$A$1+3,TRUE),1),VLOOKUP(A12,INDIRECT("tarieven!$A$3:$D$"&amp;tarieven!$A$1+3,TRUE),2),"")</f>
        <v>kleeflaag 0,3kg/m2</v>
      </c>
      <c r="C12" t="str">
        <f ca="1">IF(A12=VLOOKUP(A12,INDIRECT("tarieven!$A$3:$D$"&amp;tarieven!$A$1+3,TRUE),1),VLOOKUP(A12,INDIRECT("tarieven!$A$3:$D$"&amp;tarieven!$A$1+3,TRUE),3),"")</f>
        <v>m2</v>
      </c>
      <c r="D12" s="3">
        <f ca="1">IF(A12=VLOOKUP(A12,INDIRECT("tarieven!$A$3:$D$"&amp;tarieven!$A$1+3,TRUE),1),VLOOKUP(A12,INDIRECT("tarieven!$A$3:$D$"&amp;tarieven!$A$1+3,TRUE),4),"")</f>
        <v>0.35</v>
      </c>
      <c r="E12" s="85">
        <v>1</v>
      </c>
      <c r="F12" s="6" t="str">
        <f t="shared" ca="1" si="0"/>
        <v>m2/m2</v>
      </c>
      <c r="G12" s="58">
        <f t="shared" ref="G12:G13" si="3">IF(E12="","",1/E12)</f>
        <v>1</v>
      </c>
      <c r="H12" s="2">
        <f t="shared" ca="1" si="2"/>
        <v>0.35</v>
      </c>
    </row>
    <row r="13" spans="1:10">
      <c r="A13" s="84">
        <v>302230</v>
      </c>
      <c r="B13" t="str">
        <f ca="1">IF(A13=VLOOKUP(A13,INDIRECT("tarieven!$A$3:$D$"&amp;tarieven!$A$1+3,TRUE),1),VLOOKUP(A13,INDIRECT("tarieven!$A$3:$D$"&amp;tarieven!$A$1+3,TRUE),2),"")</f>
        <v>levering asfalt tussenlaag AC16 bind TL-B (50% gerecycled)</v>
      </c>
      <c r="C13" t="str">
        <f ca="1">IF(A13=VLOOKUP(A13,INDIRECT("tarieven!$A$3:$D$"&amp;tarieven!$A$1+3,TRUE),1),VLOOKUP(A13,INDIRECT("tarieven!$A$3:$D$"&amp;tarieven!$A$1+3,TRUE),3),"")</f>
        <v>ton</v>
      </c>
      <c r="D13" s="3">
        <f ca="1">IF(A13=VLOOKUP(A13,INDIRECT("tarieven!$A$3:$D$"&amp;tarieven!$A$1+3,TRUE),1),VLOOKUP(A13,INDIRECT("tarieven!$A$3:$D$"&amp;tarieven!$A$1+3,TRUE),4),"")</f>
        <v>61.45</v>
      </c>
      <c r="E13" s="85">
        <f>0.4/0.08/15%</f>
        <v>33.333333333333336</v>
      </c>
      <c r="F13" s="6" t="str">
        <f t="shared" ca="1" si="0"/>
        <v>m2/ton</v>
      </c>
      <c r="G13" s="58">
        <f t="shared" si="3"/>
        <v>0.03</v>
      </c>
      <c r="H13" s="2">
        <f t="shared" ca="1" si="2"/>
        <v>1.8434999999999999</v>
      </c>
    </row>
    <row r="14" spans="1:10">
      <c r="A14" s="84" t="s">
        <v>6</v>
      </c>
      <c r="B14" t="str">
        <f ca="1">IF(A14=VLOOKUP(A14,INDIRECT("tarieven!$A$3:$D$"&amp;tarieven!$A$1+3,TRUE),1),VLOOKUP(A14,INDIRECT("tarieven!$A$3:$D$"&amp;tarieven!$A$1+3,TRUE),2),"")</f>
        <v/>
      </c>
      <c r="C14" t="str">
        <f ca="1">IF(A14=VLOOKUP(A14,INDIRECT("tarieven!$A$3:$D$"&amp;tarieven!$A$1+3,TRUE),1),VLOOKUP(A14,INDIRECT("tarieven!$A$3:$D$"&amp;tarieven!$A$1+3,TRUE),3),"")</f>
        <v/>
      </c>
      <c r="D14" s="3">
        <f ca="1">IF(A14=VLOOKUP(A14,INDIRECT("tarieven!$A$3:$D$"&amp;tarieven!$A$1+3,TRUE),1),VLOOKUP(A14,INDIRECT("tarieven!$A$3:$D$"&amp;tarieven!$A$1+3,TRUE),4),"")</f>
        <v>0</v>
      </c>
      <c r="E14" s="85"/>
      <c r="F14" s="9" t="str">
        <f t="shared" ca="1" si="0"/>
        <v/>
      </c>
      <c r="G14" s="10" t="str">
        <f t="shared" si="1"/>
        <v/>
      </c>
    </row>
    <row r="15" spans="1:10">
      <c r="A15" s="84" t="s">
        <v>6</v>
      </c>
      <c r="B15" t="str">
        <f ca="1">IF(A15=VLOOKUP(A15,INDIRECT("tarieven!$A$3:$D$"&amp;tarieven!$A$1+3,TRUE),1),VLOOKUP(A15,INDIRECT("tarieven!$A$3:$D$"&amp;tarieven!$A$1+3,TRUE),2),"")</f>
        <v/>
      </c>
      <c r="C15" t="str">
        <f ca="1">IF(A15=VLOOKUP(A15,INDIRECT("tarieven!$A$3:$D$"&amp;tarieven!$A$1+3,TRUE),1),VLOOKUP(A15,INDIRECT("tarieven!$A$3:$D$"&amp;tarieven!$A$1+3,TRUE),3),"")</f>
        <v/>
      </c>
      <c r="D15" s="3">
        <f ca="1">IF(A15=VLOOKUP(A15,INDIRECT("tarieven!$A$3:$D$"&amp;tarieven!$A$1+3,TRUE),1),VLOOKUP(A15,INDIRECT("tarieven!$A$3:$D$"&amp;tarieven!$A$1+3,TRUE),4),"")</f>
        <v>0</v>
      </c>
      <c r="E15" s="85"/>
      <c r="F15" s="9" t="str">
        <f t="shared" ca="1" si="0"/>
        <v/>
      </c>
      <c r="G15" s="10" t="str">
        <f t="shared" si="1"/>
        <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f ca="1">IF(A16=VLOOKUP(A16,INDIRECT("tarieven!$A$3:$D$"&amp;tarieven!$A$1+3,TRUE),1),VLOOKUP(A16,INDIRECT("tarieven!$A$3:$D$"&amp;tarieven!$A$1+3,TRUE),4),"")</f>
        <v>0</v>
      </c>
      <c r="E16" s="85"/>
      <c r="F16" s="9" t="str">
        <f t="shared" ca="1" si="0"/>
        <v/>
      </c>
      <c r="G16" s="10" t="str">
        <f t="shared" si="1"/>
        <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f ca="1">IF(A17=VLOOKUP(A17,INDIRECT("tarieven!$A$3:$D$"&amp;tarieven!$A$1+3,TRUE),1),VLOOKUP(A17,INDIRECT("tarieven!$A$3:$D$"&amp;tarieven!$A$1+3,TRUE),4),"")</f>
        <v>0</v>
      </c>
      <c r="E17" s="85"/>
      <c r="F17" s="9" t="str">
        <f t="shared" ca="1" si="0"/>
        <v/>
      </c>
      <c r="G17" s="10" t="str">
        <f t="shared" si="1"/>
        <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f ca="1">IF(A18=VLOOKUP(A18,INDIRECT("tarieven!$A$3:$D$"&amp;tarieven!$A$1+3,TRUE),1),VLOOKUP(A18,INDIRECT("tarieven!$A$3:$D$"&amp;tarieven!$A$1+3,TRUE),4),"")</f>
        <v>0</v>
      </c>
      <c r="E18" s="85"/>
      <c r="F18" s="9" t="str">
        <f t="shared" ca="1" si="0"/>
        <v/>
      </c>
      <c r="G18" s="10" t="str">
        <f t="shared" si="1"/>
        <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f ca="1">IF(A19=VLOOKUP(A19,INDIRECT("tarieven!$A$3:$D$"&amp;tarieven!$A$1+3,TRUE),1),VLOOKUP(A19,INDIRECT("tarieven!$A$3:$D$"&amp;tarieven!$A$1+3,TRUE),4),"")</f>
        <v>0</v>
      </c>
      <c r="E19" s="85"/>
      <c r="F19" s="9" t="str">
        <f t="shared" ca="1" si="0"/>
        <v/>
      </c>
      <c r="G19" s="10" t="str">
        <f t="shared" si="1"/>
        <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f ca="1">IF(A20=VLOOKUP(A20,INDIRECT("tarieven!$A$3:$D$"&amp;tarieven!$A$1+3,TRUE),1),VLOOKUP(A20,INDIRECT("tarieven!$A$3:$D$"&amp;tarieven!$A$1+3,TRUE),4),"")</f>
        <v>0</v>
      </c>
      <c r="E20" s="85"/>
      <c r="F20" s="9" t="str">
        <f t="shared" ca="1" si="0"/>
        <v/>
      </c>
      <c r="G20" s="10" t="str">
        <f t="shared" si="1"/>
        <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f ca="1">IF(A21=VLOOKUP(A21,INDIRECT("tarieven!$A$3:$D$"&amp;tarieven!$A$1+3,TRUE),1),VLOOKUP(A21,INDIRECT("tarieven!$A$3:$D$"&amp;tarieven!$A$1+3,TRUE),4),"")</f>
        <v>0</v>
      </c>
      <c r="E21" s="85"/>
      <c r="F21" s="9" t="str">
        <f t="shared" ca="1" si="0"/>
        <v/>
      </c>
      <c r="G21" s="10" t="str">
        <f t="shared" si="1"/>
        <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f ca="1">IF(A22=VLOOKUP(A22,INDIRECT("tarieven!$A$3:$D$"&amp;tarieven!$A$1+3,TRUE),1),VLOOKUP(A22,INDIRECT("tarieven!$A$3:$D$"&amp;tarieven!$A$1+3,TRUE),4),"")</f>
        <v>0</v>
      </c>
      <c r="E22" s="85"/>
      <c r="F22" s="9" t="str">
        <f t="shared" ca="1" si="0"/>
        <v/>
      </c>
      <c r="G22" s="10" t="str">
        <f t="shared" si="1"/>
        <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f ca="1">IF(A23=VLOOKUP(A23,INDIRECT("tarieven!$A$3:$D$"&amp;tarieven!$A$1+3,TRUE),1),VLOOKUP(A23,INDIRECT("tarieven!$A$3:$D$"&amp;tarieven!$A$1+3,TRUE),4),"")</f>
        <v>0</v>
      </c>
      <c r="E23" s="85"/>
      <c r="F23" s="9" t="str">
        <f t="shared" ca="1" si="0"/>
        <v/>
      </c>
      <c r="G23" s="10" t="str">
        <f t="shared" si="1"/>
        <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f ca="1">IF(A24=VLOOKUP(A24,INDIRECT("tarieven!$A$3:$D$"&amp;tarieven!$A$1+3,TRUE),1),VLOOKUP(A24,INDIRECT("tarieven!$A$3:$D$"&amp;tarieven!$A$1+3,TRUE),4),"")</f>
        <v>0</v>
      </c>
      <c r="E24" s="85"/>
      <c r="F24" s="9" t="str">
        <f t="shared" ca="1" si="0"/>
        <v/>
      </c>
      <c r="G24" s="10" t="str">
        <f t="shared" si="1"/>
        <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f ca="1">IF(A25=VLOOKUP(A25,INDIRECT("tarieven!$A$3:$D$"&amp;tarieven!$A$1+3,TRUE),1),VLOOKUP(A25,INDIRECT("tarieven!$A$3:$D$"&amp;tarieven!$A$1+3,TRUE),4),"")</f>
        <v>0</v>
      </c>
      <c r="E25" s="85"/>
      <c r="F25" s="9" t="str">
        <f t="shared" ca="1" si="0"/>
        <v/>
      </c>
      <c r="G25" s="10" t="str">
        <f t="shared" si="1"/>
        <v/>
      </c>
    </row>
    <row r="26" spans="1:8">
      <c r="F26" s="9" t="str">
        <f t="shared" si="0"/>
        <v/>
      </c>
      <c r="G26" s="10" t="str">
        <f t="shared" si="1"/>
        <v/>
      </c>
      <c r="H26" s="3" t="str">
        <f t="shared" ref="H26:H89" si="4">IF(G26="","",D26*G26)</f>
        <v/>
      </c>
    </row>
    <row r="27" spans="1:8">
      <c r="G27" s="10" t="str">
        <f t="shared" si="1"/>
        <v/>
      </c>
      <c r="H27" s="3" t="str">
        <f t="shared" si="4"/>
        <v/>
      </c>
    </row>
    <row r="28" spans="1:8">
      <c r="G28" s="10" t="str">
        <f t="shared" si="1"/>
        <v/>
      </c>
      <c r="H28" s="3" t="str">
        <f t="shared" si="4"/>
        <v/>
      </c>
    </row>
    <row r="29" spans="1:8">
      <c r="G29" s="10" t="str">
        <f t="shared" si="1"/>
        <v/>
      </c>
      <c r="H29" s="3" t="str">
        <f t="shared" si="4"/>
        <v/>
      </c>
    </row>
    <row r="30" spans="1:8">
      <c r="G30" s="10" t="str">
        <f t="shared" si="1"/>
        <v/>
      </c>
      <c r="H30" s="3" t="str">
        <f t="shared" si="4"/>
        <v/>
      </c>
    </row>
    <row r="31" spans="1:8">
      <c r="G31" s="10" t="str">
        <f t="shared" si="1"/>
        <v/>
      </c>
      <c r="H31" s="3" t="str">
        <f t="shared" si="4"/>
        <v/>
      </c>
    </row>
    <row r="32" spans="1:8">
      <c r="G32" s="10" t="str">
        <f t="shared" si="1"/>
        <v/>
      </c>
      <c r="H32" s="3" t="str">
        <f t="shared" si="4"/>
        <v/>
      </c>
    </row>
    <row r="33" spans="7:8">
      <c r="G33" s="10" t="str">
        <f t="shared" si="1"/>
        <v/>
      </c>
      <c r="H33" s="3" t="str">
        <f t="shared" si="4"/>
        <v/>
      </c>
    </row>
    <row r="34" spans="7:8">
      <c r="G34" s="10" t="str">
        <f t="shared" si="1"/>
        <v/>
      </c>
      <c r="H34" s="3" t="str">
        <f t="shared" si="4"/>
        <v/>
      </c>
    </row>
    <row r="35" spans="7:8">
      <c r="G35" s="10" t="str">
        <f t="shared" si="1"/>
        <v/>
      </c>
      <c r="H35" s="3" t="str">
        <f t="shared" si="4"/>
        <v/>
      </c>
    </row>
    <row r="36" spans="7:8">
      <c r="G36" s="10" t="str">
        <f t="shared" si="1"/>
        <v/>
      </c>
      <c r="H36" s="3" t="str">
        <f t="shared" si="4"/>
        <v/>
      </c>
    </row>
    <row r="37" spans="7:8">
      <c r="G37" s="10" t="str">
        <f t="shared" si="1"/>
        <v/>
      </c>
      <c r="H37" s="3" t="str">
        <f t="shared" si="4"/>
        <v/>
      </c>
    </row>
    <row r="38" spans="7:8">
      <c r="G38" s="10" t="str">
        <f t="shared" si="1"/>
        <v/>
      </c>
      <c r="H38" s="3" t="str">
        <f t="shared" si="4"/>
        <v/>
      </c>
    </row>
    <row r="39" spans="7:8">
      <c r="G39" s="10" t="str">
        <f t="shared" si="1"/>
        <v/>
      </c>
      <c r="H39" s="3" t="str">
        <f t="shared" si="4"/>
        <v/>
      </c>
    </row>
    <row r="40" spans="7:8">
      <c r="G40" s="10" t="str">
        <f t="shared" si="1"/>
        <v/>
      </c>
      <c r="H40" s="3" t="str">
        <f t="shared" si="4"/>
        <v/>
      </c>
    </row>
    <row r="41" spans="7:8">
      <c r="G41" s="10" t="str">
        <f t="shared" si="1"/>
        <v/>
      </c>
      <c r="H41" s="3" t="str">
        <f t="shared" si="4"/>
        <v/>
      </c>
    </row>
    <row r="42" spans="7:8">
      <c r="G42" s="10" t="str">
        <f t="shared" si="1"/>
        <v/>
      </c>
      <c r="H42" s="3" t="str">
        <f t="shared" si="4"/>
        <v/>
      </c>
    </row>
    <row r="43" spans="7:8">
      <c r="G43" s="10" t="str">
        <f t="shared" si="1"/>
        <v/>
      </c>
      <c r="H43" s="3" t="str">
        <f t="shared" si="4"/>
        <v/>
      </c>
    </row>
    <row r="44" spans="7:8">
      <c r="G44" s="10" t="str">
        <f t="shared" si="1"/>
        <v/>
      </c>
      <c r="H44" s="3" t="str">
        <f t="shared" si="4"/>
        <v/>
      </c>
    </row>
    <row r="45" spans="7:8">
      <c r="G45" s="10" t="str">
        <f t="shared" si="1"/>
        <v/>
      </c>
      <c r="H45" s="3" t="str">
        <f t="shared" si="4"/>
        <v/>
      </c>
    </row>
    <row r="46" spans="7:8">
      <c r="G46" s="10" t="str">
        <f t="shared" si="1"/>
        <v/>
      </c>
      <c r="H46" s="3" t="str">
        <f t="shared" si="4"/>
        <v/>
      </c>
    </row>
    <row r="47" spans="7:8">
      <c r="G47" s="10" t="str">
        <f t="shared" si="1"/>
        <v/>
      </c>
      <c r="H47" s="3" t="str">
        <f t="shared" si="4"/>
        <v/>
      </c>
    </row>
    <row r="48" spans="7:8">
      <c r="G48" s="10" t="str">
        <f t="shared" si="1"/>
        <v/>
      </c>
      <c r="H48" s="3" t="str">
        <f t="shared" si="4"/>
        <v/>
      </c>
    </row>
    <row r="49" spans="7:8">
      <c r="G49" s="10" t="str">
        <f t="shared" si="1"/>
        <v/>
      </c>
      <c r="H49" s="3" t="str">
        <f t="shared" si="4"/>
        <v/>
      </c>
    </row>
    <row r="50" spans="7:8">
      <c r="G50" s="10" t="str">
        <f t="shared" si="1"/>
        <v/>
      </c>
      <c r="H50" s="3" t="str">
        <f t="shared" si="4"/>
        <v/>
      </c>
    </row>
    <row r="51" spans="7:8">
      <c r="G51" s="10" t="str">
        <f t="shared" si="1"/>
        <v/>
      </c>
      <c r="H51" s="3" t="str">
        <f t="shared" si="4"/>
        <v/>
      </c>
    </row>
    <row r="52" spans="7:8">
      <c r="G52" s="10" t="str">
        <f t="shared" si="1"/>
        <v/>
      </c>
      <c r="H52" s="3" t="str">
        <f t="shared" si="4"/>
        <v/>
      </c>
    </row>
    <row r="53" spans="7:8">
      <c r="G53" s="10" t="str">
        <f t="shared" si="1"/>
        <v/>
      </c>
      <c r="H53" s="3" t="str">
        <f t="shared" si="4"/>
        <v/>
      </c>
    </row>
    <row r="54" spans="7:8">
      <c r="G54" s="10" t="str">
        <f t="shared" si="1"/>
        <v/>
      </c>
      <c r="H54" s="3" t="str">
        <f t="shared" si="4"/>
        <v/>
      </c>
    </row>
    <row r="55" spans="7:8">
      <c r="G55" s="10" t="str">
        <f t="shared" si="1"/>
        <v/>
      </c>
      <c r="H55" s="3" t="str">
        <f t="shared" si="4"/>
        <v/>
      </c>
    </row>
    <row r="56" spans="7:8">
      <c r="G56" s="10" t="str">
        <f t="shared" si="1"/>
        <v/>
      </c>
      <c r="H56" s="3" t="str">
        <f t="shared" si="4"/>
        <v/>
      </c>
    </row>
    <row r="57" spans="7:8">
      <c r="G57" s="10" t="str">
        <f t="shared" si="1"/>
        <v/>
      </c>
      <c r="H57" s="3" t="str">
        <f t="shared" si="4"/>
        <v/>
      </c>
    </row>
    <row r="58" spans="7:8">
      <c r="G58" s="10" t="str">
        <f t="shared" si="1"/>
        <v/>
      </c>
      <c r="H58" s="3" t="str">
        <f t="shared" si="4"/>
        <v/>
      </c>
    </row>
    <row r="59" spans="7:8">
      <c r="G59" s="10" t="str">
        <f t="shared" si="1"/>
        <v/>
      </c>
      <c r="H59" s="3" t="str">
        <f t="shared" si="4"/>
        <v/>
      </c>
    </row>
    <row r="60" spans="7:8">
      <c r="G60" s="10" t="str">
        <f t="shared" si="1"/>
        <v/>
      </c>
      <c r="H60" s="3" t="str">
        <f t="shared" si="4"/>
        <v/>
      </c>
    </row>
    <row r="61" spans="7:8">
      <c r="G61" s="10" t="str">
        <f t="shared" si="1"/>
        <v/>
      </c>
      <c r="H61" s="3" t="str">
        <f t="shared" si="4"/>
        <v/>
      </c>
    </row>
    <row r="62" spans="7:8">
      <c r="G62" s="10" t="str">
        <f t="shared" si="1"/>
        <v/>
      </c>
      <c r="H62" s="3" t="str">
        <f t="shared" si="4"/>
        <v/>
      </c>
    </row>
    <row r="63" spans="7:8">
      <c r="G63" s="10" t="str">
        <f t="shared" si="1"/>
        <v/>
      </c>
      <c r="H63" s="3" t="str">
        <f t="shared" si="4"/>
        <v/>
      </c>
    </row>
    <row r="64" spans="7:8">
      <c r="G64" s="10" t="str">
        <f t="shared" si="1"/>
        <v/>
      </c>
      <c r="H64" s="3" t="str">
        <f t="shared" si="4"/>
        <v/>
      </c>
    </row>
    <row r="65" spans="7:8">
      <c r="G65" s="10" t="str">
        <f t="shared" si="1"/>
        <v/>
      </c>
      <c r="H65" s="3" t="str">
        <f t="shared" si="4"/>
        <v/>
      </c>
    </row>
    <row r="66" spans="7:8">
      <c r="G66" s="10" t="str">
        <f t="shared" si="1"/>
        <v/>
      </c>
      <c r="H66" s="3" t="str">
        <f t="shared" si="4"/>
        <v/>
      </c>
    </row>
    <row r="67" spans="7:8">
      <c r="G67" s="10" t="str">
        <f t="shared" si="1"/>
        <v/>
      </c>
      <c r="H67" s="3" t="str">
        <f t="shared" si="4"/>
        <v/>
      </c>
    </row>
    <row r="68" spans="7:8">
      <c r="G68" s="10" t="str">
        <f t="shared" si="1"/>
        <v/>
      </c>
      <c r="H68" s="3" t="str">
        <f t="shared" si="4"/>
        <v/>
      </c>
    </row>
    <row r="69" spans="7:8">
      <c r="G69" s="10" t="str">
        <f t="shared" si="1"/>
        <v/>
      </c>
      <c r="H69" s="3" t="str">
        <f t="shared" si="4"/>
        <v/>
      </c>
    </row>
    <row r="70" spans="7:8">
      <c r="G70" s="10" t="str">
        <f t="shared" si="1"/>
        <v/>
      </c>
      <c r="H70" s="3" t="str">
        <f t="shared" si="4"/>
        <v/>
      </c>
    </row>
    <row r="71" spans="7:8">
      <c r="G71" s="10" t="str">
        <f t="shared" ref="G71:G105" si="5">IF(E71="","",1/E71)</f>
        <v/>
      </c>
      <c r="H71" s="3" t="str">
        <f t="shared" si="4"/>
        <v/>
      </c>
    </row>
    <row r="72" spans="7:8">
      <c r="G72" s="10" t="str">
        <f t="shared" si="5"/>
        <v/>
      </c>
      <c r="H72" s="3" t="str">
        <f t="shared" si="4"/>
        <v/>
      </c>
    </row>
    <row r="73" spans="7:8">
      <c r="G73" s="10" t="str">
        <f t="shared" si="5"/>
        <v/>
      </c>
      <c r="H73" s="3" t="str">
        <f t="shared" si="4"/>
        <v/>
      </c>
    </row>
    <row r="74" spans="7:8">
      <c r="G74" s="10" t="str">
        <f t="shared" si="5"/>
        <v/>
      </c>
      <c r="H74" s="3" t="str">
        <f t="shared" si="4"/>
        <v/>
      </c>
    </row>
    <row r="75" spans="7:8">
      <c r="G75" s="10" t="str">
        <f t="shared" si="5"/>
        <v/>
      </c>
      <c r="H75" s="3" t="str">
        <f t="shared" si="4"/>
        <v/>
      </c>
    </row>
    <row r="76" spans="7:8">
      <c r="G76" s="10" t="str">
        <f t="shared" si="5"/>
        <v/>
      </c>
      <c r="H76" s="3" t="str">
        <f t="shared" si="4"/>
        <v/>
      </c>
    </row>
    <row r="77" spans="7:8">
      <c r="G77" s="10" t="str">
        <f t="shared" si="5"/>
        <v/>
      </c>
      <c r="H77" s="3" t="str">
        <f t="shared" si="4"/>
        <v/>
      </c>
    </row>
    <row r="78" spans="7:8">
      <c r="G78" s="10" t="str">
        <f t="shared" si="5"/>
        <v/>
      </c>
      <c r="H78" s="3" t="str">
        <f t="shared" si="4"/>
        <v/>
      </c>
    </row>
    <row r="79" spans="7:8">
      <c r="G79" s="10" t="str">
        <f t="shared" si="5"/>
        <v/>
      </c>
      <c r="H79" s="3" t="str">
        <f t="shared" si="4"/>
        <v/>
      </c>
    </row>
    <row r="80" spans="7:8">
      <c r="G80" s="10" t="str">
        <f t="shared" si="5"/>
        <v/>
      </c>
      <c r="H80" s="3" t="str">
        <f t="shared" si="4"/>
        <v/>
      </c>
    </row>
    <row r="81" spans="7:8">
      <c r="G81" s="10" t="str">
        <f t="shared" si="5"/>
        <v/>
      </c>
      <c r="H81" s="3" t="str">
        <f t="shared" si="4"/>
        <v/>
      </c>
    </row>
    <row r="82" spans="7:8">
      <c r="G82" s="10" t="str">
        <f t="shared" si="5"/>
        <v/>
      </c>
      <c r="H82" s="3" t="str">
        <f t="shared" si="4"/>
        <v/>
      </c>
    </row>
    <row r="83" spans="7:8">
      <c r="G83" s="10" t="str">
        <f t="shared" si="5"/>
        <v/>
      </c>
      <c r="H83" s="3" t="str">
        <f t="shared" si="4"/>
        <v/>
      </c>
    </row>
    <row r="84" spans="7:8">
      <c r="G84" s="10" t="str">
        <f t="shared" si="5"/>
        <v/>
      </c>
      <c r="H84" s="3" t="str">
        <f t="shared" si="4"/>
        <v/>
      </c>
    </row>
    <row r="85" spans="7:8">
      <c r="G85" s="10" t="str">
        <f t="shared" si="5"/>
        <v/>
      </c>
      <c r="H85" s="3" t="str">
        <f t="shared" si="4"/>
        <v/>
      </c>
    </row>
    <row r="86" spans="7:8">
      <c r="G86" s="10" t="str">
        <f t="shared" si="5"/>
        <v/>
      </c>
      <c r="H86" s="3" t="str">
        <f t="shared" si="4"/>
        <v/>
      </c>
    </row>
    <row r="87" spans="7:8">
      <c r="G87" s="10" t="str">
        <f t="shared" si="5"/>
        <v/>
      </c>
      <c r="H87" s="3" t="str">
        <f t="shared" si="4"/>
        <v/>
      </c>
    </row>
    <row r="88" spans="7:8">
      <c r="G88" s="10" t="str">
        <f t="shared" si="5"/>
        <v/>
      </c>
      <c r="H88" s="3" t="str">
        <f t="shared" si="4"/>
        <v/>
      </c>
    </row>
    <row r="89" spans="7:8">
      <c r="G89" s="10" t="str">
        <f t="shared" si="5"/>
        <v/>
      </c>
      <c r="H89" s="3" t="str">
        <f t="shared" si="4"/>
        <v/>
      </c>
    </row>
    <row r="90" spans="7:8">
      <c r="G90" s="10" t="str">
        <f t="shared" si="5"/>
        <v/>
      </c>
      <c r="H90" s="3" t="str">
        <f t="shared" ref="H90:H105" si="6">IF(G90="","",D90*G90)</f>
        <v/>
      </c>
    </row>
    <row r="91" spans="7:8">
      <c r="G91" s="10" t="str">
        <f t="shared" si="5"/>
        <v/>
      </c>
      <c r="H91" s="3" t="str">
        <f t="shared" si="6"/>
        <v/>
      </c>
    </row>
    <row r="92" spans="7:8">
      <c r="G92" s="10" t="str">
        <f t="shared" si="5"/>
        <v/>
      </c>
      <c r="H92" s="3" t="str">
        <f t="shared" si="6"/>
        <v/>
      </c>
    </row>
    <row r="93" spans="7:8">
      <c r="G93" s="10" t="str">
        <f t="shared" si="5"/>
        <v/>
      </c>
      <c r="H93" s="3" t="str">
        <f t="shared" si="6"/>
        <v/>
      </c>
    </row>
    <row r="94" spans="7:8">
      <c r="G94" s="10" t="str">
        <f t="shared" si="5"/>
        <v/>
      </c>
      <c r="H94" s="3" t="str">
        <f t="shared" si="6"/>
        <v/>
      </c>
    </row>
    <row r="95" spans="7:8">
      <c r="G95" s="10" t="str">
        <f t="shared" si="5"/>
        <v/>
      </c>
      <c r="H95" s="3" t="str">
        <f t="shared" si="6"/>
        <v/>
      </c>
    </row>
    <row r="96" spans="7:8">
      <c r="G96" s="10" t="str">
        <f t="shared" si="5"/>
        <v/>
      </c>
      <c r="H96" s="3" t="str">
        <f t="shared" si="6"/>
        <v/>
      </c>
    </row>
    <row r="97" spans="7:8">
      <c r="G97" s="10" t="str">
        <f t="shared" si="5"/>
        <v/>
      </c>
      <c r="H97" s="3" t="str">
        <f t="shared" si="6"/>
        <v/>
      </c>
    </row>
    <row r="98" spans="7:8">
      <c r="G98" s="10" t="str">
        <f t="shared" si="5"/>
        <v/>
      </c>
      <c r="H98" s="3" t="str">
        <f t="shared" si="6"/>
        <v/>
      </c>
    </row>
    <row r="99" spans="7:8">
      <c r="G99" s="10" t="str">
        <f t="shared" si="5"/>
        <v/>
      </c>
      <c r="H99" s="3" t="str">
        <f t="shared" si="6"/>
        <v/>
      </c>
    </row>
    <row r="100" spans="7:8">
      <c r="G100" s="10" t="str">
        <f t="shared" si="5"/>
        <v/>
      </c>
      <c r="H100" s="3" t="str">
        <f t="shared" si="6"/>
        <v/>
      </c>
    </row>
    <row r="101" spans="7:8">
      <c r="G101" s="10" t="str">
        <f t="shared" si="5"/>
        <v/>
      </c>
      <c r="H101" s="3" t="str">
        <f t="shared" si="6"/>
        <v/>
      </c>
    </row>
    <row r="102" spans="7:8">
      <c r="G102" s="10" t="str">
        <f t="shared" si="5"/>
        <v/>
      </c>
      <c r="H102" s="3" t="str">
        <f t="shared" si="6"/>
        <v/>
      </c>
    </row>
    <row r="103" spans="7:8">
      <c r="G103" s="10" t="str">
        <f t="shared" si="5"/>
        <v/>
      </c>
      <c r="H103" s="3" t="str">
        <f t="shared" si="6"/>
        <v/>
      </c>
    </row>
    <row r="104" spans="7:8">
      <c r="G104" s="10" t="str">
        <f t="shared" si="5"/>
        <v/>
      </c>
      <c r="H104" s="3" t="str">
        <f t="shared" si="6"/>
        <v/>
      </c>
    </row>
    <row r="105" spans="7:8">
      <c r="G105" s="10" t="str">
        <f t="shared" si="5"/>
        <v/>
      </c>
      <c r="H105" s="3" t="str">
        <f t="shared" si="6"/>
        <v/>
      </c>
    </row>
  </sheetData>
  <conditionalFormatting sqref="E7:E25">
    <cfRule type="cellIs" dxfId="2" priority="1" operator="greaterThan">
      <formula>0</formula>
    </cfRule>
  </conditionalFormatting>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INDIRECT("tarieven!$A$3:$A$"&amp;tarieven!$A$1+3,TRUE)</xm:f>
          </x14:formula1>
          <xm:sqref>A7:A25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J105"/>
  <sheetViews>
    <sheetView workbookViewId="0">
      <selection activeCell="B60" sqref="B60"/>
    </sheetView>
  </sheetViews>
  <sheetFormatPr defaultColWidth="8.875" defaultRowHeight="15"/>
  <cols>
    <col min="1" max="1" width="7.375" style="1" bestFit="1" customWidth="1"/>
    <col min="2" max="2" width="42.125" style="52" customWidth="1"/>
    <col min="3" max="3" width="9" style="1"/>
    <col min="4" max="4" width="10.625" style="2" customWidth="1"/>
    <col min="5" max="5" width="15.375" style="6" bestFit="1" customWidth="1"/>
    <col min="6" max="6" width="10.625" style="6" customWidth="1"/>
    <col min="7" max="7" width="10.625" style="53" customWidth="1"/>
    <col min="8" max="8" width="13.125" style="2" customWidth="1"/>
    <col min="9" max="9" width="36" customWidth="1"/>
  </cols>
  <sheetData>
    <row r="2" spans="1:10" ht="15.95">
      <c r="A2" s="1" t="s">
        <v>6</v>
      </c>
      <c r="B2" s="52" t="s">
        <v>7</v>
      </c>
      <c r="C2" s="1" t="s">
        <v>9</v>
      </c>
      <c r="D2" s="2" t="s">
        <v>10</v>
      </c>
    </row>
    <row r="3" spans="1:10" ht="15.95">
      <c r="B3" s="52" t="s">
        <v>457</v>
      </c>
    </row>
    <row r="4" spans="1:10" ht="33" thickBot="1">
      <c r="A4" s="54">
        <v>1</v>
      </c>
      <c r="B4" s="55" t="s">
        <v>469</v>
      </c>
      <c r="C4" s="54" t="s">
        <v>362</v>
      </c>
      <c r="D4" s="56">
        <f ca="1">SUM(H7:H25)</f>
        <v>18.660829999999997</v>
      </c>
      <c r="E4" s="57"/>
      <c r="F4" s="57"/>
    </row>
    <row r="5" spans="1:10" ht="17.100000000000001" thickTop="1">
      <c r="B5" s="52" t="s">
        <v>459</v>
      </c>
    </row>
    <row r="6" spans="1:10" ht="15.95">
      <c r="A6" s="1" t="s">
        <v>350</v>
      </c>
      <c r="B6" s="52" t="s">
        <v>351</v>
      </c>
      <c r="C6" s="1" t="s">
        <v>9</v>
      </c>
      <c r="D6" s="2" t="s">
        <v>10</v>
      </c>
      <c r="E6" s="6" t="s">
        <v>460</v>
      </c>
      <c r="F6" s="6" t="s">
        <v>461</v>
      </c>
      <c r="G6" s="53" t="s">
        <v>8</v>
      </c>
      <c r="H6" s="2" t="s">
        <v>11</v>
      </c>
      <c r="I6" t="s">
        <v>462</v>
      </c>
      <c r="J6" t="s">
        <v>463</v>
      </c>
    </row>
    <row r="7" spans="1:10">
      <c r="A7" s="84">
        <v>201130</v>
      </c>
      <c r="B7" t="str">
        <f ca="1">IF(A7=VLOOKUP(A7,INDIRECT("tarieven!$A$3:$D$"&amp;tarieven!$A$1+3,TRUE),1),VLOOKUP(A7,INDIRECT("tarieven!$A$3:$D$"&amp;tarieven!$A$1+3,TRUE),2),"")</f>
        <v>Frezen asfalt 30mm niet teerh. incl. afvoer en stortkosten 0,-</v>
      </c>
      <c r="C7" t="str">
        <f ca="1">IF(A7=VLOOKUP(A7,INDIRECT("tarieven!$A$3:$D$"&amp;tarieven!$A$1+3,TRUE),1),VLOOKUP(A7,INDIRECT("tarieven!$A$3:$D$"&amp;tarieven!$A$1+3,TRUE),3),"")</f>
        <v>m2</v>
      </c>
      <c r="D7" s="3">
        <f ca="1">IF(A7=VLOOKUP(A7,INDIRECT("tarieven!$A$3:$D$"&amp;tarieven!$A$1+3,TRUE),1),VLOOKUP(A7,INDIRECT("tarieven!$A$3:$D$"&amp;tarieven!$A$1+3,TRUE),4),"")</f>
        <v>3.6349999999999998</v>
      </c>
      <c r="E7" s="86">
        <v>1</v>
      </c>
      <c r="F7" s="6" t="str">
        <f t="shared" ref="F7:F26" ca="1" si="0">IF(C7="","",$C$4&amp;"/"&amp;C7)</f>
        <v>m2/m2</v>
      </c>
      <c r="G7" s="58">
        <f t="shared" ref="G7:G70" si="1">IF(E7="","",1/E7)</f>
        <v>1</v>
      </c>
      <c r="H7" s="2">
        <f ca="1">IF(D7="","",D7*G7)</f>
        <v>3.6349999999999998</v>
      </c>
    </row>
    <row r="8" spans="1:10">
      <c r="A8" s="84">
        <v>201180</v>
      </c>
      <c r="B8" t="str">
        <f ca="1">IF(A8=VLOOKUP(A8,INDIRECT("tarieven!$A$3:$D$"&amp;tarieven!$A$1+3,TRUE),1),VLOOKUP(A8,INDIRECT("tarieven!$A$3:$D$"&amp;tarieven!$A$1+3,TRUE),2),"")</f>
        <v>Frezen asfalt 80mm niet teerh. incl. afvoer en stortkosten 0,-</v>
      </c>
      <c r="C8" t="str">
        <f ca="1">IF(A8=VLOOKUP(A8,INDIRECT("tarieven!$A$3:$D$"&amp;tarieven!$A$1+3,TRUE),1),VLOOKUP(A8,INDIRECT("tarieven!$A$3:$D$"&amp;tarieven!$A$1+3,TRUE),3),"")</f>
        <v>m2</v>
      </c>
      <c r="D8" s="3">
        <f ca="1">IF(A8=VLOOKUP(A8,INDIRECT("tarieven!$A$3:$D$"&amp;tarieven!$A$1+3,TRUE),1),VLOOKUP(A8,INDIRECT("tarieven!$A$3:$D$"&amp;tarieven!$A$1+3,TRUE),4),"")</f>
        <v>4.37</v>
      </c>
      <c r="E8" s="86">
        <f>1/25%</f>
        <v>4</v>
      </c>
      <c r="F8" s="6" t="str">
        <f t="shared" ca="1" si="0"/>
        <v>m2/m2</v>
      </c>
      <c r="G8" s="58">
        <f t="shared" si="1"/>
        <v>0.25</v>
      </c>
      <c r="H8" s="2">
        <f t="shared" ref="H8:H25" ca="1" si="2">IF(D8="","",D8*G8)</f>
        <v>1.0925</v>
      </c>
    </row>
    <row r="9" spans="1:10">
      <c r="A9" s="84">
        <v>201610</v>
      </c>
      <c r="B9" t="str">
        <f ca="1">IF(A9=VLOOKUP(A9,INDIRECT("tarieven!$A$3:$D$"&amp;tarieven!$A$1+3,TRUE),1),VLOOKUP(A9,INDIRECT("tarieven!$A$3:$D$"&amp;tarieven!$A$1+3,TRUE),2),"")</f>
        <v>Schoonmaken oppervlak t.b.v. reparaties</v>
      </c>
      <c r="C9" t="str">
        <f ca="1">IF(A9=VLOOKUP(A9,INDIRECT("tarieven!$A$3:$D$"&amp;tarieven!$A$1+3,TRUE),1),VLOOKUP(A9,INDIRECT("tarieven!$A$3:$D$"&amp;tarieven!$A$1+3,TRUE),3),"")</f>
        <v>m2</v>
      </c>
      <c r="D9" s="3">
        <f ca="1">IF(A9=VLOOKUP(A9,INDIRECT("tarieven!$A$3:$D$"&amp;tarieven!$A$1+3,TRUE),1),VLOOKUP(A9,INDIRECT("tarieven!$A$3:$D$"&amp;tarieven!$A$1+3,TRUE),4),"")</f>
        <v>0.4</v>
      </c>
      <c r="E9" s="86">
        <v>1</v>
      </c>
      <c r="F9" s="6" t="str">
        <f t="shared" ca="1" si="0"/>
        <v>m2/m2</v>
      </c>
      <c r="G9" s="58">
        <f t="shared" si="1"/>
        <v>1</v>
      </c>
      <c r="H9" s="2">
        <f t="shared" ca="1" si="2"/>
        <v>0.4</v>
      </c>
    </row>
    <row r="10" spans="1:10">
      <c r="A10" s="84">
        <v>300040</v>
      </c>
      <c r="B10" t="str">
        <f ca="1">IF(A10=VLOOKUP(A10,INDIRECT("tarieven!$A$3:$D$"&amp;tarieven!$A$1+3,TRUE),1),VLOOKUP(A10,INDIRECT("tarieven!$A$3:$D$"&amp;tarieven!$A$1+3,TRUE),2),"")</f>
        <v>asfaltset groot met transport incl. (+ aan en afvoerkosten)</v>
      </c>
      <c r="C10" t="str">
        <f ca="1">IF(A10=VLOOKUP(A10,INDIRECT("tarieven!$A$3:$D$"&amp;tarieven!$A$1+3,TRUE),1),VLOOKUP(A10,INDIRECT("tarieven!$A$3:$D$"&amp;tarieven!$A$1+3,TRUE),3),"")</f>
        <v>dag</v>
      </c>
      <c r="D10" s="3">
        <f ca="1">IF(A10=VLOOKUP(A10,INDIRECT("tarieven!$A$3:$D$"&amp;tarieven!$A$1+3,TRUE),1),VLOOKUP(A10,INDIRECT("tarieven!$A$3:$D$"&amp;tarieven!$A$1+3,TRUE),4),"")</f>
        <v>6355.2</v>
      </c>
      <c r="E10" s="86">
        <v>2500</v>
      </c>
      <c r="F10" s="6" t="str">
        <f t="shared" ca="1" si="0"/>
        <v>m2/dag</v>
      </c>
      <c r="G10" s="58">
        <f t="shared" si="1"/>
        <v>4.0000000000000002E-4</v>
      </c>
      <c r="H10" s="2">
        <f t="shared" ca="1" si="2"/>
        <v>2.5420799999999999</v>
      </c>
    </row>
    <row r="11" spans="1:10">
      <c r="A11" s="84">
        <v>302810</v>
      </c>
      <c r="B11" t="str">
        <f ca="1">IF(A11=VLOOKUP(A11,INDIRECT("tarieven!$A$3:$D$"&amp;tarieven!$A$1+3,TRUE),1),VLOOKUP(A11,INDIRECT("tarieven!$A$3:$D$"&amp;tarieven!$A$1+3,TRUE),2),"")</f>
        <v>kleeflaag 0,3kg/m2</v>
      </c>
      <c r="C11" t="str">
        <f ca="1">IF(A11=VLOOKUP(A11,INDIRECT("tarieven!$A$3:$D$"&amp;tarieven!$A$1+3,TRUE),1),VLOOKUP(A11,INDIRECT("tarieven!$A$3:$D$"&amp;tarieven!$A$1+3,TRUE),3),"")</f>
        <v>m2</v>
      </c>
      <c r="D11" s="3">
        <f ca="1">IF(A11=VLOOKUP(A11,INDIRECT("tarieven!$A$3:$D$"&amp;tarieven!$A$1+3,TRUE),1),VLOOKUP(A11,INDIRECT("tarieven!$A$3:$D$"&amp;tarieven!$A$1+3,TRUE),4),"")</f>
        <v>0.35</v>
      </c>
      <c r="E11" s="85">
        <v>1</v>
      </c>
      <c r="F11" s="6" t="str">
        <f t="shared" ca="1" si="0"/>
        <v>m2/m2</v>
      </c>
      <c r="G11" s="58">
        <f t="shared" si="1"/>
        <v>1</v>
      </c>
      <c r="H11" s="2">
        <f t="shared" ca="1" si="2"/>
        <v>0.35</v>
      </c>
    </row>
    <row r="12" spans="1:10">
      <c r="A12" s="84">
        <v>302230</v>
      </c>
      <c r="B12" t="str">
        <f ca="1">IF(A12=VLOOKUP(A12,INDIRECT("tarieven!$A$3:$D$"&amp;tarieven!$A$1+3,TRUE),1),VLOOKUP(A12,INDIRECT("tarieven!$A$3:$D$"&amp;tarieven!$A$1+3,TRUE),2),"")</f>
        <v>levering asfalt tussenlaag AC16 bind TL-B (50% gerecycled)</v>
      </c>
      <c r="C12" t="str">
        <f ca="1">IF(A12=VLOOKUP(A12,INDIRECT("tarieven!$A$3:$D$"&amp;tarieven!$A$1+3,TRUE),1),VLOOKUP(A12,INDIRECT("tarieven!$A$3:$D$"&amp;tarieven!$A$1+3,TRUE),3),"")</f>
        <v>ton</v>
      </c>
      <c r="D12" s="3">
        <f ca="1">IF(A12=VLOOKUP(A12,INDIRECT("tarieven!$A$3:$D$"&amp;tarieven!$A$1+3,TRUE),1),VLOOKUP(A12,INDIRECT("tarieven!$A$3:$D$"&amp;tarieven!$A$1+3,TRUE),4),"")</f>
        <v>61.45</v>
      </c>
      <c r="E12" s="85">
        <f>0.4/0.08/25%</f>
        <v>20</v>
      </c>
      <c r="F12" s="6" t="str">
        <f t="shared" ca="1" si="0"/>
        <v>m2/ton</v>
      </c>
      <c r="G12" s="58">
        <f t="shared" si="1"/>
        <v>0.05</v>
      </c>
      <c r="H12" s="2">
        <f t="shared" ca="1" si="2"/>
        <v>3.0725000000000002</v>
      </c>
    </row>
    <row r="13" spans="1:10">
      <c r="A13" s="84">
        <v>302810</v>
      </c>
      <c r="B13" t="str">
        <f ca="1">IF(A13=VLOOKUP(A13,INDIRECT("tarieven!$A$3:$D$"&amp;tarieven!$A$1+3,TRUE),1),VLOOKUP(A13,INDIRECT("tarieven!$A$3:$D$"&amp;tarieven!$A$1+3,TRUE),2),"")</f>
        <v>kleeflaag 0,3kg/m2</v>
      </c>
      <c r="C13" t="str">
        <f ca="1">IF(A13=VLOOKUP(A13,INDIRECT("tarieven!$A$3:$D$"&amp;tarieven!$A$1+3,TRUE),1),VLOOKUP(A13,INDIRECT("tarieven!$A$3:$D$"&amp;tarieven!$A$1+3,TRUE),3),"")</f>
        <v>m2</v>
      </c>
      <c r="D13" s="3">
        <f ca="1">IF(A13=VLOOKUP(A13,INDIRECT("tarieven!$A$3:$D$"&amp;tarieven!$A$1+3,TRUE),1),VLOOKUP(A13,INDIRECT("tarieven!$A$3:$D$"&amp;tarieven!$A$1+3,TRUE),4),"")</f>
        <v>0.35</v>
      </c>
      <c r="E13" s="86">
        <v>1</v>
      </c>
      <c r="F13" s="6" t="str">
        <f t="shared" ca="1" si="0"/>
        <v>m2/m2</v>
      </c>
      <c r="G13" s="58">
        <f t="shared" si="1"/>
        <v>1</v>
      </c>
      <c r="H13" s="2">
        <f t="shared" ca="1" si="2"/>
        <v>0.35</v>
      </c>
    </row>
    <row r="14" spans="1:10">
      <c r="A14" s="84">
        <v>301210</v>
      </c>
      <c r="B14" t="str">
        <f ca="1">IF(A14=VLOOKUP(A14,INDIRECT("tarieven!$A$3:$D$"&amp;tarieven!$A$1+3,TRUE),1),VLOOKUP(A14,INDIRECT("tarieven!$A$3:$D$"&amp;tarieven!$A$1+3,TRUE),2),"")</f>
        <v>levering asfalt deklaag geluidsreducerend incl. SMA 11B type 2</v>
      </c>
      <c r="C14" t="str">
        <f ca="1">IF(A14=VLOOKUP(A14,INDIRECT("tarieven!$A$3:$D$"&amp;tarieven!$A$1+3,TRUE),1),VLOOKUP(A14,INDIRECT("tarieven!$A$3:$D$"&amp;tarieven!$A$1+3,TRUE),3),"")</f>
        <v>ton</v>
      </c>
      <c r="D14" s="3">
        <f ca="1">IF(A14=VLOOKUP(A14,INDIRECT("tarieven!$A$3:$D$"&amp;tarieven!$A$1+3,TRUE),1),VLOOKUP(A14,INDIRECT("tarieven!$A$3:$D$"&amp;tarieven!$A$1+3,TRUE),4),"")</f>
        <v>96.25</v>
      </c>
      <c r="E14" s="85">
        <f>0.4/0.03</f>
        <v>13.333333333333334</v>
      </c>
      <c r="F14" s="6" t="str">
        <f t="shared" ca="1" si="0"/>
        <v>m2/ton</v>
      </c>
      <c r="G14" s="58">
        <f t="shared" si="1"/>
        <v>7.4999999999999997E-2</v>
      </c>
      <c r="H14" s="2">
        <f t="shared" ca="1" si="2"/>
        <v>7.21875</v>
      </c>
    </row>
    <row r="15" spans="1:10">
      <c r="A15" s="84">
        <v>401010</v>
      </c>
      <c r="B15" t="str">
        <f ca="1">IF(A15=VLOOKUP(A15,INDIRECT("tarieven!$A$3:$D$"&amp;tarieven!$A$1+3,TRUE),1),VLOOKUP(A15,INDIRECT("tarieven!$A$3:$D$"&amp;tarieven!$A$1+3,TRUE),2),"")</f>
        <v/>
      </c>
      <c r="C15" t="str">
        <f ca="1">IF(A15=VLOOKUP(A15,INDIRECT("tarieven!$A$3:$D$"&amp;tarieven!$A$1+3,TRUE),1),VLOOKUP(A15,INDIRECT("tarieven!$A$3:$D$"&amp;tarieven!$A$1+3,TRUE),3),"")</f>
        <v/>
      </c>
      <c r="D15" s="3" t="str">
        <f ca="1">IF(A15=VLOOKUP(A15,INDIRECT("tarieven!$A$3:$D$"&amp;tarieven!$A$1+3,TRUE),1),VLOOKUP(A15,INDIRECT("tarieven!$A$3:$D$"&amp;tarieven!$A$1+3,TRUE),4),"")</f>
        <v/>
      </c>
      <c r="E15" s="86">
        <v>5000</v>
      </c>
      <c r="F15" s="6" t="str">
        <f t="shared" ca="1" si="0"/>
        <v/>
      </c>
      <c r="G15" s="58">
        <f t="shared" si="1"/>
        <v>2.0000000000000001E-4</v>
      </c>
      <c r="H15" s="2" t="str">
        <f t="shared" ca="1" si="2"/>
        <v/>
      </c>
    </row>
    <row r="16" spans="1:10">
      <c r="A16" s="84" t="s">
        <v>6</v>
      </c>
      <c r="B16" t="str">
        <f ca="1">IF(A16=VLOOKUP(A16,INDIRECT("tarieven!$A$3:$D$"&amp;tarieven!$A$1+3,TRUE),1),VLOOKUP(A16,INDIRECT("tarieven!$A$3:$D$"&amp;tarieven!$A$1+3,TRUE),2),"")</f>
        <v/>
      </c>
      <c r="C16" t="str">
        <f ca="1">IF(A16=VLOOKUP(A16,INDIRECT("tarieven!$A$3:$D$"&amp;tarieven!$A$1+3,TRUE),1),VLOOKUP(A16,INDIRECT("tarieven!$A$3:$D$"&amp;tarieven!$A$1+3,TRUE),3),"")</f>
        <v/>
      </c>
      <c r="D16" s="3"/>
      <c r="E16" s="86"/>
      <c r="F16" s="6" t="str">
        <f t="shared" ca="1" si="0"/>
        <v/>
      </c>
      <c r="G16" s="58" t="str">
        <f t="shared" si="1"/>
        <v/>
      </c>
      <c r="H16" s="2" t="str">
        <f t="shared" si="2"/>
        <v/>
      </c>
    </row>
    <row r="17" spans="1:8">
      <c r="A17" s="84" t="s">
        <v>6</v>
      </c>
      <c r="B17" t="str">
        <f ca="1">IF(A17=VLOOKUP(A17,INDIRECT("tarieven!$A$3:$D$"&amp;tarieven!$A$1+3,TRUE),1),VLOOKUP(A17,INDIRECT("tarieven!$A$3:$D$"&amp;tarieven!$A$1+3,TRUE),2),"")</f>
        <v/>
      </c>
      <c r="C17" t="str">
        <f ca="1">IF(A17=VLOOKUP(A17,INDIRECT("tarieven!$A$3:$D$"&amp;tarieven!$A$1+3,TRUE),1),VLOOKUP(A17,INDIRECT("tarieven!$A$3:$D$"&amp;tarieven!$A$1+3,TRUE),3),"")</f>
        <v/>
      </c>
      <c r="D17" s="3"/>
      <c r="E17" s="86"/>
      <c r="F17" s="6" t="str">
        <f t="shared" ca="1" si="0"/>
        <v/>
      </c>
      <c r="G17" s="58" t="str">
        <f t="shared" si="1"/>
        <v/>
      </c>
      <c r="H17" s="2" t="str">
        <f t="shared" si="2"/>
        <v/>
      </c>
    </row>
    <row r="18" spans="1:8">
      <c r="A18" s="84" t="s">
        <v>6</v>
      </c>
      <c r="B18" t="str">
        <f ca="1">IF(A18=VLOOKUP(A18,INDIRECT("tarieven!$A$3:$D$"&amp;tarieven!$A$1+3,TRUE),1),VLOOKUP(A18,INDIRECT("tarieven!$A$3:$D$"&amp;tarieven!$A$1+3,TRUE),2),"")</f>
        <v/>
      </c>
      <c r="C18" t="str">
        <f ca="1">IF(A18=VLOOKUP(A18,INDIRECT("tarieven!$A$3:$D$"&amp;tarieven!$A$1+3,TRUE),1),VLOOKUP(A18,INDIRECT("tarieven!$A$3:$D$"&amp;tarieven!$A$1+3,TRUE),3),"")</f>
        <v/>
      </c>
      <c r="D18" s="3"/>
      <c r="E18" s="86"/>
      <c r="F18" s="6" t="str">
        <f t="shared" ca="1" si="0"/>
        <v/>
      </c>
      <c r="G18" s="58" t="str">
        <f t="shared" si="1"/>
        <v/>
      </c>
      <c r="H18" s="2" t="str">
        <f t="shared" si="2"/>
        <v/>
      </c>
    </row>
    <row r="19" spans="1:8">
      <c r="A19" s="84" t="s">
        <v>6</v>
      </c>
      <c r="B19" t="str">
        <f ca="1">IF(A19=VLOOKUP(A19,INDIRECT("tarieven!$A$3:$D$"&amp;tarieven!$A$1+3,TRUE),1),VLOOKUP(A19,INDIRECT("tarieven!$A$3:$D$"&amp;tarieven!$A$1+3,TRUE),2),"")</f>
        <v/>
      </c>
      <c r="C19" t="str">
        <f ca="1">IF(A19=VLOOKUP(A19,INDIRECT("tarieven!$A$3:$D$"&amp;tarieven!$A$1+3,TRUE),1),VLOOKUP(A19,INDIRECT("tarieven!$A$3:$D$"&amp;tarieven!$A$1+3,TRUE),3),"")</f>
        <v/>
      </c>
      <c r="D19" s="3"/>
      <c r="E19" s="86"/>
      <c r="F19" s="6" t="str">
        <f t="shared" ca="1" si="0"/>
        <v/>
      </c>
      <c r="G19" s="58" t="str">
        <f t="shared" si="1"/>
        <v/>
      </c>
      <c r="H19" s="2" t="str">
        <f t="shared" si="2"/>
        <v/>
      </c>
    </row>
    <row r="20" spans="1:8">
      <c r="A20" s="84" t="s">
        <v>6</v>
      </c>
      <c r="B20" t="str">
        <f ca="1">IF(A20=VLOOKUP(A20,INDIRECT("tarieven!$A$3:$D$"&amp;tarieven!$A$1+3,TRUE),1),VLOOKUP(A20,INDIRECT("tarieven!$A$3:$D$"&amp;tarieven!$A$1+3,TRUE),2),"")</f>
        <v/>
      </c>
      <c r="C20" t="str">
        <f ca="1">IF(A20=VLOOKUP(A20,INDIRECT("tarieven!$A$3:$D$"&amp;tarieven!$A$1+3,TRUE),1),VLOOKUP(A20,INDIRECT("tarieven!$A$3:$D$"&amp;tarieven!$A$1+3,TRUE),3),"")</f>
        <v/>
      </c>
      <c r="D20" s="3"/>
      <c r="E20" s="86"/>
      <c r="F20" s="6" t="str">
        <f t="shared" ca="1" si="0"/>
        <v/>
      </c>
      <c r="G20" s="58" t="str">
        <f t="shared" si="1"/>
        <v/>
      </c>
      <c r="H20" s="2" t="str">
        <f t="shared" si="2"/>
        <v/>
      </c>
    </row>
    <row r="21" spans="1:8">
      <c r="A21" s="84" t="s">
        <v>6</v>
      </c>
      <c r="B21" t="str">
        <f ca="1">IF(A21=VLOOKUP(A21,INDIRECT("tarieven!$A$3:$D$"&amp;tarieven!$A$1+3,TRUE),1),VLOOKUP(A21,INDIRECT("tarieven!$A$3:$D$"&amp;tarieven!$A$1+3,TRUE),2),"")</f>
        <v/>
      </c>
      <c r="C21" t="str">
        <f ca="1">IF(A21=VLOOKUP(A21,INDIRECT("tarieven!$A$3:$D$"&amp;tarieven!$A$1+3,TRUE),1),VLOOKUP(A21,INDIRECT("tarieven!$A$3:$D$"&amp;tarieven!$A$1+3,TRUE),3),"")</f>
        <v/>
      </c>
      <c r="D21" s="3"/>
      <c r="E21" s="86"/>
      <c r="F21" s="6" t="str">
        <f t="shared" ca="1" si="0"/>
        <v/>
      </c>
      <c r="G21" s="58" t="str">
        <f t="shared" si="1"/>
        <v/>
      </c>
      <c r="H21" s="2" t="str">
        <f t="shared" si="2"/>
        <v/>
      </c>
    </row>
    <row r="22" spans="1:8">
      <c r="A22" s="84" t="s">
        <v>6</v>
      </c>
      <c r="B22" t="str">
        <f ca="1">IF(A22=VLOOKUP(A22,INDIRECT("tarieven!$A$3:$D$"&amp;tarieven!$A$1+3,TRUE),1),VLOOKUP(A22,INDIRECT("tarieven!$A$3:$D$"&amp;tarieven!$A$1+3,TRUE),2),"")</f>
        <v/>
      </c>
      <c r="C22" t="str">
        <f ca="1">IF(A22=VLOOKUP(A22,INDIRECT("tarieven!$A$3:$D$"&amp;tarieven!$A$1+3,TRUE),1),VLOOKUP(A22,INDIRECT("tarieven!$A$3:$D$"&amp;tarieven!$A$1+3,TRUE),3),"")</f>
        <v/>
      </c>
      <c r="D22" s="3"/>
      <c r="E22" s="86"/>
      <c r="F22" s="6" t="str">
        <f t="shared" ca="1" si="0"/>
        <v/>
      </c>
      <c r="G22" s="58" t="str">
        <f t="shared" si="1"/>
        <v/>
      </c>
      <c r="H22" s="2" t="str">
        <f t="shared" si="2"/>
        <v/>
      </c>
    </row>
    <row r="23" spans="1:8">
      <c r="A23" s="84" t="s">
        <v>6</v>
      </c>
      <c r="B23" t="str">
        <f ca="1">IF(A23=VLOOKUP(A23,INDIRECT("tarieven!$A$3:$D$"&amp;tarieven!$A$1+3,TRUE),1),VLOOKUP(A23,INDIRECT("tarieven!$A$3:$D$"&amp;tarieven!$A$1+3,TRUE),2),"")</f>
        <v/>
      </c>
      <c r="C23" t="str">
        <f ca="1">IF(A23=VLOOKUP(A23,INDIRECT("tarieven!$A$3:$D$"&amp;tarieven!$A$1+3,TRUE),1),VLOOKUP(A23,INDIRECT("tarieven!$A$3:$D$"&amp;tarieven!$A$1+3,TRUE),3),"")</f>
        <v/>
      </c>
      <c r="D23" s="3"/>
      <c r="E23" s="86"/>
      <c r="F23" s="6" t="str">
        <f t="shared" ca="1" si="0"/>
        <v/>
      </c>
      <c r="G23" s="58" t="str">
        <f t="shared" si="1"/>
        <v/>
      </c>
      <c r="H23" s="2" t="str">
        <f t="shared" si="2"/>
        <v/>
      </c>
    </row>
    <row r="24" spans="1:8">
      <c r="A24" s="84" t="s">
        <v>6</v>
      </c>
      <c r="B24" t="str">
        <f ca="1">IF(A24=VLOOKUP(A24,INDIRECT("tarieven!$A$3:$D$"&amp;tarieven!$A$1+3,TRUE),1),VLOOKUP(A24,INDIRECT("tarieven!$A$3:$D$"&amp;tarieven!$A$1+3,TRUE),2),"")</f>
        <v/>
      </c>
      <c r="C24" t="str">
        <f ca="1">IF(A24=VLOOKUP(A24,INDIRECT("tarieven!$A$3:$D$"&amp;tarieven!$A$1+3,TRUE),1),VLOOKUP(A24,INDIRECT("tarieven!$A$3:$D$"&amp;tarieven!$A$1+3,TRUE),3),"")</f>
        <v/>
      </c>
      <c r="D24" s="3"/>
      <c r="E24" s="86"/>
      <c r="F24" s="6" t="str">
        <f t="shared" ca="1" si="0"/>
        <v/>
      </c>
      <c r="G24" s="58" t="str">
        <f t="shared" si="1"/>
        <v/>
      </c>
      <c r="H24" s="2" t="str">
        <f t="shared" si="2"/>
        <v/>
      </c>
    </row>
    <row r="25" spans="1:8">
      <c r="A25" s="84" t="s">
        <v>6</v>
      </c>
      <c r="B25" t="str">
        <f ca="1">IF(A25=VLOOKUP(A25,INDIRECT("tarieven!$A$3:$D$"&amp;tarieven!$A$1+3,TRUE),1),VLOOKUP(A25,INDIRECT("tarieven!$A$3:$D$"&amp;tarieven!$A$1+3,TRUE),2),"")</f>
        <v/>
      </c>
      <c r="C25" t="str">
        <f ca="1">IF(A25=VLOOKUP(A25,INDIRECT("tarieven!$A$3:$D$"&amp;tarieven!$A$1+3,TRUE),1),VLOOKUP(A25,INDIRECT("tarieven!$A$3:$D$"&amp;tarieven!$A$1+3,TRUE),3),"")</f>
        <v/>
      </c>
      <c r="D25" s="3"/>
      <c r="E25" s="86"/>
      <c r="F25" s="6" t="str">
        <f t="shared" ca="1" si="0"/>
        <v/>
      </c>
      <c r="G25" s="58" t="str">
        <f t="shared" si="1"/>
        <v/>
      </c>
      <c r="H25" s="2" t="str">
        <f t="shared" si="2"/>
        <v/>
      </c>
    </row>
    <row r="26" spans="1:8">
      <c r="F26" s="6" t="str">
        <f t="shared" si="0"/>
        <v/>
      </c>
      <c r="G26" s="58" t="str">
        <f t="shared" si="1"/>
        <v/>
      </c>
      <c r="H26" s="2" t="str">
        <f t="shared" ref="H26:H89" si="3">IF(G26="","",D26*G26)</f>
        <v/>
      </c>
    </row>
    <row r="27" spans="1:8">
      <c r="G27" s="58" t="str">
        <f t="shared" si="1"/>
        <v/>
      </c>
      <c r="H27" s="2" t="str">
        <f t="shared" si="3"/>
        <v/>
      </c>
    </row>
    <row r="28" spans="1:8">
      <c r="G28" s="58" t="str">
        <f t="shared" si="1"/>
        <v/>
      </c>
      <c r="H28" s="2" t="str">
        <f t="shared" si="3"/>
        <v/>
      </c>
    </row>
    <row r="29" spans="1:8">
      <c r="G29" s="58" t="str">
        <f t="shared" si="1"/>
        <v/>
      </c>
      <c r="H29" s="2" t="str">
        <f t="shared" si="3"/>
        <v/>
      </c>
    </row>
    <row r="30" spans="1:8">
      <c r="G30" s="58" t="str">
        <f t="shared" si="1"/>
        <v/>
      </c>
      <c r="H30" s="2" t="str">
        <f t="shared" si="3"/>
        <v/>
      </c>
    </row>
    <row r="31" spans="1:8">
      <c r="G31" s="58" t="str">
        <f t="shared" si="1"/>
        <v/>
      </c>
      <c r="H31" s="2" t="str">
        <f t="shared" si="3"/>
        <v/>
      </c>
    </row>
    <row r="32" spans="1:8">
      <c r="G32" s="58" t="str">
        <f t="shared" si="1"/>
        <v/>
      </c>
      <c r="H32" s="2" t="str">
        <f t="shared" si="3"/>
        <v/>
      </c>
    </row>
    <row r="33" spans="7:8">
      <c r="G33" s="58" t="str">
        <f t="shared" si="1"/>
        <v/>
      </c>
      <c r="H33" s="2" t="str">
        <f t="shared" si="3"/>
        <v/>
      </c>
    </row>
    <row r="34" spans="7:8">
      <c r="G34" s="58" t="str">
        <f t="shared" si="1"/>
        <v/>
      </c>
      <c r="H34" s="2" t="str">
        <f t="shared" si="3"/>
        <v/>
      </c>
    </row>
    <row r="35" spans="7:8">
      <c r="G35" s="58" t="str">
        <f t="shared" si="1"/>
        <v/>
      </c>
      <c r="H35" s="2" t="str">
        <f t="shared" si="3"/>
        <v/>
      </c>
    </row>
    <row r="36" spans="7:8">
      <c r="G36" s="58" t="str">
        <f t="shared" si="1"/>
        <v/>
      </c>
      <c r="H36" s="2" t="str">
        <f t="shared" si="3"/>
        <v/>
      </c>
    </row>
    <row r="37" spans="7:8">
      <c r="G37" s="58" t="str">
        <f t="shared" si="1"/>
        <v/>
      </c>
      <c r="H37" s="2" t="str">
        <f t="shared" si="3"/>
        <v/>
      </c>
    </row>
    <row r="38" spans="7:8">
      <c r="G38" s="58" t="str">
        <f t="shared" si="1"/>
        <v/>
      </c>
      <c r="H38" s="2" t="str">
        <f t="shared" si="3"/>
        <v/>
      </c>
    </row>
    <row r="39" spans="7:8">
      <c r="G39" s="58" t="str">
        <f t="shared" si="1"/>
        <v/>
      </c>
      <c r="H39" s="2" t="str">
        <f t="shared" si="3"/>
        <v/>
      </c>
    </row>
    <row r="40" spans="7:8">
      <c r="G40" s="58" t="str">
        <f t="shared" si="1"/>
        <v/>
      </c>
      <c r="H40" s="2" t="str">
        <f t="shared" si="3"/>
        <v/>
      </c>
    </row>
    <row r="41" spans="7:8">
      <c r="G41" s="58" t="str">
        <f t="shared" si="1"/>
        <v/>
      </c>
      <c r="H41" s="2" t="str">
        <f t="shared" si="3"/>
        <v/>
      </c>
    </row>
    <row r="42" spans="7:8">
      <c r="G42" s="58" t="str">
        <f t="shared" si="1"/>
        <v/>
      </c>
      <c r="H42" s="2" t="str">
        <f t="shared" si="3"/>
        <v/>
      </c>
    </row>
    <row r="43" spans="7:8">
      <c r="G43" s="58" t="str">
        <f t="shared" si="1"/>
        <v/>
      </c>
      <c r="H43" s="2" t="str">
        <f t="shared" si="3"/>
        <v/>
      </c>
    </row>
    <row r="44" spans="7:8">
      <c r="G44" s="58" t="str">
        <f t="shared" si="1"/>
        <v/>
      </c>
      <c r="H44" s="2" t="str">
        <f t="shared" si="3"/>
        <v/>
      </c>
    </row>
    <row r="45" spans="7:8">
      <c r="G45" s="58" t="str">
        <f t="shared" si="1"/>
        <v/>
      </c>
      <c r="H45" s="2" t="str">
        <f t="shared" si="3"/>
        <v/>
      </c>
    </row>
    <row r="46" spans="7:8">
      <c r="G46" s="58" t="str">
        <f t="shared" si="1"/>
        <v/>
      </c>
      <c r="H46" s="2" t="str">
        <f t="shared" si="3"/>
        <v/>
      </c>
    </row>
    <row r="47" spans="7:8">
      <c r="G47" s="58" t="str">
        <f t="shared" si="1"/>
        <v/>
      </c>
      <c r="H47" s="2" t="str">
        <f t="shared" si="3"/>
        <v/>
      </c>
    </row>
    <row r="48" spans="7:8">
      <c r="G48" s="58" t="str">
        <f t="shared" si="1"/>
        <v/>
      </c>
      <c r="H48" s="2" t="str">
        <f t="shared" si="3"/>
        <v/>
      </c>
    </row>
    <row r="49" spans="7:8">
      <c r="G49" s="58" t="str">
        <f t="shared" si="1"/>
        <v/>
      </c>
      <c r="H49" s="2" t="str">
        <f t="shared" si="3"/>
        <v/>
      </c>
    </row>
    <row r="50" spans="7:8">
      <c r="G50" s="58" t="str">
        <f t="shared" si="1"/>
        <v/>
      </c>
      <c r="H50" s="2" t="str">
        <f t="shared" si="3"/>
        <v/>
      </c>
    </row>
    <row r="51" spans="7:8">
      <c r="G51" s="58" t="str">
        <f t="shared" si="1"/>
        <v/>
      </c>
      <c r="H51" s="2" t="str">
        <f t="shared" si="3"/>
        <v/>
      </c>
    </row>
    <row r="52" spans="7:8">
      <c r="G52" s="58" t="str">
        <f t="shared" si="1"/>
        <v/>
      </c>
      <c r="H52" s="2" t="str">
        <f t="shared" si="3"/>
        <v/>
      </c>
    </row>
    <row r="53" spans="7:8">
      <c r="G53" s="58" t="str">
        <f t="shared" si="1"/>
        <v/>
      </c>
      <c r="H53" s="2" t="str">
        <f t="shared" si="3"/>
        <v/>
      </c>
    </row>
    <row r="54" spans="7:8">
      <c r="G54" s="58" t="str">
        <f t="shared" si="1"/>
        <v/>
      </c>
      <c r="H54" s="2" t="str">
        <f t="shared" si="3"/>
        <v/>
      </c>
    </row>
    <row r="55" spans="7:8">
      <c r="G55" s="58" t="str">
        <f t="shared" si="1"/>
        <v/>
      </c>
      <c r="H55" s="2" t="str">
        <f t="shared" si="3"/>
        <v/>
      </c>
    </row>
    <row r="56" spans="7:8">
      <c r="G56" s="58" t="str">
        <f t="shared" si="1"/>
        <v/>
      </c>
      <c r="H56" s="2" t="str">
        <f t="shared" si="3"/>
        <v/>
      </c>
    </row>
    <row r="57" spans="7:8">
      <c r="G57" s="58" t="str">
        <f t="shared" si="1"/>
        <v/>
      </c>
      <c r="H57" s="2" t="str">
        <f t="shared" si="3"/>
        <v/>
      </c>
    </row>
    <row r="58" spans="7:8">
      <c r="G58" s="58" t="str">
        <f t="shared" si="1"/>
        <v/>
      </c>
      <c r="H58" s="2" t="str">
        <f t="shared" si="3"/>
        <v/>
      </c>
    </row>
    <row r="59" spans="7:8">
      <c r="G59" s="58" t="str">
        <f t="shared" si="1"/>
        <v/>
      </c>
      <c r="H59" s="2" t="str">
        <f t="shared" si="3"/>
        <v/>
      </c>
    </row>
    <row r="60" spans="7:8">
      <c r="G60" s="58" t="str">
        <f t="shared" si="1"/>
        <v/>
      </c>
      <c r="H60" s="2" t="str">
        <f t="shared" si="3"/>
        <v/>
      </c>
    </row>
    <row r="61" spans="7:8">
      <c r="G61" s="58" t="str">
        <f t="shared" si="1"/>
        <v/>
      </c>
      <c r="H61" s="2" t="str">
        <f t="shared" si="3"/>
        <v/>
      </c>
    </row>
    <row r="62" spans="7:8">
      <c r="G62" s="58" t="str">
        <f t="shared" si="1"/>
        <v/>
      </c>
      <c r="H62" s="2" t="str">
        <f t="shared" si="3"/>
        <v/>
      </c>
    </row>
    <row r="63" spans="7:8">
      <c r="G63" s="58" t="str">
        <f t="shared" si="1"/>
        <v/>
      </c>
      <c r="H63" s="2" t="str">
        <f t="shared" si="3"/>
        <v/>
      </c>
    </row>
    <row r="64" spans="7:8">
      <c r="G64" s="58" t="str">
        <f t="shared" si="1"/>
        <v/>
      </c>
      <c r="H64" s="2" t="str">
        <f t="shared" si="3"/>
        <v/>
      </c>
    </row>
    <row r="65" spans="7:8">
      <c r="G65" s="58" t="str">
        <f t="shared" si="1"/>
        <v/>
      </c>
      <c r="H65" s="2" t="str">
        <f t="shared" si="3"/>
        <v/>
      </c>
    </row>
    <row r="66" spans="7:8">
      <c r="G66" s="58" t="str">
        <f t="shared" si="1"/>
        <v/>
      </c>
      <c r="H66" s="2" t="str">
        <f t="shared" si="3"/>
        <v/>
      </c>
    </row>
    <row r="67" spans="7:8">
      <c r="G67" s="58" t="str">
        <f t="shared" si="1"/>
        <v/>
      </c>
      <c r="H67" s="2" t="str">
        <f t="shared" si="3"/>
        <v/>
      </c>
    </row>
    <row r="68" spans="7:8">
      <c r="G68" s="58" t="str">
        <f t="shared" si="1"/>
        <v/>
      </c>
      <c r="H68" s="2" t="str">
        <f t="shared" si="3"/>
        <v/>
      </c>
    </row>
    <row r="69" spans="7:8">
      <c r="G69" s="58" t="str">
        <f t="shared" si="1"/>
        <v/>
      </c>
      <c r="H69" s="2" t="str">
        <f t="shared" si="3"/>
        <v/>
      </c>
    </row>
    <row r="70" spans="7:8">
      <c r="G70" s="58" t="str">
        <f t="shared" si="1"/>
        <v/>
      </c>
      <c r="H70" s="2" t="str">
        <f t="shared" si="3"/>
        <v/>
      </c>
    </row>
    <row r="71" spans="7:8">
      <c r="G71" s="58" t="str">
        <f t="shared" ref="G71:G105" si="4">IF(E71="","",1/E71)</f>
        <v/>
      </c>
      <c r="H71" s="2" t="str">
        <f t="shared" si="3"/>
        <v/>
      </c>
    </row>
    <row r="72" spans="7:8">
      <c r="G72" s="58" t="str">
        <f t="shared" si="4"/>
        <v/>
      </c>
      <c r="H72" s="2" t="str">
        <f t="shared" si="3"/>
        <v/>
      </c>
    </row>
    <row r="73" spans="7:8">
      <c r="G73" s="58" t="str">
        <f t="shared" si="4"/>
        <v/>
      </c>
      <c r="H73" s="2" t="str">
        <f t="shared" si="3"/>
        <v/>
      </c>
    </row>
    <row r="74" spans="7:8">
      <c r="G74" s="58" t="str">
        <f t="shared" si="4"/>
        <v/>
      </c>
      <c r="H74" s="2" t="str">
        <f t="shared" si="3"/>
        <v/>
      </c>
    </row>
    <row r="75" spans="7:8">
      <c r="G75" s="58" t="str">
        <f t="shared" si="4"/>
        <v/>
      </c>
      <c r="H75" s="2" t="str">
        <f t="shared" si="3"/>
        <v/>
      </c>
    </row>
    <row r="76" spans="7:8">
      <c r="G76" s="58" t="str">
        <f t="shared" si="4"/>
        <v/>
      </c>
      <c r="H76" s="2" t="str">
        <f t="shared" si="3"/>
        <v/>
      </c>
    </row>
    <row r="77" spans="7:8">
      <c r="G77" s="58" t="str">
        <f t="shared" si="4"/>
        <v/>
      </c>
      <c r="H77" s="2" t="str">
        <f t="shared" si="3"/>
        <v/>
      </c>
    </row>
    <row r="78" spans="7:8">
      <c r="G78" s="58" t="str">
        <f t="shared" si="4"/>
        <v/>
      </c>
      <c r="H78" s="2" t="str">
        <f t="shared" si="3"/>
        <v/>
      </c>
    </row>
    <row r="79" spans="7:8">
      <c r="G79" s="58" t="str">
        <f t="shared" si="4"/>
        <v/>
      </c>
      <c r="H79" s="2" t="str">
        <f t="shared" si="3"/>
        <v/>
      </c>
    </row>
    <row r="80" spans="7:8">
      <c r="G80" s="58" t="str">
        <f t="shared" si="4"/>
        <v/>
      </c>
      <c r="H80" s="2" t="str">
        <f t="shared" si="3"/>
        <v/>
      </c>
    </row>
    <row r="81" spans="7:8">
      <c r="G81" s="58" t="str">
        <f t="shared" si="4"/>
        <v/>
      </c>
      <c r="H81" s="2" t="str">
        <f t="shared" si="3"/>
        <v/>
      </c>
    </row>
    <row r="82" spans="7:8">
      <c r="G82" s="58" t="str">
        <f t="shared" si="4"/>
        <v/>
      </c>
      <c r="H82" s="2" t="str">
        <f t="shared" si="3"/>
        <v/>
      </c>
    </row>
    <row r="83" spans="7:8">
      <c r="G83" s="58" t="str">
        <f t="shared" si="4"/>
        <v/>
      </c>
      <c r="H83" s="2" t="str">
        <f t="shared" si="3"/>
        <v/>
      </c>
    </row>
    <row r="84" spans="7:8">
      <c r="G84" s="58" t="str">
        <f t="shared" si="4"/>
        <v/>
      </c>
      <c r="H84" s="2" t="str">
        <f t="shared" si="3"/>
        <v/>
      </c>
    </row>
    <row r="85" spans="7:8">
      <c r="G85" s="58" t="str">
        <f t="shared" si="4"/>
        <v/>
      </c>
      <c r="H85" s="2" t="str">
        <f t="shared" si="3"/>
        <v/>
      </c>
    </row>
    <row r="86" spans="7:8">
      <c r="G86" s="58" t="str">
        <f t="shared" si="4"/>
        <v/>
      </c>
      <c r="H86" s="2" t="str">
        <f t="shared" si="3"/>
        <v/>
      </c>
    </row>
    <row r="87" spans="7:8">
      <c r="G87" s="58" t="str">
        <f t="shared" si="4"/>
        <v/>
      </c>
      <c r="H87" s="2" t="str">
        <f t="shared" si="3"/>
        <v/>
      </c>
    </row>
    <row r="88" spans="7:8">
      <c r="G88" s="58" t="str">
        <f t="shared" si="4"/>
        <v/>
      </c>
      <c r="H88" s="2" t="str">
        <f t="shared" si="3"/>
        <v/>
      </c>
    </row>
    <row r="89" spans="7:8">
      <c r="G89" s="58" t="str">
        <f t="shared" si="4"/>
        <v/>
      </c>
      <c r="H89" s="2" t="str">
        <f t="shared" si="3"/>
        <v/>
      </c>
    </row>
    <row r="90" spans="7:8">
      <c r="G90" s="58" t="str">
        <f t="shared" si="4"/>
        <v/>
      </c>
      <c r="H90" s="2" t="str">
        <f t="shared" ref="H90:H105" si="5">IF(G90="","",D90*G90)</f>
        <v/>
      </c>
    </row>
    <row r="91" spans="7:8">
      <c r="G91" s="58" t="str">
        <f t="shared" si="4"/>
        <v/>
      </c>
      <c r="H91" s="2" t="str">
        <f t="shared" si="5"/>
        <v/>
      </c>
    </row>
    <row r="92" spans="7:8">
      <c r="G92" s="58" t="str">
        <f t="shared" si="4"/>
        <v/>
      </c>
      <c r="H92" s="2" t="str">
        <f t="shared" si="5"/>
        <v/>
      </c>
    </row>
    <row r="93" spans="7:8">
      <c r="G93" s="58" t="str">
        <f t="shared" si="4"/>
        <v/>
      </c>
      <c r="H93" s="2" t="str">
        <f t="shared" si="5"/>
        <v/>
      </c>
    </row>
    <row r="94" spans="7:8">
      <c r="G94" s="58" t="str">
        <f t="shared" si="4"/>
        <v/>
      </c>
      <c r="H94" s="2" t="str">
        <f t="shared" si="5"/>
        <v/>
      </c>
    </row>
    <row r="95" spans="7:8">
      <c r="G95" s="58" t="str">
        <f t="shared" si="4"/>
        <v/>
      </c>
      <c r="H95" s="2" t="str">
        <f t="shared" si="5"/>
        <v/>
      </c>
    </row>
    <row r="96" spans="7:8">
      <c r="G96" s="58" t="str">
        <f t="shared" si="4"/>
        <v/>
      </c>
      <c r="H96" s="2" t="str">
        <f t="shared" si="5"/>
        <v/>
      </c>
    </row>
    <row r="97" spans="7:8">
      <c r="G97" s="58" t="str">
        <f t="shared" si="4"/>
        <v/>
      </c>
      <c r="H97" s="2" t="str">
        <f t="shared" si="5"/>
        <v/>
      </c>
    </row>
    <row r="98" spans="7:8">
      <c r="G98" s="58" t="str">
        <f t="shared" si="4"/>
        <v/>
      </c>
      <c r="H98" s="2" t="str">
        <f t="shared" si="5"/>
        <v/>
      </c>
    </row>
    <row r="99" spans="7:8">
      <c r="G99" s="58" t="str">
        <f t="shared" si="4"/>
        <v/>
      </c>
      <c r="H99" s="2" t="str">
        <f t="shared" si="5"/>
        <v/>
      </c>
    </row>
    <row r="100" spans="7:8">
      <c r="G100" s="58" t="str">
        <f t="shared" si="4"/>
        <v/>
      </c>
      <c r="H100" s="2" t="str">
        <f t="shared" si="5"/>
        <v/>
      </c>
    </row>
    <row r="101" spans="7:8">
      <c r="G101" s="58" t="str">
        <f t="shared" si="4"/>
        <v/>
      </c>
      <c r="H101" s="2" t="str">
        <f t="shared" si="5"/>
        <v/>
      </c>
    </row>
    <row r="102" spans="7:8">
      <c r="G102" s="58" t="str">
        <f t="shared" si="4"/>
        <v/>
      </c>
      <c r="H102" s="2" t="str">
        <f t="shared" si="5"/>
        <v/>
      </c>
    </row>
    <row r="103" spans="7:8">
      <c r="G103" s="58" t="str">
        <f t="shared" si="4"/>
        <v/>
      </c>
      <c r="H103" s="2" t="str">
        <f t="shared" si="5"/>
        <v/>
      </c>
    </row>
    <row r="104" spans="7:8">
      <c r="G104" s="58" t="str">
        <f t="shared" si="4"/>
        <v/>
      </c>
      <c r="H104" s="2" t="str">
        <f t="shared" si="5"/>
        <v/>
      </c>
    </row>
    <row r="105" spans="7:8">
      <c r="G105" s="58" t="str">
        <f t="shared" si="4"/>
        <v/>
      </c>
      <c r="H105" s="2" t="str">
        <f t="shared" si="5"/>
        <v/>
      </c>
    </row>
  </sheetData>
  <conditionalFormatting sqref="E7:E25">
    <cfRule type="cellIs" dxfId="1" priority="1" operator="greaterThan">
      <formula>0</formula>
    </cfRule>
  </conditionalFormatting>
  <pageMargins left="0.7" right="0.7" top="0.75" bottom="0.75"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INDIRECT("tarieven!$A$3:$A$"&amp;tarieven!$A$1+3,TRUE)</xm:f>
          </x14:formula1>
          <xm:sqref>A7:A25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CBBA488C0F4041BAE11A903E02ADF8" ma:contentTypeVersion="13" ma:contentTypeDescription="Een nieuw document maken." ma:contentTypeScope="" ma:versionID="5a96fccef6b51e2ebbb02d5d99787ded">
  <xsd:schema xmlns:xsd="http://www.w3.org/2001/XMLSchema" xmlns:xs="http://www.w3.org/2001/XMLSchema" xmlns:p="http://schemas.microsoft.com/office/2006/metadata/properties" xmlns:ns2="8536c1b5-edf1-460c-9b4d-bc311bc818ce" xmlns:ns3="5a9b9059-46e0-4c5b-8013-19e2a5efc616" targetNamespace="http://schemas.microsoft.com/office/2006/metadata/properties" ma:root="true" ma:fieldsID="29835f6da7332d534566b23cda980319" ns2:_="" ns3:_="">
    <xsd:import namespace="8536c1b5-edf1-460c-9b4d-bc311bc818ce"/>
    <xsd:import namespace="5a9b9059-46e0-4c5b-8013-19e2a5efc6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bjectDetectorVersion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6c1b5-edf1-460c-9b4d-bc311bc81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9b9059-46e0-4c5b-8013-19e2a5efc61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a76bea9-6840-4b0c-9a58-eafd6486e676}" ma:internalName="TaxCatchAll" ma:showField="CatchAllData" ma:web="5a9b9059-46e0-4c5b-8013-19e2a5efc6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36c1b5-edf1-460c-9b4d-bc311bc818ce">
      <Terms xmlns="http://schemas.microsoft.com/office/infopath/2007/PartnerControls"/>
    </lcf76f155ced4ddcb4097134ff3c332f>
    <TaxCatchAll xmlns="5a9b9059-46e0-4c5b-8013-19e2a5efc616" xsi:nil="true"/>
  </documentManagement>
</p:properties>
</file>

<file path=customXml/itemProps1.xml><?xml version="1.0" encoding="utf-8"?>
<ds:datastoreItem xmlns:ds="http://schemas.openxmlformats.org/officeDocument/2006/customXml" ds:itemID="{367CBD81-C3F6-45E4-93D5-4B76A05C083F}"/>
</file>

<file path=customXml/itemProps2.xml><?xml version="1.0" encoding="utf-8"?>
<ds:datastoreItem xmlns:ds="http://schemas.openxmlformats.org/officeDocument/2006/customXml" ds:itemID="{F843BD7C-2C89-45F6-8C5F-DDB457A7BD3D}"/>
</file>

<file path=customXml/itemProps3.xml><?xml version="1.0" encoding="utf-8"?>
<ds:datastoreItem xmlns:ds="http://schemas.openxmlformats.org/officeDocument/2006/customXml" ds:itemID="{1052B0CA-92DF-493F-BE68-B3A5E0EEE641}"/>
</file>

<file path=docProps/app.xml><?xml version="1.0" encoding="utf-8"?>
<Properties xmlns="http://schemas.openxmlformats.org/officeDocument/2006/extended-properties" xmlns:vt="http://schemas.openxmlformats.org/officeDocument/2006/docPropsVTypes">
  <Application>Microsoft Excel Online</Application>
  <Manager/>
  <Company>Provincie Noord-Brabant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Satnarain</dc:creator>
  <cp:keywords/>
  <dc:description/>
  <cp:lastModifiedBy>Ceylan Tasli</cp:lastModifiedBy>
  <cp:revision/>
  <dcterms:created xsi:type="dcterms:W3CDTF">2013-04-22T12:33:12Z</dcterms:created>
  <dcterms:modified xsi:type="dcterms:W3CDTF">2023-06-29T21:20:20Z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0x010100B8CBBA488C0F4041BAE11A903E02ADF8</vt:lpwstr>
  </property>
  <property fmtid="{D5CDD505-2E9C-101B-9397-08002B2CF9AE}" pid="3" name="MediaServiceImageTags">
    <vt:lpwstr/>
  </property>
</Properties>
</file>