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EZK LNV JenV\EA IFA EZK-LNV-JenV 2024\_5 NvI\NvI2\"/>
    </mc:Choice>
  </mc:AlternateContent>
  <workbookProtection workbookAlgorithmName="SHA-512" workbookHashValue="tgYF/VoEuXgftT4637EutM/VLi9GdyBYO5mmYH/6lWZqpUxslNp7R6efikmbZ7DtmQioa47SbVvlr4n+6a0/WA==" workbookSaltValue="5wfX7Vm4B9cRvjSMp2ajrA==" workbookSpinCount="100000" lockStructure="1"/>
  <bookViews>
    <workbookView xWindow="0" yWindow="0" windowWidth="30720" windowHeight="13080" tabRatio="880"/>
  </bookViews>
  <sheets>
    <sheet name="0 Leeswijzer" sheetId="15" r:id="rId1"/>
    <sheet name="1 cao Rijk bruto Uurloon" sheetId="2" r:id="rId2"/>
    <sheet name="2a Fase A" sheetId="35" r:id="rId3"/>
    <sheet name="2b Fase B en C" sheetId="37" r:id="rId4"/>
    <sheet name="3. Gewogen gemiddelde ORF " sheetId="41" r:id="rId5"/>
    <sheet name="2a NVT Uitzenden fase A - Rg I " sheetId="3" state="hidden" r:id="rId6"/>
    <sheet name="2b NVT Detacheren fase A - Rg I" sheetId="16" state="hidden" r:id="rId7"/>
    <sheet name="2c NVT Detacheren fase B,C-Rg I" sheetId="10" state="hidden" r:id="rId8"/>
    <sheet name="2d NVT Uitzenden fase A - Rg II" sheetId="21" state="hidden" r:id="rId9"/>
    <sheet name="2e NVT  Detacheren fase A-Rg II" sheetId="23" state="hidden" r:id="rId10"/>
    <sheet name="2f NVT Detacheren fase B,C-RgII" sheetId="25" state="hidden" r:id="rId11"/>
    <sheet name="3 Gewogen gemiddelde ORF" sheetId="20" state="hidden" r:id="rId12"/>
  </sheets>
  <definedNames>
    <definedName name="_xlnm.Print_Area" localSheetId="5">'2a NVT Uitzenden fase A - Rg I '!$A$1:$M$50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37" l="1"/>
  <c r="E14" i="35"/>
  <c r="E13" i="35"/>
  <c r="E12" i="35"/>
  <c r="E11" i="35"/>
  <c r="E13" i="37"/>
  <c r="E12" i="37"/>
  <c r="E11" i="37"/>
  <c r="D20" i="37" l="1"/>
  <c r="D29" i="25" l="1"/>
  <c r="D29" i="23"/>
  <c r="D28" i="23"/>
  <c r="D28" i="10"/>
  <c r="D28" i="25" s="1"/>
  <c r="D26" i="16"/>
  <c r="D27" i="10" s="1"/>
  <c r="D27" i="25" s="1"/>
  <c r="D27" i="23" l="1"/>
  <c r="F14" i="20"/>
  <c r="F15" i="20"/>
  <c r="D36" i="37"/>
  <c r="D28" i="37"/>
  <c r="D14" i="37"/>
  <c r="D36" i="35"/>
  <c r="D28" i="35"/>
  <c r="D20" i="35"/>
  <c r="D14" i="35"/>
  <c r="F12" i="20"/>
  <c r="F11" i="20"/>
  <c r="D38" i="25"/>
  <c r="D30" i="25"/>
  <c r="D22" i="25"/>
  <c r="D16" i="25"/>
  <c r="G12" i="25"/>
  <c r="H12" i="25"/>
  <c r="E14" i="25" s="1"/>
  <c r="G14" i="25" s="1"/>
  <c r="D38" i="23"/>
  <c r="D30" i="23"/>
  <c r="D22" i="23"/>
  <c r="D16" i="23"/>
  <c r="G12" i="23"/>
  <c r="H12" i="23" s="1"/>
  <c r="D38" i="21"/>
  <c r="D30" i="21"/>
  <c r="D22" i="21"/>
  <c r="D16" i="21"/>
  <c r="G12" i="21"/>
  <c r="H12" i="21" s="1"/>
  <c r="E15" i="25"/>
  <c r="G15" i="25" s="1"/>
  <c r="D38" i="10"/>
  <c r="D30" i="10"/>
  <c r="D22" i="10"/>
  <c r="D16" i="10"/>
  <c r="G12" i="10"/>
  <c r="H12" i="10" s="1"/>
  <c r="E13" i="10" s="1"/>
  <c r="G13" i="10" s="1"/>
  <c r="D37" i="16"/>
  <c r="D29" i="16"/>
  <c r="D21" i="16"/>
  <c r="D15" i="16"/>
  <c r="G11" i="16"/>
  <c r="H11" i="16" s="1"/>
  <c r="E13" i="16" s="1"/>
  <c r="G13" i="16" s="1"/>
  <c r="D37" i="3"/>
  <c r="D29" i="3"/>
  <c r="D21" i="3"/>
  <c r="D15" i="3"/>
  <c r="G11" i="3"/>
  <c r="H11" i="3" s="1"/>
  <c r="E14" i="16" l="1"/>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5" i="3"/>
  <c r="E16" i="10"/>
  <c r="E14" i="23"/>
  <c r="G14" i="23" s="1"/>
  <c r="E13" i="23"/>
  <c r="G13" i="23" s="1"/>
  <c r="E15" i="23"/>
  <c r="G15" i="23" s="1"/>
  <c r="E16" i="23"/>
  <c r="G11" i="35"/>
  <c r="G13" i="35"/>
  <c r="G12" i="35"/>
  <c r="G12" i="37"/>
  <c r="G13" i="37"/>
  <c r="G11" i="37"/>
  <c r="E16" i="21"/>
  <c r="E15" i="21"/>
  <c r="G15" i="21" s="1"/>
  <c r="G16" i="21" s="1"/>
  <c r="H16" i="21" s="1"/>
  <c r="E13" i="25"/>
  <c r="G13" i="25" s="1"/>
  <c r="E15" i="37" l="1"/>
  <c r="G15" i="37" s="1"/>
  <c r="E15" i="35"/>
  <c r="G15" i="35" s="1"/>
  <c r="E17" i="21"/>
  <c r="G17" i="21" s="1"/>
  <c r="E16" i="3"/>
  <c r="G16" i="3" s="1"/>
  <c r="G15" i="3"/>
  <c r="H15" i="3" s="1"/>
  <c r="G16" i="10"/>
  <c r="H16" i="10" s="1"/>
  <c r="E17" i="10"/>
  <c r="G17" i="10" s="1"/>
  <c r="G14" i="37"/>
  <c r="E17" i="23"/>
  <c r="G17" i="23" s="1"/>
  <c r="E16" i="16"/>
  <c r="G16" i="16" s="1"/>
  <c r="H16" i="16" s="1"/>
  <c r="G16" i="25"/>
  <c r="H16" i="25" s="1"/>
  <c r="E17" i="25"/>
  <c r="G17" i="25" s="1"/>
  <c r="H17" i="21"/>
  <c r="G16" i="23"/>
  <c r="H16" i="23" s="1"/>
  <c r="G14" i="35"/>
  <c r="H14" i="35" l="1"/>
  <c r="E37" i="35" s="1"/>
  <c r="G37" i="35" s="1"/>
  <c r="H37" i="35" s="1"/>
  <c r="H14" i="37"/>
  <c r="E37" i="37" s="1"/>
  <c r="G37" i="37" s="1"/>
  <c r="H16" i="3"/>
  <c r="E21" i="3"/>
  <c r="E23" i="3"/>
  <c r="G23" i="3" s="1"/>
  <c r="E17" i="3"/>
  <c r="G17" i="3" s="1"/>
  <c r="E20" i="3"/>
  <c r="G20" i="3" s="1"/>
  <c r="E18" i="3"/>
  <c r="G18" i="3" s="1"/>
  <c r="E19" i="3"/>
  <c r="G19" i="3" s="1"/>
  <c r="H17" i="10"/>
  <c r="E26" i="10" s="1"/>
  <c r="G26" i="10" s="1"/>
  <c r="E27" i="3"/>
  <c r="G27" i="3" s="1"/>
  <c r="E25" i="3"/>
  <c r="G25" i="3" s="1"/>
  <c r="E28" i="3"/>
  <c r="G28" i="3" s="1"/>
  <c r="E22" i="3"/>
  <c r="G22" i="3" s="1"/>
  <c r="E26" i="3"/>
  <c r="G26" i="3" s="1"/>
  <c r="E24" i="3"/>
  <c r="G24" i="3" s="1"/>
  <c r="E29" i="3"/>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H15" i="35" l="1"/>
  <c r="E28" i="35" s="1"/>
  <c r="H37" i="37"/>
  <c r="H15" i="37"/>
  <c r="E17" i="37" s="1"/>
  <c r="G17" i="37" s="1"/>
  <c r="E29" i="25"/>
  <c r="G29" i="25" s="1"/>
  <c r="E18" i="25"/>
  <c r="G18" i="25" s="1"/>
  <c r="G21" i="16"/>
  <c r="H21" i="16" s="1"/>
  <c r="E20" i="10"/>
  <c r="G20" i="10" s="1"/>
  <c r="G21" i="3"/>
  <c r="H21" i="3" s="1"/>
  <c r="E30" i="23"/>
  <c r="G29" i="3"/>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30" i="25"/>
  <c r="E28" i="25"/>
  <c r="G28" i="25" s="1"/>
  <c r="E27" i="25"/>
  <c r="G27" i="25" s="1"/>
  <c r="E26" i="25"/>
  <c r="G26" i="25" s="1"/>
  <c r="E19" i="23"/>
  <c r="G19" i="23" s="1"/>
  <c r="E23" i="23"/>
  <c r="G23" i="23" s="1"/>
  <c r="E21" i="23"/>
  <c r="G21" i="23" s="1"/>
  <c r="E29" i="23"/>
  <c r="G29" i="23" s="1"/>
  <c r="E18" i="23"/>
  <c r="G18" i="23" s="1"/>
  <c r="E22" i="23"/>
  <c r="E23" i="25"/>
  <c r="G23" i="25" s="1"/>
  <c r="E25" i="25"/>
  <c r="G25" i="25" s="1"/>
  <c r="E20" i="23"/>
  <c r="G20" i="23" s="1"/>
  <c r="E24" i="23"/>
  <c r="G24" i="23" s="1"/>
  <c r="E27" i="23"/>
  <c r="G27" i="23" s="1"/>
  <c r="G22" i="21"/>
  <c r="H22" i="21" s="1"/>
  <c r="G30" i="21"/>
  <c r="E25" i="35" l="1"/>
  <c r="G25" i="35" s="1"/>
  <c r="E20" i="35"/>
  <c r="E24" i="35"/>
  <c r="G24" i="35" s="1"/>
  <c r="E16" i="35"/>
  <c r="G16" i="35" s="1"/>
  <c r="E17" i="35"/>
  <c r="G17" i="35" s="1"/>
  <c r="E19" i="35"/>
  <c r="G19" i="35" s="1"/>
  <c r="E21" i="35"/>
  <c r="G21" i="35" s="1"/>
  <c r="E23" i="35"/>
  <c r="G23" i="35" s="1"/>
  <c r="E26" i="35"/>
  <c r="G26" i="35" s="1"/>
  <c r="E27" i="35"/>
  <c r="G27" i="35" s="1"/>
  <c r="E18" i="35"/>
  <c r="G18" i="35" s="1"/>
  <c r="E22" i="35"/>
  <c r="G22" i="35" s="1"/>
  <c r="E21" i="37"/>
  <c r="G21" i="37" s="1"/>
  <c r="E18" i="37"/>
  <c r="G18" i="37" s="1"/>
  <c r="E19" i="37"/>
  <c r="G19" i="37" s="1"/>
  <c r="E22" i="37"/>
  <c r="G22" i="37" s="1"/>
  <c r="E24" i="37"/>
  <c r="G24" i="37" s="1"/>
  <c r="E27" i="37"/>
  <c r="G27" i="37" s="1"/>
  <c r="E16" i="37"/>
  <c r="G16" i="37" s="1"/>
  <c r="E23" i="37"/>
  <c r="G23" i="37" s="1"/>
  <c r="E28" i="37"/>
  <c r="E25" i="37"/>
  <c r="G25" i="37" s="1"/>
  <c r="E20" i="37"/>
  <c r="E26" i="37"/>
  <c r="G26" i="37" s="1"/>
  <c r="H29" i="16"/>
  <c r="H29" i="3"/>
  <c r="E31" i="3" s="1"/>
  <c r="G31" i="3" s="1"/>
  <c r="E36" i="3"/>
  <c r="G36" i="3" s="1"/>
  <c r="G22" i="25"/>
  <c r="H22" i="25" s="1"/>
  <c r="E32" i="3"/>
  <c r="G32" i="3" s="1"/>
  <c r="E30" i="3"/>
  <c r="G30" i="3" s="1"/>
  <c r="E34" i="3"/>
  <c r="G34" i="3" s="1"/>
  <c r="E33" i="3"/>
  <c r="G33" i="3" s="1"/>
  <c r="G22" i="23"/>
  <c r="H22" i="23" s="1"/>
  <c r="G22" i="10"/>
  <c r="H22" i="10" s="1"/>
  <c r="G30" i="25"/>
  <c r="G30" i="23"/>
  <c r="G30" i="10"/>
  <c r="E31" i="16"/>
  <c r="G31" i="16" s="1"/>
  <c r="E35" i="16"/>
  <c r="G35" i="16" s="1"/>
  <c r="E33" i="16"/>
  <c r="G33" i="16" s="1"/>
  <c r="E34" i="16"/>
  <c r="G34" i="16" s="1"/>
  <c r="E36" i="16"/>
  <c r="G36" i="16" s="1"/>
  <c r="E32" i="16"/>
  <c r="G32" i="16" s="1"/>
  <c r="E37" i="16"/>
  <c r="E30" i="16"/>
  <c r="G30" i="16" s="1"/>
  <c r="H30" i="21"/>
  <c r="G28" i="35" l="1"/>
  <c r="G20" i="35"/>
  <c r="H20" i="35" s="1"/>
  <c r="G28" i="37"/>
  <c r="G20" i="37"/>
  <c r="H20" i="37" s="1"/>
  <c r="H30" i="23"/>
  <c r="E34" i="23" s="1"/>
  <c r="G34" i="23" s="1"/>
  <c r="E35" i="3"/>
  <c r="G35" i="3" s="1"/>
  <c r="E37" i="3"/>
  <c r="G37" i="3"/>
  <c r="H37" i="3" s="1"/>
  <c r="H38" i="3" s="1"/>
  <c r="J38" i="3" s="1"/>
  <c r="H40" i="3" s="1"/>
  <c r="H30" i="25"/>
  <c r="E32" i="25" s="1"/>
  <c r="G32" i="25" s="1"/>
  <c r="H30" i="10"/>
  <c r="E36" i="23"/>
  <c r="G36" i="23" s="1"/>
  <c r="E38" i="23"/>
  <c r="E33" i="23"/>
  <c r="G33" i="23" s="1"/>
  <c r="E32" i="23"/>
  <c r="G32" i="23" s="1"/>
  <c r="E31" i="23"/>
  <c r="G31" i="23" s="1"/>
  <c r="E37" i="23"/>
  <c r="G37" i="23" s="1"/>
  <c r="E35" i="23"/>
  <c r="G35" i="23" s="1"/>
  <c r="E37" i="21"/>
  <c r="G37" i="21" s="1"/>
  <c r="E33" i="21"/>
  <c r="G33" i="21" s="1"/>
  <c r="E36" i="21"/>
  <c r="G36" i="21" s="1"/>
  <c r="E32" i="21"/>
  <c r="G32" i="21" s="1"/>
  <c r="E31" i="21"/>
  <c r="G31" i="21" s="1"/>
  <c r="E38" i="21"/>
  <c r="E34" i="21"/>
  <c r="G34" i="21" s="1"/>
  <c r="E35" i="21"/>
  <c r="G35" i="21" s="1"/>
  <c r="G37" i="16"/>
  <c r="H37" i="16" s="1"/>
  <c r="H38" i="16" s="1"/>
  <c r="J38" i="16" s="1"/>
  <c r="H28" i="35" l="1"/>
  <c r="E29" i="35" s="1"/>
  <c r="G29" i="35" s="1"/>
  <c r="H28" i="37"/>
  <c r="E29" i="37" s="1"/>
  <c r="G29" i="37" s="1"/>
  <c r="E33" i="25"/>
  <c r="G33" i="25" s="1"/>
  <c r="E37" i="25"/>
  <c r="G37" i="25" s="1"/>
  <c r="E35" i="25"/>
  <c r="G35" i="25" s="1"/>
  <c r="E34" i="25"/>
  <c r="G34" i="25" s="1"/>
  <c r="E38" i="25"/>
  <c r="E31" i="25"/>
  <c r="G31" i="25" s="1"/>
  <c r="E36" i="25"/>
  <c r="G36" i="25" s="1"/>
  <c r="J40" i="3"/>
  <c r="C11" i="20" s="1"/>
  <c r="G11" i="20" s="1"/>
  <c r="G38" i="21"/>
  <c r="H38" i="21" s="1"/>
  <c r="H39" i="21" s="1"/>
  <c r="J39" i="21" s="1"/>
  <c r="H41" i="21" s="1"/>
  <c r="E33" i="10"/>
  <c r="G33" i="10" s="1"/>
  <c r="E36" i="10"/>
  <c r="G36" i="10" s="1"/>
  <c r="E35" i="10"/>
  <c r="G35" i="10" s="1"/>
  <c r="E37" i="10"/>
  <c r="G37" i="10" s="1"/>
  <c r="E38" i="10"/>
  <c r="E31" i="10"/>
  <c r="G31" i="10" s="1"/>
  <c r="E32" i="10"/>
  <c r="G32" i="10" s="1"/>
  <c r="E34" i="10"/>
  <c r="G34" i="10" s="1"/>
  <c r="G38" i="25"/>
  <c r="H38" i="25" s="1"/>
  <c r="H39" i="25" s="1"/>
  <c r="J39" i="25" s="1"/>
  <c r="H41" i="25" s="1"/>
  <c r="G38" i="23"/>
  <c r="H38" i="23" s="1"/>
  <c r="H39" i="23" s="1"/>
  <c r="J39" i="23" s="1"/>
  <c r="H41" i="23" s="1"/>
  <c r="J40" i="16"/>
  <c r="C12" i="20" s="1"/>
  <c r="G12" i="20" s="1"/>
  <c r="H40" i="16"/>
  <c r="E33" i="35" l="1"/>
  <c r="G33" i="35" s="1"/>
  <c r="E35" i="35"/>
  <c r="G35" i="35" s="1"/>
  <c r="E36" i="35"/>
  <c r="E34" i="35"/>
  <c r="G34" i="35" s="1"/>
  <c r="E30" i="35"/>
  <c r="G30" i="35" s="1"/>
  <c r="E32" i="35"/>
  <c r="G32" i="35" s="1"/>
  <c r="E31" i="35"/>
  <c r="G31" i="35" s="1"/>
  <c r="E34" i="37"/>
  <c r="G34" i="37" s="1"/>
  <c r="E30" i="37"/>
  <c r="G30" i="37" s="1"/>
  <c r="E31" i="37"/>
  <c r="G31" i="37" s="1"/>
  <c r="E32" i="37"/>
  <c r="G32" i="37" s="1"/>
  <c r="E33" i="37"/>
  <c r="G33" i="37" s="1"/>
  <c r="E36" i="37"/>
  <c r="E35" i="37"/>
  <c r="G35" i="37" s="1"/>
  <c r="G36" i="35"/>
  <c r="H36" i="35" s="1"/>
  <c r="H38" i="35" s="1"/>
  <c r="H39" i="35" s="1"/>
  <c r="J39" i="35" s="1"/>
  <c r="C23" i="20"/>
  <c r="G38" i="10"/>
  <c r="H38" i="10" s="1"/>
  <c r="H39" i="10" s="1"/>
  <c r="J39" i="10" s="1"/>
  <c r="J41" i="21"/>
  <c r="C14" i="20" s="1"/>
  <c r="G14" i="20" s="1"/>
  <c r="J41" i="25"/>
  <c r="C16" i="20" s="1"/>
  <c r="G16" i="20" s="1"/>
  <c r="J41" i="23"/>
  <c r="C15" i="20" s="1"/>
  <c r="G15" i="20" s="1"/>
  <c r="G36" i="37" l="1"/>
  <c r="H36" i="37" s="1"/>
  <c r="H38" i="37" s="1"/>
  <c r="H39" i="37" s="1"/>
  <c r="J39" i="37" s="1"/>
  <c r="J41" i="37" s="1"/>
  <c r="J41" i="35"/>
  <c r="H41" i="35"/>
  <c r="H41" i="10"/>
  <c r="J41" i="10"/>
  <c r="C13" i="20" s="1"/>
  <c r="G13" i="20" s="1"/>
  <c r="G17" i="20" s="1"/>
  <c r="B37" i="20" s="1"/>
  <c r="D37" i="20" s="1"/>
  <c r="C45" i="35" l="1"/>
  <c r="C49" i="35"/>
  <c r="C45" i="37"/>
  <c r="C49" i="37"/>
  <c r="C26" i="20"/>
  <c r="E26" i="20" s="1"/>
  <c r="B10" i="41"/>
  <c r="D10" i="41" s="1"/>
  <c r="C27" i="20"/>
  <c r="E27" i="20" s="1"/>
  <c r="B11" i="41"/>
  <c r="D11" i="41" s="1"/>
  <c r="H41" i="37"/>
  <c r="C29" i="20"/>
  <c r="E29" i="20" s="1"/>
  <c r="D12" i="41" l="1"/>
  <c r="C28" i="20"/>
  <c r="E28" i="20" s="1"/>
  <c r="E30" i="20"/>
  <c r="B38" i="20" s="1"/>
  <c r="D38" i="20" s="1"/>
  <c r="D39" i="20" s="1"/>
  <c r="E39" i="20" s="1"/>
  <c r="B47" i="20" s="1"/>
  <c r="C48" i="20" s="1"/>
  <c r="C47" i="20" s="1"/>
  <c r="B21" i="41" l="1"/>
  <c r="C22" i="41" s="1"/>
  <c r="C21" i="41" s="1"/>
</calcChain>
</file>

<file path=xl/sharedStrings.xml><?xml version="1.0" encoding="utf-8"?>
<sst xmlns="http://schemas.openxmlformats.org/spreadsheetml/2006/main" count="1028" uniqueCount="345">
  <si>
    <t>Kenmerk SSC IUC/DJI/INKEA/MVV/2019-2</t>
  </si>
  <si>
    <t>1 Uurloon</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</si>
  <si>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</si>
  <si>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</si>
  <si>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</si>
  <si>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</si>
  <si>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</si>
  <si>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</si>
  <si>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</si>
  <si>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</si>
  <si>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</si>
  <si>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</si>
  <si>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</si>
  <si>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</si>
  <si>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</si>
  <si>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</si>
  <si>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</si>
  <si>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</si>
  <si>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</si>
  <si>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</si>
  <si>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</si>
  <si>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</si>
  <si>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</si>
  <si>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</si>
  <si>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</si>
  <si>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</si>
  <si>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</si>
  <si>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</si>
  <si>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</si>
  <si>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</si>
  <si>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</si>
  <si>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</si>
  <si>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</si>
  <si>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</si>
  <si>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</si>
  <si>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</si>
  <si>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</si>
  <si>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</si>
  <si>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</si>
  <si>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</si>
  <si>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</si>
  <si>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</si>
  <si>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</si>
  <si>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</si>
  <si>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</si>
  <si>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</si>
  <si>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</si>
  <si>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</si>
  <si>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</si>
  <si>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</si>
  <si>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</si>
  <si>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</si>
  <si>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</si>
  <si>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</si>
  <si>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</si>
  <si>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</si>
  <si>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</si>
  <si>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</si>
  <si>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</si>
  <si>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</si>
  <si>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</si>
  <si>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</si>
  <si>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</si>
  <si>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</si>
  <si>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</si>
  <si>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</si>
  <si>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</si>
  <si>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</si>
  <si>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</si>
  <si>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</si>
  <si>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</si>
  <si>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</si>
  <si>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</si>
  <si>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</si>
  <si>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</si>
  <si>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</si>
  <si>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</si>
  <si>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</si>
  <si>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</si>
  <si>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</si>
  <si>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</si>
  <si>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</si>
  <si>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</si>
  <si>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</si>
  <si>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</si>
  <si>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</si>
  <si>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</si>
  <si>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</si>
  <si>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</si>
  <si>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</si>
  <si>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</si>
  <si>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</si>
  <si>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</si>
  <si>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</si>
  <si>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</si>
  <si>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</si>
  <si>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</si>
  <si>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</si>
  <si>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</si>
  <si>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</si>
  <si>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</si>
  <si>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</si>
  <si>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</si>
  <si>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</si>
  <si>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</si>
  <si>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</si>
  <si>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</si>
  <si>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</si>
  <si>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</si>
  <si>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</si>
  <si>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</si>
  <si>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</si>
  <si>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</si>
  <si>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</si>
  <si>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</si>
  <si>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</si>
  <si>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</si>
  <si>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</si>
  <si>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</si>
  <si>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</si>
  <si>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</si>
  <si>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</si>
  <si>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</si>
  <si>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</si>
  <si>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</si>
  <si>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</si>
  <si>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</si>
  <si>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</si>
  <si>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</si>
  <si>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</si>
  <si>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</si>
  <si>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</si>
  <si>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</si>
  <si>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</si>
  <si>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</si>
  <si>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</si>
  <si>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</si>
  <si>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</si>
  <si>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</si>
  <si>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</si>
  <si>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</si>
  <si>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</si>
  <si>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</si>
  <si>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</si>
  <si>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</si>
  <si>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</si>
  <si>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</si>
  <si>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</si>
  <si>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</si>
  <si>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</si>
  <si>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</si>
  <si>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</si>
  <si>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</si>
  <si>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</si>
  <si>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</si>
  <si>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</si>
  <si>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</si>
  <si>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</si>
  <si>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</si>
  <si>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</si>
  <si>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</si>
  <si>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</si>
  <si>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</si>
  <si>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</si>
  <si>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</si>
  <si>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</si>
  <si>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</si>
  <si>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</si>
  <si>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</si>
  <si>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</si>
  <si>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</si>
  <si>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</si>
  <si>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</si>
  <si>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</si>
  <si>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</si>
  <si>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</si>
  <si>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</si>
  <si>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</si>
  <si>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</si>
  <si>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</si>
  <si>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</si>
  <si>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</si>
  <si>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</si>
  <si>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</si>
  <si>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</si>
  <si>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</si>
  <si>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</si>
  <si>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</si>
  <si>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</si>
  <si>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</si>
  <si>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</si>
  <si>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</si>
  <si>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</si>
  <si>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</si>
  <si>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</si>
  <si>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</si>
  <si>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</si>
  <si>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</si>
  <si>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</si>
  <si>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</si>
  <si>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</si>
  <si>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</si>
  <si>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</si>
  <si>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</si>
  <si>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</si>
  <si>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</si>
  <si>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</si>
  <si>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</si>
  <si>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</si>
  <si>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</si>
  <si>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</si>
  <si>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</si>
  <si>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</si>
  <si>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</si>
  <si>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</si>
  <si>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Eindejaarsuitkering (EJU)</t>
  </si>
  <si>
    <t>totaal Loonsomfactor</t>
  </si>
  <si>
    <t>Weging in gewogen gemiddelde Omrekenfactor</t>
  </si>
  <si>
    <t>(het maximaal aantal te behalen punten voor de 'Prijs' is 250)</t>
  </si>
  <si>
    <t>Kostprijsvariabele</t>
  </si>
  <si>
    <t>Tab</t>
  </si>
  <si>
    <t xml:space="preserve">Toelichting </t>
  </si>
  <si>
    <t>Tabblad toevoegen aan Inschrijving?</t>
  </si>
  <si>
    <t>Ja (tabblad 1)</t>
  </si>
  <si>
    <t>Omrekenfactoren na
weging onderscheiden inhuurvormen Uitzendovereenkomst</t>
  </si>
  <si>
    <t xml:space="preserve">ERD ZW-Flex?
ja/nee (s.v.p. aangeven wat van toepassing is)
</t>
  </si>
  <si>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</si>
  <si>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</si>
  <si>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</si>
  <si>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 xml:space="preserve">De Loonsomfactor dient altijd hoger dan 1,0000 te zijn. </t>
  </si>
  <si>
    <t>n.v.t.</t>
  </si>
  <si>
    <t>Zvw (zorgverzekeringswet)</t>
  </si>
  <si>
    <t>Zvw(zorgverzekeringswet)</t>
  </si>
  <si>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</si>
  <si>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</si>
  <si>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</si>
  <si>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</si>
  <si>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t>Werkhervattingskas - WGA
Dit betreft de van toepassing zijnde premie, waarop het gedeelte dat wordt doorberekend aan de Uitzendkrachten, te weten maximaal 50%, in mindering is gebracht. Zie ook het geel gemarkeerde vak in kolom J/K.</t>
  </si>
  <si>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</si>
  <si>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Tariefstelling 2024</t>
  </si>
  <si>
    <t>EA IFA EZK, LNV, JenV</t>
  </si>
  <si>
    <t>Kenmerk IUC DJI/INEA/CV/2023-1</t>
  </si>
  <si>
    <r>
      <t xml:space="preserve">cao Rijk-salarisschaal </t>
    </r>
    <r>
      <rPr>
        <b/>
        <sz val="12"/>
        <rFont val="Verdana"/>
        <family val="2"/>
      </rPr>
      <t>→</t>
    </r>
    <r>
      <rPr>
        <b/>
        <sz val="10"/>
        <rFont val="Verdana"/>
        <family val="2"/>
      </rPr>
      <t xml:space="preserve">
Trede/periodiek </t>
    </r>
    <r>
      <rPr>
        <sz val="14"/>
        <rFont val="Verdana"/>
        <family val="2"/>
      </rPr>
      <t>↓</t>
    </r>
  </si>
  <si>
    <t>Bruto uurlonen cao Rijk m.i.v. 1 januari 2024</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</si>
  <si>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en 2b?) 
</t>
    </r>
  </si>
  <si>
    <t>De formule is: 1000,0000 x (2,1400 -/- Gewogen gemiddelde Omrekenfactor nr. 1) = score in punten</t>
  </si>
  <si>
    <r>
      <t xml:space="preserve">Inschrijver hanteert voor de prijsstelling de </t>
    </r>
    <r>
      <rPr>
        <b/>
        <sz val="9"/>
        <rFont val="Verdana"/>
        <family val="2"/>
      </rPr>
      <t xml:space="preserve">voor het jaar 2024 </t>
    </r>
    <r>
      <rPr>
        <sz val="9"/>
        <rFont val="Verdana"/>
        <family val="2"/>
      </rPr>
      <t>vastgestelde wettelijke premies, cao-gerelateerde premies en reserveringen, werkhervattingskaspremies (WGA- en ZW-deel) et cetera als uitgangspunt voor zijn Inschrijving.</t>
    </r>
  </si>
  <si>
    <t>Ja (tab 2a en 2b)</t>
  </si>
  <si>
    <r>
      <t xml:space="preserve">De bureaumarge kan gedurende de looptijd van de Raamovereenkomst inclusief verleningen </t>
    </r>
    <r>
      <rPr>
        <u/>
        <sz val="10"/>
        <rFont val="Verdana"/>
        <family val="2"/>
      </rPr>
      <t>niet</t>
    </r>
    <r>
      <rPr>
        <sz val="10"/>
        <rFont val="Verdana"/>
        <family val="2"/>
      </rPr>
      <t xml:space="preserve"> worden aangepast.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</si>
  <si>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sz val="8"/>
        <rFont val="Verdana"/>
        <family val="2"/>
      </rPr>
      <t xml:space="preserve">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</si>
  <si>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Bureaumarge Uitzenden en/of Detacheren in fase A/fase 1,2.</t>
  </si>
  <si>
    <t>vakantiedagen 
(25 vakantiedagen/231 werkbare dagen in 2024)</t>
  </si>
  <si>
    <t xml:space="preserve">feestdagen
6 feestdagen/231 werkbare dagen in 2024)
</t>
  </si>
  <si>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t>
    </r>
    <r>
      <rPr>
        <b/>
        <sz val="8"/>
        <rFont val="Verdana"/>
        <family val="2"/>
      </rPr>
      <t xml:space="preserve">Deze situatie doet zich in 2024 niet voor, omdat Bevrijdingsdag op een zondag valt. </t>
    </r>
    <r>
      <rPr>
        <sz val="8"/>
        <rFont val="Verdana"/>
        <family val="2"/>
      </rPr>
      <t xml:space="preserve">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</si>
  <si>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t>Zw-aanvullend (ZW-A premie t.b.v. aanvulling uitkering UWV in het eerste en tweede ziektejaar, risicopremiegroep 1)</t>
  </si>
  <si>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2024 geldt een premie van 0,08%.
</t>
    </r>
  </si>
  <si>
    <r>
      <t xml:space="preserve">Inschrijver vult uitsluitend informatie in de </t>
    </r>
    <r>
      <rPr>
        <b/>
        <sz val="9"/>
        <rFont val="Verdana"/>
        <family val="2"/>
      </rPr>
      <t>geel</t>
    </r>
    <r>
      <rPr>
        <sz val="9"/>
        <rFont val="Verdana"/>
        <family val="2"/>
      </rPr>
      <t xml:space="preserve"> gemarkeerde invulvelden en de velden die bedoeld zijn voor ondertekening in.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</si>
  <si>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r>
      <t>I</t>
    </r>
    <r>
      <rPr>
        <b/>
        <sz val="9"/>
        <rFont val="Verdana"/>
        <family val="2"/>
      </rPr>
      <t xml:space="preserve">nschrijver dient uitsluitend de gele velden in de tabbladen 2a en 2b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5A in zowel in Excel, als – in tabblad 3 rechtsgeldig ondertekend – in PDF (het gehele document, niet alleen tabblad 3).  </t>
    </r>
    <r>
      <rPr>
        <sz val="9"/>
        <rFont val="Verdana"/>
        <family val="2"/>
      </rPr>
      <t xml:space="preserve">
De door Inschrijver ingediende Inschrijving, waarvan de Tariefstelling deel uitmaakt, wordt onderdeel van de Raamovereenkomst.
</t>
    </r>
  </si>
  <si>
    <t xml:space="preserve">Zie o.a. ook paragraaf 5.4 van het Beschrijvend Document en hoofstuk 10 van het Programma van Eisen </t>
  </si>
  <si>
    <r>
      <rPr>
        <b/>
        <sz val="9"/>
        <color rgb="FF0070C0"/>
        <rFont val="Verdana"/>
        <family val="2"/>
      </rPr>
      <t>Zie o.a. ook eis 10.2, hoofdstuk 10, Programma van Eisen (bijlage A)</t>
    </r>
    <r>
      <rPr>
        <sz val="9"/>
        <rFont val="Verdana"/>
        <family val="2"/>
      </rPr>
      <t xml:space="preserve">
Inschrijver vindt in tabblad 1 de actuele bruto Uurlonen, gebaseerd op de cao Rijk (hoofdstuk 6.3) salarissen per schaal en periodiek. Het Uurloon voor  Uitzendkrachten wordt bepaald door het bruto maandsalaris te delen door 156. In de tabbladen 0 en 1 vult Inschrijver niets in.
Inschrijver dient in de overige tabbladen van deze Tariefstelling de geel gemarkeerde velden in te vullen. </t>
    </r>
  </si>
  <si>
    <t>Vakantiegeld</t>
  </si>
  <si>
    <r>
      <t xml:space="preserve">
</t>
    </r>
    <r>
      <rPr>
        <b/>
        <sz val="11"/>
        <rFont val="Verdana"/>
        <family val="2"/>
      </rPr>
      <t xml:space="preserve">Ziektekosten tijdens dienstverband
in deze regel, cel D29, invullen.  </t>
    </r>
    <r>
      <rPr>
        <b/>
        <sz val="10"/>
        <rFont val="Verdana"/>
        <family val="2"/>
      </rPr>
      <t xml:space="preserve">(gekoppeld aan cel H37 in blok 6 als onderdeel van de 
berekeningsgrondslag van de eindejaarsuitkering)
</t>
    </r>
  </si>
  <si>
    <t xml:space="preserve">basis </t>
  </si>
  <si>
    <t>basis + res - kv/bv</t>
  </si>
  <si>
    <t>basis + res</t>
  </si>
  <si>
    <t>basis  + res</t>
  </si>
  <si>
    <t>basis + res + soc.verz.</t>
  </si>
  <si>
    <t xml:space="preserve">basis+res+soc.verz.+ EJU </t>
  </si>
  <si>
    <r>
      <rPr>
        <b/>
        <sz val="10"/>
        <rFont val="Verdana"/>
        <family val="2"/>
      </rPr>
      <t>Loonsomfactor Uitzenden en/of Detacheren in fase A/fase 1,2. 
(</t>
    </r>
    <r>
      <rPr>
        <b/>
        <sz val="9"/>
        <rFont val="Verdana"/>
        <family val="2"/>
      </rPr>
      <t>rekenkundig op vier decimalen achter de komma afgerond)</t>
    </r>
  </si>
  <si>
    <t>BIJLAGE 5A - Tab 3 Gewogen gemiddelde Omrekenfactor</t>
  </si>
  <si>
    <t>BIJLAGE 5A - Tab 1  cao Rijk-salarisschalen en tredes/periodieken</t>
  </si>
  <si>
    <t>BIJLAGE 5A - Tab 0 Leeswijzer</t>
  </si>
  <si>
    <r>
      <rPr>
        <b/>
        <sz val="8"/>
        <color rgb="FF0070C0"/>
        <rFont val="Verdana"/>
        <family val="2"/>
      </rPr>
      <t xml:space="preserve">Bedrijfsspecifieke kostprijsvariabele </t>
    </r>
    <r>
      <rPr>
        <b/>
        <sz val="8"/>
        <color theme="0" tint="-0.499984740745262"/>
        <rFont val="Verdana"/>
        <family val="2"/>
      </rPr>
      <t xml:space="preserve">
</t>
    </r>
    <r>
      <rPr>
        <sz val="8"/>
        <rFont val="Verdana"/>
        <family val="2"/>
      </rPr>
      <t xml:space="preserve">Deze voorziening is voor de inhuurvorm 'Detacheren in fase B of C' op grond van de ABU- en NBBU-cao niet van toepassing. Inschrijver dient hier niets voor in te vullen. </t>
    </r>
  </si>
  <si>
    <r>
      <rPr>
        <b/>
        <sz val="8"/>
        <color rgb="FF0070C0"/>
        <rFont val="Verdana"/>
        <family val="2"/>
      </rPr>
      <t>Niet-bedrijfsspecifieke kostprijsvariabele</t>
    </r>
    <r>
      <rPr>
        <sz val="8"/>
        <rFont val="Verdana"/>
        <family val="2"/>
      </rPr>
      <t xml:space="preserve">
Deze voorziening is voor de inhuurvorm 'Detacheren in fase B of C' op grond van de ABU- en NBBU-cao niet van toepassing. Inschrijver dient hier niets voor in te vullen.  </t>
    </r>
  </si>
  <si>
    <r>
      <rPr>
        <b/>
        <sz val="8"/>
        <color rgb="FF0070C0"/>
        <rFont val="Verdana"/>
        <family val="2"/>
      </rPr>
      <t xml:space="preserve">Niet-bedrijfsspecifieke kostprijsvariabele
</t>
    </r>
    <r>
      <rPr>
        <sz val="8"/>
        <rFont val="Verdana"/>
        <family val="2"/>
      </rPr>
      <t xml:space="preserve">Deze voorziening is voor de inhuurvorm 'Detacheren in fase B of C' op grond van de ABU- en NBBU-cao niet van toepassing. Inschrijver dient hier niets voor in te vullen. </t>
    </r>
  </si>
  <si>
    <t>Perceel 1  JenV-overig</t>
  </si>
  <si>
    <t>Perceel 1  JenV-Overig</t>
  </si>
  <si>
    <r>
      <rPr>
        <b/>
        <sz val="8"/>
        <color rgb="FF0070C0"/>
        <rFont val="Verdana"/>
        <family val="2"/>
      </rPr>
      <t xml:space="preserve">Bedrijfsspecifieke kostprijsvariabele, binnen door het relevante pensioenfonds (zoals StiPP) vastgestelde kaders en waardes.  
</t>
    </r>
    <r>
      <rPr>
        <sz val="8"/>
        <rFont val="Verdana"/>
        <family val="2"/>
      </rPr>
      <t>Het premiepercentage voor pensioen wordt jaarlijks vastgesteld door het pensioenfonds waarbij Opdrachtnemer is aangesloten, zoals het StiPP. Dit geldt ook voor de zogeheten franchise, een nominaal bedrag dat van het gemiddelde pensioengevend uurloon wordt afgetrokken. De hoogte van de franchise is gekoppeld aan het Wml en wordt jaarlijks vastgesteld. Verder wordt er jaarlijks een maximaal pensioengevend uurloon vastgesteld. Deze buiten de invloedssfeer van Opdrachtnemer vastgestelde waardes zijn leidend in de berekening van de in de Loonsomfactor door Inschrijver op te voeren pensioenpremie. Ook de ABU- en NBBU-cao kunnen invloed hebben op de hoogte van de pensioenpremie. Tot slot wordt er rekening gehouden met het gemiddeld pensioengevend uurloon bij de berekening van de pensioenpremie. 
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wordt verhoogd om de (te) lage Inschrijving in de aanbesteding te corrigeren.</t>
    </r>
    <r>
      <rPr>
        <sz val="8"/>
        <color rgb="FFFF0000"/>
        <rFont val="Verdana"/>
        <family val="2"/>
      </rPr>
      <t xml:space="preserve">
</t>
    </r>
  </si>
  <si>
    <t>LET OP: ook kolommen rechts bij Whk premies (kolom J/K) en helemaal onderaan invullen.</t>
  </si>
  <si>
    <t>ERD WGA?
ja/nee (s.v.p. aangeven wat van toepassing is)
Hoogte WGA premie vóór door- belasting aan Uitzendkracht: .,.. % (hier het daadwerkelijke percentage invullen, dus niet bijv. 100%)
Percentage van de WGA premie dat aan Uitzendkracht wordt doorbelast: ..%</t>
  </si>
  <si>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H37 in blok 6 als onderdeel van de berekeningsgrondslag van de eindejaarsuitkering. ZORG ER DAAROM VOOR DAT U DEZE PREMIE IN CEL D29 INVULT, EN NIET BIJVOORBEELD OP EEN ANDERE REGEL IN BLOK 5. HET NIET JUIST INVULLEN IS VOOR REKENING EN RISICO VAN INSCHRIJVER.</t>
    </r>
  </si>
  <si>
    <r>
      <rPr>
        <b/>
        <sz val="8"/>
        <color rgb="FF0070C0"/>
        <rFont val="Verdana"/>
        <family val="2"/>
      </rPr>
      <t>Bedrijfsspecifieke kostprijsvariabele</t>
    </r>
    <r>
      <rPr>
        <sz val="8"/>
        <rFont val="Verdana"/>
        <family val="2"/>
      </rPr>
      <t xml:space="preserve">
Inschrijver dient in de hiernaast opgenomen tabel aan te geven of  hij wel of niet een eigenriscodrager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eigenrisicodrager voor één of beide Whk premies is, dan zullen de desbetreffende Whk-premies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wordt bij de verificatie van deze premies door Opdrachtnemer ook kennis worden genomen van bijvoorbeeld de voor elk opvolgend kalenderjaar gepubliceerde informatie over de gedifferentieerde premies WGA en ZW-Flex en de Premiewijzer van het UWV. </t>
    </r>
  </si>
  <si>
    <t>De Bureaumarge dient altijd hoger dan 1,0000 te zijn. Maximaal 4 decimalen achter de komma invullen.</t>
  </si>
  <si>
    <t>Tariefstelling bij Inschrijving gebaseerd op kostprijsvariabelen van toepassing in 2024</t>
  </si>
  <si>
    <r>
      <t>Tarieven</t>
    </r>
    <r>
      <rPr>
        <b/>
        <u/>
        <sz val="12"/>
        <color rgb="FF002060"/>
        <rFont val="Verdana"/>
        <family val="2"/>
      </rPr>
      <t xml:space="preserve"> inclusief</t>
    </r>
    <r>
      <rPr>
        <b/>
        <sz val="12"/>
        <color rgb="FF002060"/>
        <rFont val="Verdana"/>
        <family val="2"/>
      </rPr>
      <t xml:space="preserve"> VOG-kosten en </t>
    </r>
    <r>
      <rPr>
        <b/>
        <u/>
        <sz val="12"/>
        <color rgb="FF002060"/>
        <rFont val="Verdana"/>
        <family val="2"/>
      </rPr>
      <t>exclusief</t>
    </r>
    <r>
      <rPr>
        <b/>
        <sz val="12"/>
        <color rgb="FF002060"/>
        <rFont val="Verdana"/>
        <family val="2"/>
      </rPr>
      <t xml:space="preserve"> reiskosten woon-werkverkeer</t>
    </r>
  </si>
  <si>
    <t>Bij publicatie deze regel verbergen = het werkelijke aantal punten indien lager dan 1,8900 wordt aangeboden.</t>
  </si>
  <si>
    <t xml:space="preserve">Specifieke Omrekenfactor inhuur laboratorium personeel in fase A / 1,2 voor het NFI </t>
  </si>
  <si>
    <t xml:space="preserve">Specifieke Omrekenfactor inhuur Regievoerder in fase A / 1,2 voor de DT&amp;V </t>
  </si>
  <si>
    <r>
      <t xml:space="preserve">Omrekenfactor ('reguliere ORF') Uitzenden en/of Detacheren in fase A/fase 1,2. 
</t>
    </r>
    <r>
      <rPr>
        <b/>
        <sz val="9"/>
        <rFont val="Verdana"/>
        <family val="2"/>
      </rPr>
      <t>(rekenkundig op vier decimalen achter de komma afgerond)</t>
    </r>
    <r>
      <rPr>
        <b/>
        <sz val="10"/>
        <rFont val="Verdana"/>
        <family val="2"/>
      </rPr>
      <t xml:space="preserve">
</t>
    </r>
  </si>
  <si>
    <t xml:space="preserve">Specifieke Omrekenfactor optionele pilot inhuur Managementondersteuner in fase A / 1,2 </t>
  </si>
  <si>
    <r>
      <t xml:space="preserve">Omrekenfactor laboratorium personeel NFI Uitzenden en/of Detacheren in fase A / 1,2.
</t>
    </r>
    <r>
      <rPr>
        <b/>
        <sz val="10"/>
        <rFont val="Verdana"/>
        <family val="2"/>
      </rPr>
      <t xml:space="preserve">Opslag 25% </t>
    </r>
    <r>
      <rPr>
        <sz val="10"/>
        <rFont val="Verdana"/>
        <family val="2"/>
      </rPr>
      <t>over 'reguliere' Omrekenfactor van dit tabblad 2a.</t>
    </r>
  </si>
  <si>
    <r>
      <t xml:space="preserve">Omrekenfactor regievoerder DT&amp;V Uitzenden en/of Detacheren in fase A / 1,2.
</t>
    </r>
    <r>
      <rPr>
        <b/>
        <sz val="10"/>
        <rFont val="Verdana"/>
        <family val="2"/>
      </rPr>
      <t xml:space="preserve">Opslag 10% </t>
    </r>
    <r>
      <rPr>
        <sz val="10"/>
        <rFont val="Verdana"/>
        <family val="2"/>
      </rPr>
      <t>over 'reguliere' Omrekenfactor van dit tabblad 2a.</t>
    </r>
  </si>
  <si>
    <r>
      <t>BIJLAGE 5A - Tab 2a Uitzenden (met Uitzendbeding) en/of Detacheren (=zonder Uitzendbeding ) in fase A of fase 1,2 (ABU/NBBU) in cao Rijk-salarisschaal 1</t>
    </r>
    <r>
      <rPr>
        <b/>
        <sz val="14"/>
        <color rgb="FF002060"/>
        <rFont val="Verdana"/>
        <family val="2"/>
      </rPr>
      <t xml:space="preserve"> tot en met 10</t>
    </r>
  </si>
  <si>
    <r>
      <t xml:space="preserve">Omrekenfactor pilot Managementondersteuner Uitzenden en/of Detacheren in fase A / 1,2,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2a. Dus indien een aangepaste nieuwe 'reguliere Omrekenfactor' vanwege een wijziging 0,6 % hoger wordt t.o.v. de 'oude' reguliere Omrekenfactor, geldt dat de Omrekenfactor pilot Managementondersteuner ook met 0,6% stijgt.</t>
    </r>
  </si>
  <si>
    <r>
      <rPr>
        <b/>
        <sz val="10"/>
        <color rgb="FFFF0000"/>
        <rFont val="Verdana"/>
        <family val="2"/>
      </rPr>
      <t xml:space="preserve">In te vullen door Inschrijver: 
</t>
    </r>
    <r>
      <rPr>
        <b/>
        <sz val="10"/>
        <rFont val="Verdana"/>
        <family val="2"/>
      </rPr>
      <t xml:space="preserve">Bedrijfsentiteit(en) die deze dienstverlening in de hoedanigheid van juridisch werkgever gaat/gaan uitvoeren: </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t>
    </r>
    <r>
      <rPr>
        <b/>
        <sz val="10"/>
        <rFont val="Verdana"/>
        <family val="2"/>
      </rPr>
      <t xml:space="preserve">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</si>
  <si>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(zo nodig verificatie van deze bedrijfsentiteit(en) door Categoriemanagement Uitzendkrachten en Arbeidsparticipanten Rijksoverheid (CM UZKA), bijvoorbeeld via relevante beschikkingen van de Belastingdienst ingeval van niet-ERD. Ook van belang vanwege naar verwachting nieuwe verplichtingen van Opdrachtgever op grond van toekomstige wetgeving):
.....</t>
    </r>
  </si>
  <si>
    <t>2a en 2b Loonsomfactor, voorwaarden voor aanpassing</t>
  </si>
  <si>
    <t>Perceel 1  
JenV-overig</t>
  </si>
  <si>
    <t>2a en 2b
Omrekenfactor</t>
  </si>
  <si>
    <t>2a en 2b
WGA- en ZW-flex premie</t>
  </si>
  <si>
    <r>
      <rPr>
        <b/>
        <sz val="9"/>
        <color rgb="FF0070C0"/>
        <rFont val="Verdana"/>
        <family val="2"/>
      </rPr>
      <t xml:space="preserve">Zie o.a. ook eis 10.25, hoofdstuk 10, Programma van Eisen (bijlage A)
</t>
    </r>
    <r>
      <rPr>
        <sz val="9"/>
        <rFont val="Verdana"/>
        <family val="2"/>
      </rPr>
      <t xml:space="preserve">Inschrijver vult in tabblad 2a en 2b van deze Tariefstelling voor elk van de uitgevraagde Loonsomfactoren in, </t>
    </r>
    <r>
      <rPr>
        <b/>
        <sz val="9"/>
        <rFont val="Verdana"/>
        <family val="2"/>
      </rPr>
      <t xml:space="preserve">uitgaand van het jaar 2024: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tabblad 2a en 2b van dit format Tariefstelling in.
Bij Inschrijving dient in de loonsomfactoren 2a en 2b voor de vaststelling van de ZW/WGA-premie premiesector 52 'Uitzendbedrijven' conform de Wab leidend te zijn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</si>
  <si>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2a en 2b
Loonsomfactor, opbouw</t>
  </si>
  <si>
    <t xml:space="preserve">2a en 2b
Loonsomfactor </t>
  </si>
  <si>
    <t>1 t/m 2b 
Opbouw Uurtarief</t>
  </si>
  <si>
    <t xml:space="preserve">Ja (tab 2a en 2b)
</t>
  </si>
  <si>
    <r>
      <t xml:space="preserve">Zie o.a. ook eis 10.23 en 10.24,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5A)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(niet-)bedrijfsspecifieke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(niet-)bedrijfsspecifieke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de tabblad 0 ‘Leeswijzer’ van de Loonsomfactoren in deze Tariefstelling (bijlage 5A) staat aanvullende informatie en een aantal instructies;
- In de tabbladen 2a en 2b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</si>
  <si>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t>2a en 2b
Bureaumarge</t>
  </si>
  <si>
    <r>
      <rPr>
        <u/>
        <sz val="9"/>
        <rFont val="Verdana"/>
        <family val="2"/>
      </rPr>
      <t>De twee specifieke Omrekenfactoren voor de optionele pilot inhuur managementondersteuner zijn:</t>
    </r>
    <r>
      <rPr>
        <sz val="9"/>
        <rFont val="Verdana"/>
        <family val="2"/>
      </rPr>
      <t xml:space="preserve">
- Omrekenfactor pilot Managementondersteuner Uitzenden en/of Detacheren in fase A/ 1,2; 
- Omrekenfactor pilot Managementondersteuner Detacheren in fase B en C/ 3,4.  
</t>
    </r>
    <r>
      <rPr>
        <b/>
        <sz val="9"/>
        <rFont val="Verdana"/>
        <family val="2"/>
      </rPr>
      <t>De hoogte van deze beide Omrekenfactoren is door Aanbestedende dienst bepaald op 3,0000.</t>
    </r>
    <r>
      <rPr>
        <sz val="9"/>
        <rFont val="Verdana"/>
        <family val="2"/>
      </rPr>
      <t xml:space="preserve"> Deze Omrekenfactoren gelden indien een Deelnemer gebruikmaakt van de optionele pilot. Doet een Deelnemer dit gedurende de looptijd van de Raamvereenkomst niet, dan gelden de ‘reguliere Omrekenfactoren’ voor de inhuur van managementondersteuners.
</t>
    </r>
    <r>
      <rPr>
        <u/>
        <sz val="9"/>
        <rFont val="Verdana"/>
        <family val="2"/>
      </rPr>
      <t>Voorwaarden Tariefstelling optionele pilot inhuur Managementondersteuners:</t>
    </r>
    <r>
      <rPr>
        <sz val="9"/>
        <rFont val="Verdana"/>
        <family val="2"/>
      </rPr>
      <t xml:space="preserve">
- Uitzendcao en ten minste-bepaling: de ABU- of NBBU-cao is van toepassing, echter de gelijke beloning wordt losgelaten en in plaats daarvan hanteren we ‘ten minste gelijke beloning’. Dat betekent dat Opdrachtnemer een hoger uurloon aan de Uitzendkracht mag betalen dan het Uurloon dat volgens het functieprofiel Managementondersteuner (Functiegebouw Rijk – FGR) van toepassing is; 
- Ten behoeve van de vaststelling van het te betalen Uurtarief wordt de managementondersteuner ingeschaald volgens het FGR-profiel ‘Managementondersteuner’. Dat betekent dat in de Offerteaanvraag de toepasselijke cao Rijk-salarisschaal voor de Managementondersteuner staat en vervolgens op basis van de gebruikelijke criteria de juiste trede in de cao Rijk-salarisschaal van de Uitzendkrachten wordt bepaald. Het bij deze trede behorende Uurloon vermenigvuldigd met de Omrekenfactor managementondersteuner resulteert in het aan Opdrachtnemer per gewerkt uur verschuldigde Uurtarief.
Voorbeeld:
&gt; Offerteaanvraag voor Managementondersteuner in cao Rijk-salarisschaal 7;
&gt; Uitzendkracht stroomt in op trede 1 cao Rijk-salarisschaal 7, Uurloon € 17,95 (cao Rijk per 1 januari 2024);
&gt; Het Uurtarief is Omrekenfactor pilot Managementondersteuner 3,0000 * Uurloon € 17,95 = € 53,85.
Het daadwerkelijke uurloon dat Opdrachtnemer aan Uitzendkracht betaalt = bijvoorbeeld  € 22,50, dus hoger dan € 17,95. Het verschil met het Uurloon volgens de cao Rijk is in de hogere Omrekenfactor verdisconteerd; 
- Hogere Omrekenfactor: er geldt een hogere Omrekenfactor, die wordt berekend over het Uurloon van de desbetreffende cao Rijk-salarisschaal en trede (zoals vermeld in deze bijlage 5 ‘Tariefstelling’, tabblad 1). De Omrekenfactor is door Opdrachtgever eenzijdig vastgesteld voor zowel fase A als fase B/C op 3,0000 en wordt dus niet bepaald tijdens uitvoeren van de pilot noch per Offerteaanvraag en is geen onderwerp van onderhandeling; 
- Procentuele aanpassingen van Omrekenfactor gekoppeld aan ‘reguliere Omrekenfactoren’: wat betreft de (minimaal jaarlijkse) tariefsaanpassing worden de procentuele aanpassingen van de ‘reguliere Omrekenfactoren’ zoals die gelden voor alle inhuur/functies die vallen onder de scope van de Raamovereenkomst, op gelijke wijze doorgevoerd in de Omrekenfactoren die gelden voor de Tariefstelling van de pilot managementondersteuners;  
- De twee hogere Omrekenfactoren voor de pilot Managementondersteuners creëren ruimte voor het mogelijke verschil tussen het Uurloon volgens de cao Rijk en de mogelijk betere arbeidsvoorwaarden van de ter beschikking gestelde managementondersteuner. De reden voor de keuze van zowel een Omrekenfactor voor fase A als voor fase B/C voor de pilot managementondersteuners, is dat procentuele aanpassingen in Omrekenfactoren per fase kunnen verschillen.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</si>
  <si>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5A 'Tariefstelling'. In deze bijlage 5A 'Tariefstelling' mag niet worden afgeweken van de eisen zoals weergegeven in het Programma van Eisen en dienen de instructies in de andere relevante Aanbestedingsstukken, zoals ook deze bijlage 5A Tariefstelling, te worden gevolgd. </t>
  </si>
  <si>
    <t>Gehanteerde bandbreedte Gewogen gemiddelde Omrekenfactor t.b.v. beoordeling Prijs: 2,1400 -1,8900</t>
  </si>
  <si>
    <t>Onderscheiden Omrekenfactoren per inhuurvorm Uitzendovereenkomst 
cao Rijk-salarisschaal 1 t/m 10</t>
  </si>
  <si>
    <t>1. (tabblad 2a): Uitzenden (met Uitzendbeding) en/of Detacheren (zonder Uitzendbeding) in fase A  / fase 1 en 2 ABU- en NBBU-cao, cao Rijk- salarisschaal 1 t/m 10</t>
  </si>
  <si>
    <t xml:space="preserve">Gewogen gemiddelde Omrekenfactor  </t>
  </si>
  <si>
    <t>Vakantiedagen, feestdagen,  kort/bijzonder verzuim (cel H14, zie cel E37)
+ 
ZW-+PAWW+pensioen+SFU+AOF
+Zwv+AWF+WGA+ZW-Flex+ transitievergoeding + ziektekosten tijdens dienstverband cel D29 (zie cel G37 voor uitkomst optelling tweede deel vanaf PAWW t/m Transitievergoeding)</t>
  </si>
  <si>
    <t>Vakantiedagen, feestdagen,  kort/bijzonder verzuim (cel H14, zie cel E37)
+ PAWW+pensioen+SFU+AOF+
Zwv+AWF+WGA+
ZW-Flex+transitievergoeding + ziektekosten tijdens dienstverband cel D29 (zie cel G37 voor uitkomst optelling tweede deel vanaf PAWW t/m Transitievergoeding)</t>
  </si>
  <si>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bijlagen 5)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Uitzenden en/of Detacheren in fase A/ 1,2;
- Loonsomfactor en bureaumarge en dus Omrekenfactor voor Detacheren in fase B en C/ 3.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</si>
  <si>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Deelnemer is momenteel sprake van een eindejaarsuitkering van 8,30%. Zie ook de bijlage S Bri/Bro. 
Deze eindejaarsuitkering is verwerkt in de Loonsomfactoren in tabbladen 2a en 2b van deze Tariefstelling (bijlage 5A).
Daartoe is door Aanbestedende dienst het percentage 8,3000% ingevuld in de Loonsomfactoren in de tabbladen 2a en 2b in de Tariefstelling (bijlagen 5) in een wit, beveiligd veld in kolom D. 
Zie ook de instructies en toelichtingen in deze Tariefstelling (bijlage 5A) en hoofdstuk 10 van het Programma van Eisen (Bijlage A).  </t>
    </r>
  </si>
  <si>
    <t>ERD WGA?
ja/nee (s.v.p. aangeven wat van toepassing is)
Hoogte WGA premie vóór door- belasting aan Uitzendkracht: .,.. % (hier het daadwerkelijke percentage invullen, dus niet bijv. 100%)
Percentage van de WGA premie dat aan Uitzendkracht wordt doorbelast: ...%</t>
  </si>
  <si>
    <r>
      <t xml:space="preserve">BIJLAGE 5A - Tab 2b </t>
    </r>
    <r>
      <rPr>
        <b/>
        <sz val="16"/>
        <color theme="3"/>
        <rFont val="Verdana"/>
        <family val="2"/>
      </rPr>
      <t>Detacheren (=zonder uitzendbeding ) in fase B en C / fase 3 en 4 (ABU/NBBU) in cao Rijk-salarisschaal 1 tot en met 10</t>
    </r>
  </si>
  <si>
    <t>Loonsomfactor Detacheren (= zonder Uitzendbeding) in fase B en C / fase 3 en 4 (ABU/NBBU) cao-Rijk salarisschaal 1 tot en met 10</t>
  </si>
  <si>
    <t>Loonsomfactor Detacheren in in fase B en C / fase 3 en 4.
(rekenkundig op vier decimalen achter de komma afgerond)</t>
  </si>
  <si>
    <t>Bureaumarge Detacheren in fase B en C / fase 3 en 4.</t>
  </si>
  <si>
    <t>Omrekenfactor ('reguliere ORF') Detacheren in fase B en C / fase 3 en 4.
(rekenkundig op vier decimalen achter de komma afgerond)</t>
  </si>
  <si>
    <r>
      <t xml:space="preserve">Omrekenfactor regievoerder DT&amp;V Detacheren in fase B en C / 3 en 4.
</t>
    </r>
    <r>
      <rPr>
        <b/>
        <sz val="10"/>
        <rFont val="Verdana"/>
        <family val="2"/>
      </rPr>
      <t xml:space="preserve">Opslag 10% </t>
    </r>
    <r>
      <rPr>
        <sz val="10"/>
        <rFont val="Verdana"/>
        <family val="2"/>
      </rPr>
      <t>over 'reguliere' Omrekenfactor van dit tabblad 2b.</t>
    </r>
  </si>
  <si>
    <t xml:space="preserve">Specifieke Omrekenfactor inhuur laboratorium personeel in fase B en C / 3 en 4 voor het NFI </t>
  </si>
  <si>
    <t xml:space="preserve">Specifieke Omrekenfactor inhuur Regievoerder in fase B en C / 3 en 4 voor de DT&amp;V </t>
  </si>
  <si>
    <t>Specifieke Omrekenfactor optionele pilot inhuur Managementondersteuner in fase B en C / 3 en 4</t>
  </si>
  <si>
    <r>
      <t xml:space="preserve">Omrekenfactor pilot Managementondersteuner Detacheren in  fase B en C / 3 en 4, </t>
    </r>
    <r>
      <rPr>
        <b/>
        <sz val="10"/>
        <rFont val="Verdana"/>
        <family val="2"/>
      </rPr>
      <t>vastgesteld door Aanbestedende dienst.</t>
    </r>
    <r>
      <rPr>
        <sz val="10"/>
        <rFont val="Verdana"/>
        <family val="2"/>
      </rPr>
      <t xml:space="preserve">
De procentuele wijziging van deze Omrekenfactor is steeds gelijk aan de procentuele wijziging van de 'reguliere' Omrekenfactor van dit tabblad 2b. Dus indien een aangepaste nieuwe 'reguliere Omrekenfactor' vanwege een wijziging 0,6 % hoger wordt t.o.v. de 'oude' reguliere Omrekenfactor, geldt dat de Omrekenfactor pilot Managementondersteuner ook met 0,6% stijgt.</t>
    </r>
  </si>
  <si>
    <t xml:space="preserve">
2. (tabblad 2b): Detacheren (zonder Uitzendbeding) ABU fase B en C / fase 3 en 4 ABU- en NBBU-cao, cao Rijk-salarisschaal 1 t/m 10</t>
  </si>
  <si>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en 2b van de Tariefstelling (bijlagen 5) bestaat uit zes blokken, waarover de looncomponenten zijn verdeeld:
Blok 1: Basis (Uurloon, conform het toepasselijke bruto uurloon van Deelnemer);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en 2b in de Tariefstelling (bijlagen 5), in een wit, beveiligd veld in kolom D. Inschrijver mag dit percentage niet aanpassen. Zie ook de instructies en toelichtingen in deze Tariefstelling (bijlagen 5)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Sechts een aantal van de bedrijfsspecifieke kostprijsvariabelen mag onder strikte voorwaarden gedurende de looptijd van de Raamovereenkomst, inclusief eventuele verlenging(en) daarvan, worden aangepast. Zie voor meer informatie hierover eis 10.23, 10.24, 10.25,10.27 en de instructies en toelichtingen in deze Tariefstelling (bijlagen 5). 
Inschrijver dient de bedrijfsspecifieke kostprijsvariabelen in de daartoe bestemde gele velden in de Loonsomfactoren in tabbladen 2a en 2b van deze Tariefstelling (bijlagen 5) in te vullen. Zie ook de instructies en toelichtingen in de Tariefstelling (bijlagen 5) en hoofdstuk 5 van het Beschrijvend Document.  
</t>
    </r>
  </si>
  <si>
    <r>
      <t xml:space="preserve">
- Zie ook eis 10.25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Opdrachtnemergever proactief de transitievergoeding aan de Uitzendkracht uitkeert zodra deze hier recht op heeft; 
- De in blok 5 van de Loonsomfactor opgenomen kostprijsvariabelen mogen gedurende de looptijd van de Raamovereenkomst, inclusief de verlenging 
  daarvan, niet worden aangepast;
- </t>
    </r>
    <r>
      <rPr>
        <b/>
        <u/>
        <sz val="9"/>
        <rFont val="Verdana"/>
        <family val="2"/>
      </rPr>
      <t>In blok 5, cel D29, dient Inschrijver in ieder geval – indien hij dat wenst – een reservering voor de ziektekosten tijdens dienstverband op te nemen. Deze  reservering is namelijk onderdeel van de berekeningsgrondslag van de eindejaarsuitkering die in blok 6 staat en moet daarom bepaalbaar zijn;</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wijiziging ligt. Indien de administratieve aanpassingen niet tijdig kunnen worden doorgevoerd, is er sprake van wijziging met terugwerkende kracht waaruit doorgaans een separate verrekening volgt. Zie ook eis 10.27.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</si>
  <si>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r>
      <t xml:space="preserve">Deze twee specifieke Omrekenfactoren wegen niet mee in de gewogen gemiddelde Omrekenfactor in het Perceel 1. </t>
    </r>
    <r>
      <rPr>
        <b/>
        <sz val="9"/>
        <rFont val="Verdana"/>
        <family val="2"/>
      </rPr>
      <t xml:space="preserve">In de Tariefstelling wordt gewerkt met een vast opslagpercentage van 25%. </t>
    </r>
    <r>
      <rPr>
        <sz val="9"/>
        <rFont val="Verdana"/>
        <family val="2"/>
      </rPr>
      <t xml:space="preserve">Dit opslagpercentage wordt per fase berekend over de ‘reguliere’ Omrekenfactor die Inschrijver voor dit Perceel heeft aangeboden in tabblad 2a (fase A) en tabblad 2b (fase B en C). Bij de vaststelling van het opslagpercentage heeft Aanbestedende dienst onder meer rekening gehouden met het feit dat het jaarlijks een klein aantal niet-generieke ('niche') functies betreft die wellicht meer wervings- en selectieactiviteiten dan gebruikelijk vragen, alsmede met mogelijke doorleenconstructies (uiteraard geen payroll in de zin van 7:692 BW). 
</t>
    </r>
    <r>
      <rPr>
        <b/>
        <sz val="9"/>
        <rFont val="Verdana"/>
        <family val="2"/>
      </rPr>
      <t>2. Twee specifieke Omrekenfactoren, alleen voor Perceel 1, DT&amp;V, voor de inhuur van Regievoerders:</t>
    </r>
    <r>
      <rPr>
        <sz val="9"/>
        <rFont val="Verdana"/>
        <family val="2"/>
      </rPr>
      <t xml:space="preserve">
In tabblad 2a en 2b van bijlage 5A (Perceel 1) zijn onderaan twee extra Omrekenfactoren voor de inhuur van Regievoerders gedefinieerd. Deze zijn alleen voor DT&amp;V (Perceel 1 bedoeld en uitsluitend bij terbeschikkingstelling van Uitzendkrachten in de functie Regievoerder (functiefamilie FGR ‘Medewerker Behandelen en Ontwikkelen’). Zie ook bijlage T voor het betreffende specifieke functieprofiel en paragraaf 1.5.4/punt c van het Beschrijvend Document. In de Offerteaanvraag van of namens de DT&amp;V zal steeds in worden aangeven of er sprake is van een Vacature voor een Regievoerder, met de bijbehorende specifieke Omrekenfactor.
</t>
    </r>
    <r>
      <rPr>
        <u/>
        <sz val="9"/>
        <rFont val="Verdana"/>
        <family val="2"/>
      </rPr>
      <t>De twee specifieke Omrekenfactoren voor DT&amp;V (Perceel 1) voor de inhuur van Regievoerders zijn:</t>
    </r>
    <r>
      <rPr>
        <sz val="9"/>
        <rFont val="Verdana"/>
        <family val="2"/>
      </rPr>
      <t xml:space="preserve">
- Omrekenfactor Regievoerder DT&amp;V Uitzenden en/of Detacheren in fase A / 1,2; 
- Omrekenfactor Regievoerder DT&amp;V Detacheren in fase B en C / 3,4.  
Deze twee specifieke Omrekenfactoren wegen niet mee in de gewogen gemiddelde Omrekenfactor in Perceel 1. </t>
    </r>
    <r>
      <rPr>
        <b/>
        <sz val="9"/>
        <rFont val="Verdana"/>
        <family val="2"/>
      </rPr>
      <t xml:space="preserve">In de Tariefstelling wordt gewerkt met een vast opslagpercentage van 10% </t>
    </r>
    <r>
      <rPr>
        <sz val="9"/>
        <rFont val="Verdana"/>
        <family val="2"/>
      </rPr>
      <t xml:space="preserve">Dit opslagpercentage wordt per fase berekend over de ‘reguliere’ Omrekenfactor die Inschrijver voor Perceel 1 heeft aangeboden in tabblad 2a (fase A) en tabblad 2b (fase B en C) in de Tariefstelling (bijlage 5A). Bij de vaststelling van het opslagpercentage heeft Aanbestedende dienst onder meer rekening gehouden met het feit dat de functie ‘Regievoerder’ een wat meer ‘niche’ functie is, die wellicht meer wervings- en selectieactiviteiten dan gebruikelijk vraagt.
</t>
    </r>
    <r>
      <rPr>
        <b/>
        <sz val="9"/>
        <rFont val="Verdana"/>
        <family val="2"/>
      </rPr>
      <t>3. Twee specifieke Omrekenfactoren voor de optionele pilot inhuur van Managementondersteuners:</t>
    </r>
    <r>
      <rPr>
        <sz val="9"/>
        <rFont val="Verdana"/>
        <family val="2"/>
      </rPr>
      <t xml:space="preserve">
Deelnemers hebben met inachtneming van de input uit de marktconsultatie besloten tot het in de Raamovereenkomst opnemen van een optie tot het doen van een pilot specifiek en uitsluitend voor de functie managementondersteuner onder de nieuwe Raamovereenkomsten van elk van de Percelen. Een Deelnemer eenmaal kan gedurende de looptijd van de Raamovereenkomst besluiten van deze optie gebruik te maken volgens de in de Aanbestedingsstukken vastgelegde voorwaarden van de pilot. Vanaf het moment dat Deelnemer gebruikmaakt van de optie worden alle nieuwe inhuuropdrachten van deze Deelnemer voor managementondersteuners gesloten conform de voorwaarden van de pilot. Zie ook bijlage T en paragraaf 1.5.4/punt b van het Beschrijvend Document voor meer informatie over de pilot en de hieraan gestelde voorwaarden.  
Het betreft Uitzendkrachten die vallen onder het FGR, Functiefamilie Bedrijfsvoering, functieprofiel Managementondersteuner,  
cao Rijk-salarisschaal 5 t/m 10.</t>
    </r>
  </si>
  <si>
    <t>Loonsomfactor Uitzenden (=met Uitzendbeding) en/of Detacheren (= zonder Uitzendbeding), in fase A of fase 1, 2 (ABU/NBBU) cao Rijk-salarisschaal 1 tot en met 10</t>
  </si>
  <si>
    <r>
      <rPr>
        <b/>
        <sz val="9"/>
        <color rgb="FF0070C0"/>
        <rFont val="Verdana"/>
        <family val="2"/>
      </rPr>
      <t>Zie o.a. ook eis 10.21, hoofdstuk 10, Programma van Eisen (bijlage A)</t>
    </r>
    <r>
      <rPr>
        <sz val="9"/>
        <rFont val="Verdana"/>
        <family val="2"/>
      </rPr>
      <t xml:space="preserve">
Inschrijver vult in tabblad 2a en 2b van dezeTariefstelling (bijlage 5A) de volgende </t>
    </r>
    <r>
      <rPr>
        <b/>
        <sz val="9"/>
        <rFont val="Verdana"/>
        <family val="2"/>
      </rPr>
      <t>loonsomfactoren in, op basis van het prijspeil van 2024:</t>
    </r>
    <r>
      <rPr>
        <sz val="9"/>
        <rFont val="Verdana"/>
        <family val="2"/>
      </rPr>
      <t xml:space="preserve"> 
- Tabblad 2a: Loonsomfactor voor Uitzenden en/of Detacheren in fase A/ 1,2;
- Tabblad 2b: Loonsomfactor voor Detacheren in fase B en C/ 3,4. 
Inschrijver vult hiertoe de geel gemarkeerde velden van de bovengenoemde tabbladen 2a en 2b in conform het bepaalde in hoofdstuk 10 van het Programma van Eisen en dit format Tariefstelling (bijlage 5A). Inschrijver mag de wit gemarkeerde velden niet wijzigen. 
Inschrijver dient zich bij de Inschrijving bij het invullen van de loonsomfactor te baseren op inhuur voor functies in risicopremiegroep 1. Desgewenst verdisconteert Inschrijver voor de kans dat incidenteel sprake kan zijn van inhuur voor functies in risicopremiegroep 2, een kostenopslag in blok 5 van de loonsomfactor en/of in de bureaumarge.
Zie voor de meer informatie over de scope van de bovengenoemde loonsomfactoren paragraaf 1.8.1 van het Beschrijvend Document. 
</t>
    </r>
  </si>
  <si>
    <r>
      <rPr>
        <b/>
        <sz val="9"/>
        <color rgb="FF0070C0"/>
        <rFont val="Verdana"/>
        <family val="2"/>
      </rPr>
      <t>Zie o.a. ook eis 10.20 en 10.29, hoofdstuk 10, Programma van Eisen (bijlage A)</t>
    </r>
    <r>
      <rPr>
        <b/>
        <sz val="9"/>
        <rFont val="Verdana"/>
        <family val="2"/>
      </rPr>
      <t xml:space="preserve"> </t>
    </r>
    <r>
      <rPr>
        <sz val="9"/>
        <rFont val="Verdana"/>
        <family val="2"/>
      </rPr>
      <t xml:space="preserve">
In de Tariefstelling (bijlagen 5) zijn</t>
    </r>
    <r>
      <rPr>
        <b/>
        <sz val="9"/>
        <rFont val="Verdana"/>
        <family val="2"/>
      </rPr>
      <t xml:space="preserve"> twee ‘reguliere’ Omrekenfactoren </t>
    </r>
    <r>
      <rPr>
        <sz val="9"/>
        <rFont val="Verdana"/>
        <family val="2"/>
      </rPr>
      <t xml:space="preserve">gedefinieerd, die resulteren uit de invulling van de Loonsomfactor (zie eis 10.21) en bureaumarge (eis 10.26) in tabblad 2a en 2b. 
</t>
    </r>
    <r>
      <rPr>
        <b/>
        <sz val="9"/>
        <rFont val="Verdana"/>
        <family val="2"/>
      </rPr>
      <t>Dit betreft de volgende twee ‘reguliere’ Omrekenfactoren:</t>
    </r>
    <r>
      <rPr>
        <sz val="9"/>
        <rFont val="Verdana"/>
        <family val="2"/>
      </rPr>
      <t xml:space="preserve">
- Tabblad 2a: Omrekenfactor voor Uitzenden en/of Detacheren in fase A / 1,2;
- Tabblad 2b: Omrekenfactor voor Detacheren in fase B en C / 3,4.
In aanvulling hierop is in tabblad 2a en 2b een aantal extra, specifieke Omrekenfactoren gedefinieerd. Onderstaand volgt een opsomming van deze aanvullende Omrekenfactoren, inclusief de vermelding van kaders en voorwaarden ervan. Deze Omrekenfactoren zijn ofwel een afgeleide van de reguliere Omrekenfactor, ofwel door Aanbestedende dienst vastgesteld. Inschrijver hoeft hiervoor niets in te vullen in de tabbladen 2a en 2b van de Tariefstelling (bijlagen 5). Indien van toepassing voor een Perceel, zijn ze onderaan in de tabbladen 2a en 2b vermeld.
</t>
    </r>
    <r>
      <rPr>
        <b/>
        <sz val="9"/>
        <rFont val="Verdana"/>
        <family val="2"/>
      </rPr>
      <t xml:space="preserve">1. Twee specifieke Omrekenfactoren, alleen voor Perceel 1, NFI voor de inhuur van laboratoriumpersoneel: </t>
    </r>
    <r>
      <rPr>
        <sz val="9"/>
        <rFont val="Verdana"/>
        <family val="2"/>
      </rPr>
      <t xml:space="preserve">
In tabblad 2a en 2b van bijlage 5A (Perceel 1) zijn onderaan twee extra Omrekenfactoren gedefinieerd. Deze zijn alleen voor het NFI (Perceel 1) bedoeld en uitsluitend bij terbeschikkingstelling van Uitzendkrachten die hoofdzakelijk voor laboratoriumwerkzaamheden bij deze Deelnemer worden ingezet. Het betreft dus geen administratieve werkzaamheden of iets dergelijks. In de Offerteaanvraag van of namens het NFI zal steeds worden aangeven of er sprake is van een Vacature voor een dergelijke functie voor laboratoriumwerkzaamheden, met de bijbehorende specifieke Omrekenfactor.
Het betreft Uitzendkrachten die vallen onder het FGR, Functiefamilie Kennis en Onderzoek, te weten:  
a. Wetenschappelijk medewerker, cao Rijk-schaal 10 t/m 13 – waarbij wordt opgemerkt dat het NFI (Perceel 1) voor dit functieprofiel uitsluitend Uitzendkrachten uitvraagt in cao Rijk-schaal 10 vanwege de scope van deze aanbesteding; 
b. Onderzoeksmedewerker, cao Rijk-schaal 8 t/m 11 – waarbij wordt opgemerkt dat dat het NFI (Perceel 1) voor dit functieprofiel uitsluitend Uitzendkrachten uitvraagt t/m cao Rijk-schaal 10 vanwege de scope van deze aanbesteding;
c. Onderzoeksondersteuner, cao Rijk-schaal 3 t/m 8.
</t>
    </r>
    <r>
      <rPr>
        <u/>
        <sz val="9"/>
        <rFont val="Verdana"/>
        <family val="2"/>
      </rPr>
      <t>De twee specifieke Omrekenfactoren voor het NFI (Perceel 1) voor de inhuur van laboratoriumpersoneel zijn:</t>
    </r>
    <r>
      <rPr>
        <sz val="9"/>
        <rFont val="Verdana"/>
        <family val="2"/>
      </rPr>
      <t xml:space="preserve">
- Omrekenfactor laboratoriumpersoneel Uitzenden en/of Detacheren in fase A / 1,2; 
- Omrekenfactor laboratoriumpersoneel Detacheren in fase B en C / 3,4.  
</t>
    </r>
  </si>
  <si>
    <r>
      <rPr>
        <b/>
        <sz val="9"/>
        <color rgb="FF0070C0"/>
        <rFont val="Verdana"/>
        <family val="2"/>
      </rPr>
      <t xml:space="preserve">Zie o.a. ook eis 10.26, hoofdstuk 10, Programma van Eisen (bijlage A) </t>
    </r>
    <r>
      <rPr>
        <sz val="9"/>
        <rFont val="Verdana"/>
        <family val="2"/>
      </rPr>
      <t xml:space="preserve">
Inschrijver vult in tabblad 2a en 2b van de Tariefstelling (bijlagen 5) de volgende Bureaumarges in: 
- Tabblad 2a: Bureaumarge voor Uitzenden en/of Detacheren in fase A/ 1,2;
- Tabblad 2b: Bureaumarge voor Detacheren in fase B en C/ 3,4.
Inschrijver vult hiertoe de daarvoor bestemde gele velden in de tabbladen 2a en 2b van het format Tariefstelling (bijlage 5A) in, met vier decimalen achter de komma.
De Bureaumarge bestaat doorgaans uit componenten die door Opdrachtnemer beïnvloed kunnen worden in de zin dat Inschrijver hiermee de door hem te behalen winst of verlies kan beïnvloeden.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</si>
  <si>
    <r>
      <t xml:space="preserve">Omrekenfactor laboratorium personeel NFI Detacheren in fase B en C / 3 en 4.
</t>
    </r>
    <r>
      <rPr>
        <b/>
        <sz val="10"/>
        <rFont val="Verdana"/>
        <family val="2"/>
      </rPr>
      <t xml:space="preserve">Opslag 25% </t>
    </r>
    <r>
      <rPr>
        <sz val="10"/>
        <rFont val="Verdana"/>
        <family val="2"/>
      </rPr>
      <t>over 'reguliere' Omrekenfactor van dit tabblad 2b.</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</si>
  <si>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staat in cel D12 de </t>
    </r>
    <r>
      <rPr>
        <b/>
        <sz val="9"/>
        <rFont val="Verdana"/>
        <family val="2"/>
      </rPr>
      <t xml:space="preserve">gewogen gemiddelde Omrekenfactoren (GGORF) </t>
    </r>
    <r>
      <rPr>
        <sz val="9"/>
        <rFont val="Verdana"/>
        <family val="2"/>
      </rPr>
      <t xml:space="preserve">ten behoeve van de beoordeling van het subgunningscriterium 'Prijs'. Deze gewogen gemiddelde Omrekenfactor wordt op basis van waarden in de tabbladen 2a en 2b en vastgestelde procentuele verdelingen, wegingen en formules in tabblad 3 bepaald. De Omrekenfactoren worden automatisch overgenomen uit de tabbladen 2a en 2b. De wegingsfactoren en formule in tabblad 3 zijn door categoriemanagement Uitzendkrachten en Arbeidsparticipanten Uitzendkrachten Rijksoverheid en Deelnemer vastgesteld.
</t>
    </r>
    <r>
      <rPr>
        <b/>
        <sz val="9"/>
        <rFont val="Verdana"/>
        <family val="2"/>
      </rPr>
      <t>Score gunningscriterium Prijs</t>
    </r>
    <r>
      <rPr>
        <sz val="9"/>
        <rFont val="Verdana"/>
        <family val="2"/>
      </rPr>
      <t xml:space="preserve">
Uit de gewogen gemiddelde Omrekenfactor volgt na toepassing van de formule in tabblad 3 een totaalaantal punten als score op het subgunningscriterium Prijs berekend. </t>
    </r>
    <r>
      <rPr>
        <b/>
        <sz val="9"/>
        <rFont val="Verdana"/>
        <family val="2"/>
      </rPr>
      <t>Het totaalaantal punten ('de score op het subgunningscriterium Prijs')  staat in cel C21 van tabblad 3.</t>
    </r>
    <r>
      <rPr>
        <sz val="9"/>
        <rFont val="Verdana"/>
        <family val="2"/>
      </rPr>
      <t xml:space="preserve">
De gewogen gemiddelde Omrekenfactor wordt uitsluitend gebruikt voor de beoordeling van de Inschrijving. Inschrijver kan de hoogte van de gewogen gemiddelde Omrekenfactor alleen beïnvloeden door invulling van de loonsomfactoren en de bureaumarges in de tabbladen 2a en 2b van deze Tariefstelling bijlage 5A. In de Raamovereenkomst zijn de loonsomfactoren, bureaumarges en omrekenfactoren zoals vermeld in tabbladen 2a en 2b van toepassing. Zie voor meer informatie over de beoordeling van het subgunningscriterium Prijs, de formules, vastgestelde bandbreedte en andere voorwaarden paragraaf 5.4 van het Beschrijvend Document en hoofdstuk 10 van het Programma van Eisen (bijlage A). 
</t>
    </r>
    <r>
      <rPr>
        <b/>
        <sz val="9"/>
        <rFont val="Verdana"/>
        <family val="2"/>
      </rPr>
      <t xml:space="preserve">Inschrijver ondertekent tabblad 3 van deze bijlage 5A rechtsgeldig, vult de overige geel gemarkeerde velden in het ondertekeningsblok in en voegt dit tabblad 3 toe als onderdeel van de Inschrijving. Zie ook onderstaand in het blok 'Algemene informatie' 
</t>
    </r>
    <r>
      <rPr>
        <sz val="9"/>
        <color rgb="FFFF0000"/>
        <rFont val="Verdana"/>
        <family val="2"/>
      </rPr>
      <t xml:space="preserve">
</t>
    </r>
  </si>
  <si>
    <r>
      <t xml:space="preserve">EA IFA EZK, LNV, JenV                                                                                                                         </t>
    </r>
    <r>
      <rPr>
        <b/>
        <sz val="12"/>
        <color rgb="FFFF0000"/>
        <rFont val="Verdana"/>
        <family val="2"/>
      </rPr>
      <t xml:space="preserve">Versie Nota van Inlichtingen 2 </t>
    </r>
    <r>
      <rPr>
        <b/>
        <sz val="12"/>
        <color theme="3"/>
        <rFont val="Verdana"/>
        <family val="2"/>
      </rPr>
      <t xml:space="preserve"> </t>
    </r>
  </si>
  <si>
    <t xml:space="preserve">Versie Nota van Inlichtingen 2  </t>
  </si>
  <si>
    <t>Versie Nota van Inlichtingen 2</t>
  </si>
  <si>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t>
    </r>
    <r>
      <rPr>
        <sz val="8"/>
        <color rgb="FFFF0000"/>
        <rFont val="Verdana"/>
        <family val="2"/>
      </rPr>
      <t xml:space="preserve">Daarom zijn deze premies door Aanbestedende dienst al ingevuld. </t>
    </r>
    <r>
      <rPr>
        <sz val="8"/>
        <rFont val="Verdana"/>
        <family val="2"/>
      </rPr>
      <t xml:space="preserve"> 
Uitgangspunt is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 
</t>
    </r>
    <r>
      <rPr>
        <strike/>
        <sz val="8"/>
        <color rgb="FFFF0000"/>
        <rFont val="Verdana"/>
        <family val="2"/>
      </rPr>
      <t>Op het moment van publicatie van deze aanbesteding zijn de definitieve wettelijke premies voor het jaar 2024 nog niet bekend. Op het moment van Inschrijving echter wel. Inschrijver dient daarom deze wettelijke premies bij Inschrijving zelf in te vullen.</t>
    </r>
  </si>
  <si>
    <r>
      <rPr>
        <b/>
        <sz val="8"/>
        <color rgb="FF0070C0"/>
        <rFont val="Verdana"/>
        <family val="2"/>
      </rPr>
      <t xml:space="preserve">Bedrijfsspecifieke kostprijsvariabele, binnen door de toepasselijke uitzendcao ABU en NBBU gestelde kaders en jaarlijks vastgestelde maximale waardes.  
</t>
    </r>
    <r>
      <rPr>
        <sz val="8"/>
        <rFont val="Verdana"/>
        <family val="2"/>
      </rPr>
      <t xml:space="preserve">De maximale hoogte van de ZW-A premie wordt per risicopremiegroep jaarlijks door de ABU en NBBU vastgesteld. Dat betekent voor deze Tariefstelling dat de door Inschrijver ingevulde premie niet hoger mag zijn dan de door de voor 2024 door de ABU en NBBU vastgestelde maximale premie voor risciopremiegroep 1.
Op het moment van publicatie van deze aanbesteding zijn de definitieve maximale premies voor het jaar 2024 nog niet bekend. Daarom is de maximale premie voor risicopremiegroep 1 hier niet vermeld. Op het moment van Inschrijving is deze echter wel bekend. 
Indien gewenst kan Inschrijver ervoor kiezen het een gedeelte van deze premie door te berekenen aan de Uitzendkracht. In dat geval wordt deze inhouding een-op-een van de hier door Inschrijver in te vullen premie afgetrokken. 
In 2024 geldt conform de ABU en NBBU-cao de volgende maximale inhouding door Opdrachtnemer op het loon van de Uitzendkracht:
risicopremiegroep 1: 0,3000%
</t>
    </r>
    <r>
      <rPr>
        <sz val="8"/>
        <color theme="0" tint="-0.499984740745262"/>
        <rFont val="Verdana"/>
        <family val="2"/>
      </rPr>
      <t xml:space="preserve">risicopremiegroep 2: 0,7000%, maar in deze aanbesteding niet van toepassing.  </t>
    </r>
  </si>
  <si>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5A)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recent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10.24, 10.27 en de instructies en toelichtingen in deze Tariefstelling (bijlage 5A).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t>
    </r>
    <r>
      <rPr>
        <sz val="9"/>
        <color rgb="FFFF0000"/>
        <rFont val="Verdana"/>
        <family val="2"/>
      </rPr>
      <t xml:space="preserve">De niet-bedrijfsspecifieke kostprijsvariabelen heeft Aanbestedende dienst in de loonsomfactoren in deze Tariefstelling (bijlage 5A, v.NvI 2) ingevuld in daartoe bestemde witte, beveiligde velden in kolom D van tabblad 2a en 2b. Inschrijver mag deze witte velden niet aanpassen.
Zie ook de instructies en toelichtingen in deze Tariefstelling (bijlage 5A) en hoofdstuk 5 van het Beschrijvend Document. </t>
    </r>
    <r>
      <rPr>
        <sz val="9"/>
        <rFont val="Verdana"/>
        <family val="2"/>
      </rPr>
      <t xml:space="preserve">
</t>
    </r>
    <r>
      <rPr>
        <strike/>
        <u/>
        <sz val="9"/>
        <color rgb="FFFF0000"/>
        <rFont val="Verdana"/>
        <family val="2"/>
      </rPr>
      <t>De op het moment van publicatie van deze aanbesteding definitief voor het jaar 2024 vastgestelde niet-bedrijfsspecifieke kostprijsvariabelen heeft Aanbestedende dienst in de loonsomfactoren van de Tariefstelling (bijlagen 5) al ingevuld in daartoe bestemde witte, beveiligde velden in kolom D. Inschrijver mag deze witte velden niet aanpassen. Inschrijver dient de op het moment van publicatie de voor het jaar 2024 nog niet definitief vastgestelde niet-bedrijfsspecifieke kostprijsvariabelen in de daartoe bestemde gele velden in de Loonsomfactoren in tabbladen 2a en 2b van de Tariefstelling (bijlagen 5) in te vullen. Zie ook de instructies en toelichtingen in deze Tariefstelling (bijlage 5A) en hoofdstuk 5 van het Beschrijvend Document.</t>
    </r>
    <r>
      <rPr>
        <strike/>
        <sz val="9"/>
        <color rgb="FFFF0000"/>
        <rFont val="Verdana"/>
        <family val="2"/>
      </rPr>
      <t xml:space="preserve"> </t>
    </r>
  </si>
  <si>
    <r>
      <t xml:space="preserve">Op grond van de ABU- en NBBU-cao is de afdracht van dit percentage in fase A/1,2 verplicht. 
Het door de SFU in een lopend jaar vastgestelde percentage is leidend bij de vaststelling voor het opvolgende kalenderjaar. Voorbeeld: bij de vaststelling van de tariefstelling voor 2024 in december 2023 geldt het percentage zoals dat in de loop van 2023 door de SFU is vastgesteld. Dit percentage wordt een-op-een in delLoonsomfactor overgenomen. </t>
    </r>
    <r>
      <rPr>
        <strike/>
        <sz val="8"/>
        <color rgb="FFFF0000"/>
        <rFont val="Verdana"/>
        <family val="2"/>
      </rPr>
      <t>In 2023 is het door de SFU vastgestelde percentage 0,075%</t>
    </r>
    <r>
      <rPr>
        <sz val="8"/>
        <color rgb="FFFF0000"/>
        <rFont val="Verdana"/>
        <family val="2"/>
      </rPr>
      <t>. Begin december 2023 werd bekend dat de SFU-reservering voor  kalenderjaar 2024 definitief 0,15%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</si>
</sst>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0.0000_ ;\-#,##0.0000\ "/>
    <numFmt numFmtId="169" formatCode="_ [$€-413]\ * #,##0.00_ ;_ [$€-413]\ * \-#,##0.00_ ;_ [$€-413]\ * &quot;-&quot;??_ ;_ @_ "/>
  </numFmts>
  <fonts count="109"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amily val="2"/>
    </font>
    <font>
      <b/>
      <u/>
      <sz val="10"/>
      <color rgb="FFFF0000"/>
      <name val="Verdana"/>
      <family val="2"/>
    </font>
    <font>
      <b/>
      <sz val="10"/>
      <name val="Arial"/>
      <family val="2"/>
    </font>
    <font>
      <b/>
      <sz val="12"/>
      <color rgb="FF0070C0"/>
      <name val="Verdana"/>
      <family val="2"/>
    </font>
    <font>
      <b/>
      <sz val="14"/>
      <color rgb="FF0070C0"/>
      <name val="Verdana"/>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sz val="9"/>
      <color rgb="FFFF0000"/>
      <name val="Arial"/>
      <family val="2"/>
    </font>
    <font>
      <sz val="8"/>
      <color rgb="FFFF0000"/>
      <name val="Verdana"/>
      <family val="2"/>
    </font>
    <font>
      <sz val="14"/>
      <name val="Verdana"/>
      <family val="2"/>
    </font>
    <font>
      <b/>
      <sz val="16"/>
      <color theme="3"/>
      <name val="Verdana"/>
      <family val="2"/>
    </font>
    <font>
      <b/>
      <sz val="10"/>
      <color theme="1"/>
      <name val="Verdana"/>
      <family val="2"/>
    </font>
    <font>
      <b/>
      <sz val="9"/>
      <color rgb="FF0070C0"/>
      <name val="Verdana"/>
      <family val="2"/>
    </font>
    <font>
      <b/>
      <sz val="10"/>
      <color rgb="FF0070C0"/>
      <name val="Verdana"/>
      <family val="2"/>
    </font>
    <font>
      <u/>
      <sz val="9"/>
      <name val="Verdana"/>
      <family val="2"/>
    </font>
    <font>
      <b/>
      <sz val="8"/>
      <color rgb="FF0070C0"/>
      <name val="Verdana"/>
      <family val="2"/>
    </font>
    <font>
      <sz val="8"/>
      <color theme="0" tint="-0.499984740745262"/>
      <name val="Verdana"/>
      <family val="2"/>
    </font>
    <font>
      <b/>
      <sz val="8"/>
      <color theme="0" tint="-0.499984740745262"/>
      <name val="Verdana"/>
      <family val="2"/>
    </font>
    <font>
      <sz val="11"/>
      <name val="Arial"/>
      <family val="2"/>
    </font>
    <font>
      <b/>
      <sz val="14"/>
      <color rgb="FF002060"/>
      <name val="Verdana"/>
      <family val="2"/>
    </font>
    <font>
      <b/>
      <u/>
      <sz val="9"/>
      <name val="Verdana"/>
      <family val="2"/>
    </font>
    <font>
      <strike/>
      <u/>
      <sz val="9"/>
      <color rgb="FFFF0000"/>
      <name val="Verdana"/>
      <family val="2"/>
    </font>
    <font>
      <strike/>
      <sz val="9"/>
      <color rgb="FFFF0000"/>
      <name val="Verdana"/>
      <family val="2"/>
    </font>
    <font>
      <strike/>
      <sz val="8"/>
      <color rgb="FFFF0000"/>
      <name val="Verdana"/>
      <family val="2"/>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0C0C0"/>
        <bgColor rgb="FFC0C0C0"/>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8">
    <xf numFmtId="0" fontId="0" fillId="0" borderId="0"/>
    <xf numFmtId="164" fontId="2" fillId="0" borderId="0" applyFont="0" applyFill="0" applyBorder="0" applyAlignment="0" applyProtection="0"/>
    <xf numFmtId="0" fontId="4" fillId="0" borderId="0"/>
    <xf numFmtId="44" fontId="33" fillId="0" borderId="0" applyFont="0" applyFill="0" applyBorder="0" applyAlignment="0" applyProtection="0"/>
    <xf numFmtId="9" fontId="77" fillId="0" borderId="0" applyFont="0" applyFill="0" applyBorder="0" applyAlignment="0" applyProtection="0"/>
    <xf numFmtId="0" fontId="1" fillId="0" borderId="0"/>
    <xf numFmtId="44" fontId="2" fillId="0" borderId="0" applyFont="0" applyFill="0" applyBorder="0" applyAlignment="0" applyProtection="0"/>
    <xf numFmtId="0" fontId="2" fillId="0" borderId="0"/>
  </cellStyleXfs>
  <cellXfs count="549">
    <xf numFmtId="0" fontId="0" fillId="0" borderId="0" xfId="0"/>
    <xf numFmtId="0" fontId="14"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5" fillId="0" borderId="0" xfId="0" applyFont="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4" fillId="3" borderId="1" xfId="0" applyFont="1" applyFill="1" applyBorder="1" applyProtection="1">
      <protection locked="0"/>
    </xf>
    <xf numFmtId="0" fontId="2" fillId="0" borderId="0" xfId="0" applyFont="1" applyAlignment="1">
      <alignment vertical="top"/>
    </xf>
    <xf numFmtId="0" fontId="9" fillId="0" borderId="0" xfId="0" applyFont="1" applyAlignment="1">
      <alignment vertical="top"/>
    </xf>
    <xf numFmtId="0" fontId="16"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165" fontId="4" fillId="0" borderId="1" xfId="0" applyNumberFormat="1" applyFont="1" applyBorder="1"/>
    <xf numFmtId="0" fontId="4" fillId="0" borderId="1" xfId="0" applyFont="1" applyBorder="1" applyAlignment="1">
      <alignment vertical="top"/>
    </xf>
    <xf numFmtId="166" fontId="4" fillId="4" borderId="1" xfId="0" applyNumberFormat="1" applyFont="1" applyFill="1" applyBorder="1" applyAlignment="1">
      <alignment vertical="top"/>
    </xf>
    <xf numFmtId="165" fontId="4" fillId="0" borderId="1" xfId="0" applyNumberFormat="1" applyFont="1" applyBorder="1" applyAlignment="1">
      <alignment vertical="top"/>
    </xf>
    <xf numFmtId="165" fontId="10" fillId="0" borderId="1" xfId="0" applyNumberFormat="1" applyFont="1" applyBorder="1" applyAlignment="1">
      <alignment vertical="top" wrapText="1"/>
    </xf>
    <xf numFmtId="166" fontId="6" fillId="0" borderId="1" xfId="0" applyNumberFormat="1" applyFont="1" applyBorder="1"/>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166" fontId="4" fillId="4" borderId="1" xfId="0" applyNumberFormat="1" applyFont="1" applyFill="1" applyBorder="1" applyAlignment="1">
      <alignment vertical="top" wrapText="1"/>
    </xf>
    <xf numFmtId="0" fontId="4" fillId="4" borderId="1" xfId="0" applyFont="1" applyFill="1" applyBorder="1" applyAlignment="1">
      <alignment vertical="top" wrapText="1"/>
    </xf>
    <xf numFmtId="0" fontId="4" fillId="3" borderId="1" xfId="0" applyFont="1" applyFill="1" applyBorder="1"/>
    <xf numFmtId="0" fontId="6"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6"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4" fillId="0" borderId="0" xfId="0" applyFont="1"/>
    <xf numFmtId="0" fontId="16" fillId="3" borderId="10" xfId="0" applyFont="1" applyFill="1" applyBorder="1"/>
    <xf numFmtId="0" fontId="4" fillId="3" borderId="10" xfId="0" applyFont="1" applyFill="1" applyBorder="1"/>
    <xf numFmtId="0" fontId="16" fillId="3" borderId="1" xfId="0" applyFont="1" applyFill="1" applyBorder="1"/>
    <xf numFmtId="0" fontId="21" fillId="0" borderId="1" xfId="0" applyFont="1" applyBorder="1" applyAlignment="1">
      <alignment vertical="top" wrapText="1"/>
    </xf>
    <xf numFmtId="165" fontId="6" fillId="4" borderId="1" xfId="0" applyNumberFormat="1" applyFont="1" applyFill="1" applyBorder="1" applyAlignment="1">
      <alignment vertical="top" wrapText="1"/>
    </xf>
    <xf numFmtId="0" fontId="4" fillId="0" borderId="0" xfId="0" applyFont="1" applyAlignment="1">
      <alignment vertical="top"/>
    </xf>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7" fillId="0" borderId="0" xfId="0" applyFont="1"/>
    <xf numFmtId="0" fontId="8" fillId="0" borderId="0" xfId="0" applyFont="1" applyAlignment="1">
      <alignment vertical="top"/>
    </xf>
    <xf numFmtId="0" fontId="18" fillId="0" borderId="1" xfId="0" applyFont="1" applyBorder="1" applyAlignment="1">
      <alignment vertical="top" wrapText="1"/>
    </xf>
    <xf numFmtId="0" fontId="26" fillId="0" borderId="0" xfId="0" applyFont="1" applyAlignment="1">
      <alignment vertical="top"/>
    </xf>
    <xf numFmtId="0" fontId="11" fillId="0" borderId="0" xfId="0" applyFont="1" applyAlignment="1">
      <alignment vertical="top"/>
    </xf>
    <xf numFmtId="0" fontId="27" fillId="0" borderId="0" xfId="0" applyFont="1" applyAlignment="1">
      <alignment wrapText="1"/>
    </xf>
    <xf numFmtId="0" fontId="18" fillId="0" borderId="0" xfId="0" applyFont="1"/>
    <xf numFmtId="10" fontId="4" fillId="0" borderId="0" xfId="0" applyNumberFormat="1" applyFont="1"/>
    <xf numFmtId="0" fontId="18" fillId="0" borderId="1" xfId="0" applyFont="1" applyBorder="1"/>
    <xf numFmtId="0" fontId="29" fillId="0" borderId="0" xfId="0" applyFont="1"/>
    <xf numFmtId="0" fontId="12"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0" fontId="26" fillId="0" borderId="0" xfId="0" applyFont="1" applyAlignment="1" applyProtection="1">
      <alignment vertical="top"/>
      <protection locked="0"/>
    </xf>
    <xf numFmtId="165" fontId="4" fillId="4" borderId="1" xfId="0" applyNumberFormat="1" applyFont="1" applyFill="1" applyBorder="1" applyAlignment="1">
      <alignment vertical="top" wrapText="1"/>
    </xf>
    <xf numFmtId="165" fontId="10"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165" fontId="10" fillId="0" borderId="2" xfId="5" applyNumberFormat="1" applyFont="1" applyBorder="1" applyAlignment="1">
      <alignment vertical="top" wrapText="1"/>
    </xf>
    <xf numFmtId="0" fontId="4" fillId="0" borderId="0" xfId="0" applyFont="1" applyAlignment="1">
      <alignment wrapText="1"/>
    </xf>
    <xf numFmtId="0" fontId="0" fillId="0" borderId="0" xfId="0" applyAlignment="1">
      <alignment wrapText="1"/>
    </xf>
    <xf numFmtId="165" fontId="10" fillId="0" borderId="1" xfId="0" applyNumberFormat="1" applyFont="1" applyBorder="1" applyAlignment="1">
      <alignment vertical="top" wrapText="1"/>
    </xf>
    <xf numFmtId="2" fontId="79" fillId="4" borderId="0" xfId="0" applyNumberFormat="1" applyFont="1" applyFill="1" applyBorder="1" applyAlignment="1"/>
    <xf numFmtId="0" fontId="80" fillId="0" borderId="0" xfId="0" applyFont="1" applyAlignment="1">
      <alignment vertical="top"/>
    </xf>
    <xf numFmtId="0" fontId="30" fillId="0" borderId="0" xfId="0" applyFont="1" applyAlignment="1">
      <alignment vertical="top"/>
    </xf>
    <xf numFmtId="0" fontId="81" fillId="0" borderId="0" xfId="0" applyFont="1" applyAlignment="1">
      <alignment vertical="top"/>
    </xf>
    <xf numFmtId="0" fontId="85" fillId="4" borderId="0" xfId="0" applyFont="1" applyFill="1" applyBorder="1"/>
    <xf numFmtId="0" fontId="87" fillId="0" borderId="0" xfId="0" applyFont="1" applyAlignment="1">
      <alignment vertical="top"/>
    </xf>
    <xf numFmtId="0" fontId="0" fillId="0" borderId="0" xfId="0" applyProtection="1"/>
    <xf numFmtId="0" fontId="53" fillId="0" borderId="0" xfId="0" applyFont="1" applyAlignment="1">
      <alignment vertical="top"/>
    </xf>
    <xf numFmtId="0" fontId="7" fillId="0" borderId="0" xfId="0" applyFont="1" applyProtection="1"/>
    <xf numFmtId="0" fontId="17" fillId="0" borderId="0" xfId="0" applyFont="1" applyAlignment="1" applyProtection="1">
      <alignment vertical="top" wrapText="1"/>
    </xf>
    <xf numFmtId="0" fontId="8" fillId="0" borderId="0" xfId="0" applyFont="1" applyAlignment="1">
      <alignment wrapText="1"/>
    </xf>
    <xf numFmtId="0" fontId="12" fillId="0" borderId="0" xfId="0" applyFont="1" applyAlignment="1" applyProtection="1">
      <alignment wrapText="1"/>
    </xf>
    <xf numFmtId="0" fontId="6" fillId="0" borderId="1" xfId="0" applyFont="1" applyBorder="1" applyAlignment="1" applyProtection="1">
      <alignment wrapText="1"/>
    </xf>
    <xf numFmtId="165" fontId="4" fillId="0" borderId="1" xfId="0" applyNumberFormat="1" applyFont="1" applyBorder="1" applyAlignment="1" applyProtection="1">
      <alignment horizontal="center"/>
    </xf>
    <xf numFmtId="9" fontId="6" fillId="0" borderId="1" xfId="0" applyNumberFormat="1" applyFont="1" applyBorder="1" applyProtection="1"/>
    <xf numFmtId="165" fontId="6" fillId="0" borderId="1" xfId="0" applyNumberFormat="1" applyFont="1" applyBorder="1" applyProtection="1"/>
    <xf numFmtId="0" fontId="16" fillId="0" borderId="0" xfId="0" applyFont="1" applyAlignment="1" applyProtection="1">
      <alignment wrapText="1"/>
    </xf>
    <xf numFmtId="0" fontId="16" fillId="0" borderId="0" xfId="0" applyFont="1" applyProtection="1"/>
    <xf numFmtId="0" fontId="2" fillId="0" borderId="0" xfId="0" applyFont="1" applyProtection="1"/>
    <xf numFmtId="0" fontId="88" fillId="0" borderId="0" xfId="0" applyFont="1" applyAlignment="1" applyProtection="1">
      <alignment wrapText="1"/>
    </xf>
    <xf numFmtId="165" fontId="89" fillId="7" borderId="1" xfId="0" applyNumberFormat="1" applyFont="1" applyFill="1" applyBorder="1" applyAlignment="1" applyProtection="1">
      <alignment vertical="center"/>
    </xf>
    <xf numFmtId="0" fontId="25" fillId="0" borderId="0" xfId="0" applyFont="1" applyProtection="1"/>
    <xf numFmtId="0" fontId="8" fillId="0" borderId="0" xfId="0" applyFont="1" applyProtection="1"/>
    <xf numFmtId="0" fontId="6" fillId="0" borderId="0" xfId="0" applyFont="1" applyFill="1" applyProtection="1"/>
    <xf numFmtId="0" fontId="6" fillId="0" borderId="0" xfId="0" applyFont="1" applyProtection="1"/>
    <xf numFmtId="0" fontId="9" fillId="0" borderId="0" xfId="0" applyFont="1" applyProtection="1"/>
    <xf numFmtId="0" fontId="79" fillId="0" borderId="0" xfId="0" applyFont="1" applyProtection="1"/>
    <xf numFmtId="0" fontId="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Fill="1" applyProtection="1"/>
    <xf numFmtId="0" fontId="7" fillId="0" borderId="0" xfId="0" applyFont="1" applyAlignment="1" applyProtection="1">
      <alignment horizontal="center"/>
    </xf>
    <xf numFmtId="0" fontId="24" fillId="0" borderId="0" xfId="0" applyFont="1" applyProtection="1"/>
    <xf numFmtId="165" fontId="12" fillId="0" borderId="0" xfId="0" applyNumberFormat="1" applyFont="1" applyAlignment="1" applyProtection="1">
      <alignment horizontal="right"/>
    </xf>
    <xf numFmtId="165" fontId="90" fillId="7" borderId="0" xfId="0" applyNumberFormat="1" applyFont="1" applyFill="1" applyProtection="1"/>
    <xf numFmtId="0" fontId="19" fillId="0" borderId="0" xfId="0" applyFont="1" applyProtection="1"/>
    <xf numFmtId="0" fontId="23" fillId="0" borderId="0" xfId="0" applyFont="1" applyProtection="1"/>
    <xf numFmtId="44" fontId="0" fillId="0" borderId="0" xfId="6" applyFont="1" applyProtection="1"/>
    <xf numFmtId="44" fontId="23" fillId="0" borderId="0" xfId="6" applyFont="1" applyAlignment="1" applyProtection="1">
      <alignment horizontal="right"/>
    </xf>
    <xf numFmtId="44" fontId="91" fillId="0" borderId="0" xfId="6" applyFont="1" applyProtection="1"/>
    <xf numFmtId="44" fontId="92" fillId="0" borderId="0" xfId="6" applyFont="1" applyProtection="1"/>
    <xf numFmtId="44" fontId="9" fillId="0" borderId="0" xfId="6" applyFont="1" applyProtection="1"/>
    <xf numFmtId="0" fontId="32" fillId="0" borderId="0" xfId="0" applyFont="1" applyAlignment="1"/>
    <xf numFmtId="0" fontId="79" fillId="0" borderId="0" xfId="0" applyFont="1" applyBorder="1" applyAlignment="1">
      <alignment wrapText="1"/>
    </xf>
    <xf numFmtId="0" fontId="15" fillId="0" borderId="0" xfId="0" applyFont="1" applyProtection="1"/>
    <xf numFmtId="0" fontId="0" fillId="0" borderId="0" xfId="0" applyProtection="1">
      <protection locked="0"/>
    </xf>
    <xf numFmtId="0" fontId="6" fillId="0" borderId="5" xfId="0" applyFont="1" applyBorder="1" applyAlignment="1" applyProtection="1">
      <alignment vertical="center" wrapText="1"/>
    </xf>
    <xf numFmtId="0" fontId="0" fillId="0" borderId="0" xfId="0" applyAlignment="1" applyProtection="1">
      <alignment horizontal="center"/>
      <protection locked="0"/>
    </xf>
    <xf numFmtId="0" fontId="0" fillId="0" borderId="0" xfId="0" applyAlignment="1" applyProtection="1">
      <alignment horizontal="center"/>
    </xf>
    <xf numFmtId="0" fontId="84" fillId="0" borderId="1" xfId="0" applyFont="1" applyBorder="1" applyAlignment="1">
      <alignment vertical="center"/>
    </xf>
    <xf numFmtId="166" fontId="4" fillId="6" borderId="1" xfId="0" applyNumberFormat="1" applyFont="1" applyFill="1" applyBorder="1" applyAlignment="1" applyProtection="1">
      <alignment vertical="top" wrapText="1"/>
      <protection locked="0"/>
    </xf>
    <xf numFmtId="166" fontId="6" fillId="6" borderId="1" xfId="0" applyNumberFormat="1" applyFont="1" applyFill="1" applyBorder="1" applyProtection="1">
      <protection locked="0"/>
    </xf>
    <xf numFmtId="0" fontId="6" fillId="0" borderId="10" xfId="5" applyFont="1" applyBorder="1" applyAlignment="1">
      <alignment horizontal="left" vertical="top"/>
    </xf>
    <xf numFmtId="166" fontId="4" fillId="9" borderId="1" xfId="4" applyNumberFormat="1" applyFont="1" applyFill="1" applyBorder="1" applyAlignment="1">
      <alignmen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17" fillId="0" borderId="1" xfId="5" applyFont="1" applyBorder="1" applyAlignment="1">
      <alignment vertical="top"/>
    </xf>
    <xf numFmtId="166" fontId="4" fillId="9" borderId="1" xfId="5" applyNumberFormat="1" applyFont="1" applyFill="1" applyBorder="1" applyAlignment="1">
      <alignment vertical="top"/>
    </xf>
    <xf numFmtId="165" fontId="93" fillId="0" borderId="1" xfId="0" applyNumberFormat="1" applyFont="1" applyBorder="1" applyAlignment="1">
      <alignment vertical="top" wrapText="1"/>
    </xf>
    <xf numFmtId="165" fontId="10" fillId="0" borderId="1" xfId="0" applyNumberFormat="1" applyFont="1" applyBorder="1" applyAlignment="1">
      <alignment vertical="top" wrapText="1"/>
    </xf>
    <xf numFmtId="0" fontId="6" fillId="11" borderId="1" xfId="0" applyNumberFormat="1" applyFont="1" applyFill="1" applyBorder="1" applyAlignment="1">
      <alignment vertical="center" wrapText="1"/>
    </xf>
    <xf numFmtId="0" fontId="96" fillId="12" borderId="20" xfId="0" applyFont="1" applyFill="1" applyBorder="1" applyAlignment="1">
      <alignment vertical="top"/>
    </xf>
    <xf numFmtId="0" fontId="96" fillId="12" borderId="21" xfId="0" applyFont="1" applyFill="1" applyBorder="1" applyAlignment="1">
      <alignment vertical="top"/>
    </xf>
    <xf numFmtId="0" fontId="96" fillId="12" borderId="21" xfId="0" applyFont="1" applyFill="1" applyBorder="1" applyAlignment="1">
      <alignment vertical="top" wrapText="1"/>
    </xf>
    <xf numFmtId="166" fontId="4" fillId="6" borderId="1" xfId="0" applyNumberFormat="1" applyFont="1" applyFill="1" applyBorder="1" applyProtection="1">
      <protection locked="0"/>
    </xf>
    <xf numFmtId="0" fontId="98" fillId="2" borderId="1" xfId="0" applyFont="1" applyFill="1" applyBorder="1" applyAlignment="1">
      <alignment vertical="top"/>
    </xf>
    <xf numFmtId="168" fontId="26" fillId="7" borderId="0" xfId="6" applyNumberFormat="1" applyFont="1" applyFill="1" applyProtection="1"/>
    <xf numFmtId="0" fontId="6" fillId="10" borderId="2" xfId="0" applyFont="1" applyFill="1" applyBorder="1" applyAlignment="1" applyProtection="1">
      <alignment vertical="center" wrapText="1"/>
    </xf>
    <xf numFmtId="0" fontId="6" fillId="10" borderId="1" xfId="0" applyFont="1" applyFill="1" applyBorder="1" applyAlignment="1" applyProtection="1">
      <alignment horizontal="center" vertical="center" wrapText="1"/>
    </xf>
    <xf numFmtId="0" fontId="6" fillId="10" borderId="1" xfId="0" applyFont="1" applyFill="1" applyBorder="1" applyAlignment="1" applyProtection="1">
      <alignment vertical="center" wrapText="1"/>
    </xf>
    <xf numFmtId="0" fontId="89" fillId="7" borderId="15" xfId="0" applyFont="1" applyFill="1" applyBorder="1" applyAlignment="1" applyProtection="1">
      <alignment vertical="center" wrapText="1"/>
    </xf>
    <xf numFmtId="0" fontId="6" fillId="2" borderId="1" xfId="0" applyFont="1" applyFill="1" applyBorder="1" applyAlignment="1">
      <alignment vertical="top"/>
    </xf>
    <xf numFmtId="0" fontId="23" fillId="0" borderId="1" xfId="0" applyFont="1" applyBorder="1" applyAlignment="1">
      <alignment vertical="top" wrapText="1"/>
    </xf>
    <xf numFmtId="166" fontId="4" fillId="4" borderId="1" xfId="0" applyNumberFormat="1" applyFont="1" applyFill="1" applyBorder="1" applyAlignment="1" applyProtection="1">
      <alignment vertical="top"/>
    </xf>
    <xf numFmtId="165" fontId="100" fillId="0" borderId="1" xfId="0" applyNumberFormat="1" applyFont="1" applyBorder="1" applyAlignment="1">
      <alignment vertical="top" wrapText="1"/>
    </xf>
    <xf numFmtId="166" fontId="4" fillId="4" borderId="1" xfId="0" applyNumberFormat="1" applyFont="1" applyFill="1" applyBorder="1" applyAlignment="1" applyProtection="1">
      <alignment vertical="top" wrapText="1"/>
    </xf>
    <xf numFmtId="0" fontId="6" fillId="3" borderId="1" xfId="0" applyFont="1" applyFill="1" applyBorder="1" applyAlignment="1" applyProtection="1">
      <alignment horizontal="left" vertical="top" wrapText="1"/>
      <protection locked="0"/>
    </xf>
    <xf numFmtId="165" fontId="21" fillId="0" borderId="1" xfId="0" applyNumberFormat="1" applyFont="1" applyBorder="1" applyAlignment="1">
      <alignment vertical="top"/>
    </xf>
    <xf numFmtId="0" fontId="21" fillId="0" borderId="1" xfId="0" applyFont="1" applyBorder="1" applyAlignment="1">
      <alignment vertical="top"/>
    </xf>
    <xf numFmtId="0" fontId="6" fillId="4" borderId="1" xfId="0" applyNumberFormat="1" applyFont="1" applyFill="1" applyBorder="1" applyAlignment="1">
      <alignment horizontal="center" vertical="center"/>
    </xf>
    <xf numFmtId="0" fontId="6" fillId="4" borderId="1" xfId="0" applyNumberFormat="1" applyFont="1" applyFill="1" applyBorder="1" applyAlignment="1"/>
    <xf numFmtId="169" fontId="4" fillId="4" borderId="1" xfId="0" applyNumberFormat="1" applyFont="1" applyFill="1" applyBorder="1" applyAlignment="1"/>
    <xf numFmtId="0" fontId="11" fillId="0" borderId="0" xfId="0" applyFont="1" applyAlignment="1">
      <alignment vertical="top" wrapText="1"/>
    </xf>
    <xf numFmtId="0" fontId="7" fillId="0" borderId="8" xfId="0" applyFont="1" applyBorder="1" applyAlignment="1">
      <alignment vertical="top" wrapText="1"/>
    </xf>
    <xf numFmtId="0" fontId="7" fillId="0" borderId="8" xfId="0" applyFont="1" applyBorder="1" applyAlignment="1">
      <alignment vertical="top" wrapText="1"/>
    </xf>
    <xf numFmtId="165" fontId="4" fillId="4" borderId="1" xfId="0" applyNumberFormat="1" applyFont="1" applyFill="1" applyBorder="1" applyAlignment="1">
      <alignment vertical="top"/>
    </xf>
    <xf numFmtId="165" fontId="6" fillId="4" borderId="1" xfId="5" applyNumberFormat="1" applyFont="1" applyFill="1" applyBorder="1" applyAlignment="1">
      <alignment vertical="top"/>
    </xf>
    <xf numFmtId="165" fontId="101" fillId="0" borderId="1" xfId="0" applyNumberFormat="1" applyFont="1" applyBorder="1" applyAlignment="1">
      <alignment vertical="top" wrapText="1"/>
    </xf>
    <xf numFmtId="166" fontId="21" fillId="4" borderId="1" xfId="0" applyNumberFormat="1" applyFont="1" applyFill="1" applyBorder="1" applyAlignment="1">
      <alignment vertical="top"/>
    </xf>
    <xf numFmtId="166" fontId="4" fillId="6" borderId="1" xfId="0" applyNumberFormat="1" applyFont="1" applyFill="1" applyBorder="1" applyAlignment="1" applyProtection="1">
      <alignment vertical="top"/>
      <protection locked="0"/>
    </xf>
    <xf numFmtId="2" fontId="4" fillId="0" borderId="0" xfId="0" applyNumberFormat="1" applyFont="1"/>
    <xf numFmtId="166" fontId="4" fillId="0" borderId="1" xfId="0" applyNumberFormat="1" applyFont="1" applyBorder="1" applyAlignment="1">
      <alignment vertical="top"/>
    </xf>
    <xf numFmtId="166" fontId="4" fillId="0" borderId="1" xfId="0" applyNumberFormat="1" applyFont="1" applyBorder="1" applyAlignment="1" applyProtection="1">
      <alignment vertical="top" wrapText="1"/>
    </xf>
    <xf numFmtId="165" fontId="4" fillId="0" borderId="1" xfId="5" applyNumberFormat="1" applyFont="1" applyBorder="1" applyAlignment="1">
      <alignment horizontal="left" vertical="top" wrapText="1"/>
    </xf>
    <xf numFmtId="0" fontId="8" fillId="0" borderId="0" xfId="0" applyFont="1" applyProtection="1">
      <protection locked="0"/>
    </xf>
    <xf numFmtId="165" fontId="17" fillId="0" borderId="1" xfId="7" applyNumberFormat="1" applyFont="1" applyBorder="1" applyAlignment="1" applyProtection="1">
      <alignment horizontal="right" vertical="center"/>
    </xf>
    <xf numFmtId="0" fontId="10" fillId="0" borderId="0" xfId="0" applyFont="1"/>
    <xf numFmtId="0" fontId="97" fillId="0" borderId="8" xfId="0" applyFont="1" applyBorder="1" applyAlignment="1">
      <alignment vertical="top" wrapText="1"/>
    </xf>
    <xf numFmtId="0" fontId="2" fillId="0" borderId="0" xfId="0" applyFont="1" applyAlignment="1">
      <alignment vertical="top" wrapText="1"/>
    </xf>
    <xf numFmtId="0" fontId="0" fillId="0" borderId="0" xfId="0" applyAlignment="1">
      <alignment vertical="top" wrapText="1"/>
    </xf>
    <xf numFmtId="165" fontId="10" fillId="0" borderId="1" xfId="0" applyNumberFormat="1" applyFont="1" applyBorder="1" applyAlignment="1">
      <alignment vertical="top" wrapText="1"/>
    </xf>
    <xf numFmtId="0" fontId="53" fillId="0" borderId="0" xfId="0" applyFont="1"/>
    <xf numFmtId="166" fontId="18" fillId="4" borderId="1" xfId="0" applyNumberFormat="1" applyFont="1" applyFill="1" applyBorder="1" applyAlignment="1" applyProtection="1">
      <alignment vertical="top" wrapText="1"/>
    </xf>
    <xf numFmtId="0" fontId="11" fillId="0" borderId="0" xfId="0" applyFont="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82" fillId="0" borderId="0" xfId="0" applyFont="1" applyAlignment="1">
      <alignment vertical="top" wrapText="1"/>
    </xf>
    <xf numFmtId="0" fontId="83" fillId="0" borderId="0" xfId="0" applyFont="1" applyAlignment="1">
      <alignment vertical="top" wrapText="1"/>
    </xf>
    <xf numFmtId="165" fontId="4" fillId="0" borderId="1" xfId="0" applyNumberFormat="1" applyFont="1" applyBorder="1"/>
    <xf numFmtId="0" fontId="4" fillId="0" borderId="1" xfId="0" applyFont="1" applyBorder="1"/>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0" fillId="0" borderId="1" xfId="0" applyNumberFormat="1" applyFont="1" applyBorder="1" applyAlignment="1">
      <alignment vertical="top" wrapText="1"/>
    </xf>
    <xf numFmtId="0" fontId="16" fillId="0" borderId="1" xfId="0" applyFont="1" applyBorder="1" applyAlignment="1">
      <alignment vertical="center"/>
    </xf>
    <xf numFmtId="0" fontId="4" fillId="0" borderId="1" xfId="0" applyFont="1" applyBorder="1" applyAlignment="1">
      <alignment vertical="center"/>
    </xf>
    <xf numFmtId="0" fontId="16" fillId="0" borderId="1" xfId="0" applyFont="1" applyBorder="1"/>
    <xf numFmtId="167" fontId="6" fillId="6" borderId="1" xfId="0" applyNumberFormat="1" applyFont="1" applyFill="1" applyBorder="1" applyAlignment="1" applyProtection="1">
      <alignment vertical="top" wrapText="1"/>
      <protection locked="0"/>
    </xf>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0" fontId="31" fillId="0" borderId="0" xfId="0" applyFont="1" applyAlignment="1">
      <alignment vertical="top" wrapText="1"/>
    </xf>
    <xf numFmtId="0" fontId="24" fillId="6" borderId="2" xfId="0" applyFont="1" applyFill="1" applyBorder="1" applyAlignment="1">
      <alignment wrapText="1"/>
    </xf>
    <xf numFmtId="0" fontId="103" fillId="6" borderId="3" xfId="0" applyFont="1" applyFill="1" applyBorder="1" applyAlignment="1">
      <alignment wrapText="1"/>
    </xf>
    <xf numFmtId="0" fontId="103" fillId="6" borderId="4" xfId="0" applyFont="1" applyFill="1" applyBorder="1" applyAlignment="1">
      <alignment wrapText="1"/>
    </xf>
    <xf numFmtId="0" fontId="53" fillId="0" borderId="0" xfId="0" applyFont="1" applyAlignment="1">
      <alignment vertical="top" wrapText="1"/>
    </xf>
    <xf numFmtId="0" fontId="32" fillId="0" borderId="0" xfId="0" applyFont="1" applyAlignment="1">
      <alignment wrapText="1"/>
    </xf>
    <xf numFmtId="165" fontId="4" fillId="0" borderId="2" xfId="0" applyNumberFormat="1" applyFont="1" applyBorder="1" applyAlignment="1"/>
    <xf numFmtId="0" fontId="0" fillId="0" borderId="4" xfId="0" applyBorder="1" applyAlignment="1"/>
    <xf numFmtId="165" fontId="6" fillId="6" borderId="14" xfId="0" applyNumberFormat="1" applyFont="1" applyFill="1" applyBorder="1" applyAlignment="1" applyProtection="1">
      <alignment vertical="top" wrapText="1"/>
      <protection locked="0"/>
    </xf>
    <xf numFmtId="165" fontId="4" fillId="6" borderId="9" xfId="0" applyNumberFormat="1" applyFont="1" applyFill="1" applyBorder="1" applyAlignment="1" applyProtection="1">
      <alignment vertical="top" wrapText="1"/>
      <protection locked="0"/>
    </xf>
    <xf numFmtId="165" fontId="4" fillId="6" borderId="12" xfId="0" applyNumberFormat="1" applyFont="1" applyFill="1" applyBorder="1" applyAlignment="1" applyProtection="1">
      <alignment vertical="top" wrapText="1"/>
      <protection locked="0"/>
    </xf>
    <xf numFmtId="165" fontId="4" fillId="6" borderId="15" xfId="0" applyNumberFormat="1" applyFont="1" applyFill="1" applyBorder="1" applyAlignment="1" applyProtection="1">
      <alignment vertical="top" wrapText="1"/>
      <protection locked="0"/>
    </xf>
    <xf numFmtId="165" fontId="4" fillId="6" borderId="0" xfId="0" applyNumberFormat="1" applyFont="1" applyFill="1" applyBorder="1" applyAlignment="1" applyProtection="1">
      <alignment vertical="top" wrapText="1"/>
      <protection locked="0"/>
    </xf>
    <xf numFmtId="165" fontId="4" fillId="6" borderId="13" xfId="0" applyNumberFormat="1" applyFont="1" applyFill="1" applyBorder="1" applyAlignment="1" applyProtection="1">
      <alignment vertical="top" wrapText="1"/>
      <protection locked="0"/>
    </xf>
    <xf numFmtId="165" fontId="4" fillId="6" borderId="16" xfId="0" applyNumberFormat="1" applyFont="1" applyFill="1" applyBorder="1" applyAlignment="1" applyProtection="1">
      <alignment vertical="top" wrapText="1"/>
      <protection locked="0"/>
    </xf>
    <xf numFmtId="165" fontId="4" fillId="6" borderId="6" xfId="0" applyNumberFormat="1" applyFont="1" applyFill="1" applyBorder="1" applyAlignment="1" applyProtection="1">
      <alignment vertical="top" wrapText="1"/>
      <protection locked="0"/>
    </xf>
    <xf numFmtId="165" fontId="4" fillId="6" borderId="11" xfId="0" applyNumberFormat="1" applyFont="1" applyFill="1" applyBorder="1" applyAlignment="1" applyProtection="1">
      <alignment vertical="top" wrapText="1"/>
      <protection locked="0"/>
    </xf>
    <xf numFmtId="0" fontId="4" fillId="0" borderId="2" xfId="5" applyFont="1" applyBorder="1"/>
    <xf numFmtId="0" fontId="4" fillId="0" borderId="4" xfId="5" applyFont="1" applyBorder="1"/>
    <xf numFmtId="0" fontId="4" fillId="0" borderId="2" xfId="7" applyFont="1" applyBorder="1" applyAlignment="1" applyProtection="1">
      <alignment horizontal="left" vertical="top" wrapText="1"/>
    </xf>
    <xf numFmtId="0" fontId="0" fillId="0" borderId="4" xfId="0" applyBorder="1" applyAlignment="1">
      <alignment horizontal="left" vertical="top" wrapText="1"/>
    </xf>
    <xf numFmtId="165" fontId="16" fillId="0" borderId="3" xfId="5" applyNumberFormat="1" applyFont="1" applyBorder="1" applyAlignment="1">
      <alignment horizontal="left" vertical="top" wrapText="1"/>
    </xf>
    <xf numFmtId="0" fontId="4" fillId="0" borderId="2" xfId="7" applyFont="1" applyBorder="1" applyAlignment="1" applyProtection="1">
      <alignment horizontal="left" vertical="center" wrapText="1"/>
    </xf>
    <xf numFmtId="0" fontId="4" fillId="0" borderId="4" xfId="7" applyFont="1" applyBorder="1" applyAlignment="1" applyProtection="1">
      <alignment horizontal="left" vertical="center" wrapText="1"/>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165" fontId="4" fillId="6" borderId="14" xfId="0" applyNumberFormat="1" applyFont="1" applyFill="1" applyBorder="1" applyAlignment="1" applyProtection="1">
      <alignment vertical="top" wrapText="1"/>
      <protection locked="0"/>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6" fillId="0" borderId="17"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0" borderId="19"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16" fillId="0" borderId="0" xfId="0" applyFont="1" applyAlignment="1" applyProtection="1">
      <alignment horizontal="left" wrapText="1"/>
    </xf>
    <xf numFmtId="0" fontId="16" fillId="6" borderId="2" xfId="0" applyFont="1" applyFill="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4"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66" fillId="0" borderId="1" xfId="0" applyFont="1" applyBorder="1"/>
    <xf numFmtId="0" fontId="55"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0" fontId="42" fillId="5" borderId="1" xfId="0" applyFont="1" applyFill="1" applyBorder="1" applyAlignment="1">
      <alignment vertical="top"/>
    </xf>
    <xf numFmtId="0" fontId="34" fillId="0" borderId="1" xfId="0" applyFont="1" applyBorder="1" applyAlignment="1">
      <alignment vertical="top"/>
    </xf>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1" xfId="0" applyFont="1" applyBorder="1" applyAlignment="1">
      <alignment vertical="top"/>
    </xf>
    <xf numFmtId="0" fontId="36" fillId="0" borderId="1" xfId="0" applyFont="1" applyBorder="1"/>
    <xf numFmtId="0" fontId="36" fillId="0" borderId="0" xfId="0" applyFont="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64" fillId="4" borderId="1" xfId="0" applyFont="1" applyFill="1" applyBorder="1" applyAlignment="1">
      <alignment horizontal="left" vertical="top"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57" fillId="0" borderId="1" xfId="0" applyFont="1" applyBorder="1" applyAlignment="1">
      <alignment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cellXfs>
  <cellStyles count="8">
    <cellStyle name="Euro" xfId="1"/>
    <cellStyle name="Procent" xfId="4" builtinId="5"/>
    <cellStyle name="Standaard" xfId="0" builtinId="0"/>
    <cellStyle name="Standaard 2" xfId="2"/>
    <cellStyle name="Standaard 3" xfId="7"/>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tabSelected="1" zoomScale="110" zoomScaleNormal="110" workbookViewId="0">
      <selection activeCell="K7" sqref="K7"/>
    </sheetView>
  </sheetViews>
  <sheetFormatPr defaultColWidth="9.140625" defaultRowHeight="12.75" x14ac:dyDescent="0.2"/>
  <cols>
    <col min="1" max="1" width="26.85546875" style="10" customWidth="1"/>
    <col min="2" max="2" width="134.140625" style="10" customWidth="1"/>
    <col min="3" max="3" width="32.5703125" style="10" customWidth="1"/>
    <col min="4" max="16384" width="9.140625" style="10"/>
  </cols>
  <sheetData>
    <row r="1" spans="1:17" s="35" customFormat="1" ht="22.5" customHeight="1" x14ac:dyDescent="0.2">
      <c r="A1" s="356" t="s">
        <v>271</v>
      </c>
      <c r="B1" s="357"/>
      <c r="C1" s="357"/>
      <c r="D1" s="357"/>
      <c r="E1" s="357"/>
      <c r="F1" s="357"/>
      <c r="G1" s="54"/>
    </row>
    <row r="2" spans="1:17" s="35" customFormat="1" ht="14.25" x14ac:dyDescent="0.2">
      <c r="A2" s="1"/>
      <c r="B2" s="54"/>
      <c r="C2" s="54"/>
      <c r="D2" s="54"/>
      <c r="E2" s="54"/>
      <c r="F2" s="54"/>
      <c r="G2" s="54"/>
    </row>
    <row r="3" spans="1:17" s="41" customFormat="1" ht="19.5" customHeight="1" x14ac:dyDescent="0.2">
      <c r="A3" s="255" t="s">
        <v>239</v>
      </c>
      <c r="B3" s="356" t="s">
        <v>338</v>
      </c>
      <c r="C3" s="359"/>
      <c r="D3" s="50"/>
      <c r="E3" s="50"/>
      <c r="F3" s="50"/>
      <c r="G3" s="358"/>
      <c r="H3" s="359"/>
      <c r="I3" s="359"/>
      <c r="J3" s="359"/>
      <c r="K3" s="359"/>
    </row>
    <row r="4" spans="1:17" s="41" customFormat="1" ht="36" customHeight="1" x14ac:dyDescent="0.2">
      <c r="A4" s="335" t="s">
        <v>297</v>
      </c>
      <c r="B4" s="49" t="s">
        <v>241</v>
      </c>
      <c r="C4" s="48"/>
      <c r="D4" s="49"/>
      <c r="E4" s="49"/>
      <c r="F4" s="35"/>
      <c r="G4" s="35"/>
      <c r="H4" s="35"/>
      <c r="I4" s="35"/>
      <c r="J4" s="35"/>
      <c r="K4" s="35"/>
      <c r="L4" s="35"/>
      <c r="M4" s="35"/>
      <c r="N4" s="35"/>
      <c r="O4" s="35"/>
    </row>
    <row r="5" spans="1:17" s="35" customFormat="1" ht="36" customHeight="1" x14ac:dyDescent="0.2">
      <c r="A5" s="314" t="s">
        <v>220</v>
      </c>
      <c r="B5" s="315" t="s">
        <v>221</v>
      </c>
      <c r="C5" s="316" t="s">
        <v>222</v>
      </c>
      <c r="D5" s="54"/>
      <c r="E5" s="54"/>
      <c r="F5" s="54"/>
      <c r="G5" s="54"/>
    </row>
    <row r="6" spans="1:17" ht="62.25" customHeight="1" x14ac:dyDescent="0.2">
      <c r="A6" s="2" t="s">
        <v>1</v>
      </c>
      <c r="B6" s="2" t="s">
        <v>259</v>
      </c>
      <c r="C6" s="2" t="s">
        <v>223</v>
      </c>
    </row>
    <row r="7" spans="1:17" ht="247.5" customHeight="1" x14ac:dyDescent="0.2">
      <c r="A7" s="2" t="s">
        <v>303</v>
      </c>
      <c r="B7" s="2" t="s">
        <v>315</v>
      </c>
      <c r="C7" s="2" t="s">
        <v>230</v>
      </c>
    </row>
    <row r="8" spans="1:17" ht="151.5" customHeight="1" x14ac:dyDescent="0.2">
      <c r="A8" s="2" t="s">
        <v>302</v>
      </c>
      <c r="B8" s="2" t="s">
        <v>333</v>
      </c>
      <c r="C8" s="336" t="s">
        <v>247</v>
      </c>
    </row>
    <row r="9" spans="1:17" ht="409.6" customHeight="1" x14ac:dyDescent="0.2">
      <c r="A9" s="337" t="s">
        <v>301</v>
      </c>
      <c r="B9" s="337" t="s">
        <v>329</v>
      </c>
      <c r="C9" s="5" t="s">
        <v>247</v>
      </c>
    </row>
    <row r="10" spans="1:17" ht="405" customHeight="1" x14ac:dyDescent="0.2">
      <c r="A10" s="3"/>
      <c r="B10" s="3" t="s">
        <v>343</v>
      </c>
      <c r="C10" s="360"/>
    </row>
    <row r="11" spans="1:17" ht="120" customHeight="1" x14ac:dyDescent="0.2">
      <c r="A11" s="3"/>
      <c r="B11" s="3" t="s">
        <v>316</v>
      </c>
      <c r="C11" s="361"/>
    </row>
    <row r="12" spans="1:17" ht="409.5" customHeight="1" x14ac:dyDescent="0.2">
      <c r="A12" s="336" t="s">
        <v>296</v>
      </c>
      <c r="B12" s="350" t="s">
        <v>305</v>
      </c>
      <c r="C12" s="360" t="s">
        <v>247</v>
      </c>
    </row>
    <row r="13" spans="1:17" ht="274.5" customHeight="1" x14ac:dyDescent="0.2">
      <c r="A13" s="3"/>
      <c r="B13" s="3" t="s">
        <v>330</v>
      </c>
      <c r="C13" s="361"/>
    </row>
    <row r="14" spans="1:17" ht="188.25" customHeight="1" x14ac:dyDescent="0.2">
      <c r="A14" s="360" t="s">
        <v>306</v>
      </c>
      <c r="B14" s="360" t="s">
        <v>335</v>
      </c>
      <c r="C14" s="360" t="s">
        <v>247</v>
      </c>
    </row>
    <row r="15" spans="1:17" ht="51" hidden="1" customHeight="1" x14ac:dyDescent="0.2">
      <c r="A15" s="361"/>
      <c r="B15" s="361"/>
      <c r="C15" s="361"/>
    </row>
    <row r="16" spans="1:17" ht="330.75" customHeight="1" x14ac:dyDescent="0.2">
      <c r="A16" s="5" t="s">
        <v>298</v>
      </c>
      <c r="B16" s="5" t="s">
        <v>334</v>
      </c>
      <c r="C16" s="5" t="s">
        <v>247</v>
      </c>
      <c r="F16" s="352"/>
      <c r="G16" s="352"/>
      <c r="H16" s="352"/>
      <c r="I16" s="352"/>
      <c r="J16" s="352"/>
      <c r="K16" s="352"/>
      <c r="L16" s="352"/>
      <c r="M16" s="352"/>
      <c r="N16" s="352"/>
      <c r="O16" s="352"/>
      <c r="P16" s="352"/>
      <c r="Q16" s="352"/>
    </row>
    <row r="17" spans="1:16" ht="392.25" customHeight="1" x14ac:dyDescent="0.2">
      <c r="A17" s="4"/>
      <c r="B17" s="5" t="s">
        <v>331</v>
      </c>
      <c r="C17" s="5"/>
      <c r="F17" s="351"/>
      <c r="G17" s="352"/>
      <c r="H17" s="352"/>
      <c r="I17" s="352"/>
      <c r="J17" s="352"/>
      <c r="K17" s="352"/>
      <c r="L17" s="352"/>
      <c r="M17" s="352"/>
      <c r="N17" s="352"/>
      <c r="O17" s="352"/>
      <c r="P17" s="352"/>
    </row>
    <row r="18" spans="1:16" ht="375" customHeight="1" x14ac:dyDescent="0.2">
      <c r="A18" s="4"/>
      <c r="B18" s="5" t="s">
        <v>307</v>
      </c>
      <c r="C18" s="5"/>
    </row>
    <row r="19" spans="1:16" ht="247.5" customHeight="1" x14ac:dyDescent="0.2">
      <c r="A19" s="4" t="s">
        <v>299</v>
      </c>
      <c r="B19" s="5" t="s">
        <v>300</v>
      </c>
      <c r="C19" s="5" t="s">
        <v>304</v>
      </c>
    </row>
    <row r="20" spans="1:16" ht="225.75" customHeight="1" x14ac:dyDescent="0.2">
      <c r="A20" s="5" t="s">
        <v>2</v>
      </c>
      <c r="B20" s="325" t="s">
        <v>337</v>
      </c>
      <c r="C20" s="5" t="s">
        <v>3</v>
      </c>
    </row>
    <row r="21" spans="1:16" ht="27.75" customHeight="1" x14ac:dyDescent="0.2">
      <c r="A21" s="6"/>
      <c r="B21" s="6"/>
      <c r="C21" s="6"/>
    </row>
    <row r="22" spans="1:16" ht="67.5" customHeight="1" x14ac:dyDescent="0.2">
      <c r="A22" s="324" t="s">
        <v>4</v>
      </c>
      <c r="B22" s="318" t="s">
        <v>258</v>
      </c>
      <c r="C22" s="6"/>
    </row>
    <row r="23" spans="1:16" ht="75.75" customHeight="1" x14ac:dyDescent="0.2">
      <c r="A23" s="5" t="s">
        <v>5</v>
      </c>
      <c r="B23" s="5" t="s">
        <v>256</v>
      </c>
      <c r="C23" s="6"/>
    </row>
    <row r="24" spans="1:16" ht="36" customHeight="1" x14ac:dyDescent="0.2">
      <c r="A24" s="5" t="s">
        <v>6</v>
      </c>
      <c r="B24" s="5" t="s">
        <v>246</v>
      </c>
      <c r="C24" s="6"/>
    </row>
    <row r="25" spans="1:16" ht="67.5" x14ac:dyDescent="0.2">
      <c r="A25" s="5" t="s">
        <v>7</v>
      </c>
      <c r="B25" s="5" t="s">
        <v>257</v>
      </c>
    </row>
    <row r="26" spans="1:16" ht="56.25" x14ac:dyDescent="0.2">
      <c r="A26" s="5" t="s">
        <v>8</v>
      </c>
      <c r="B26" s="5" t="s">
        <v>308</v>
      </c>
    </row>
    <row r="28" spans="1:16" x14ac:dyDescent="0.2">
      <c r="A28" s="46"/>
      <c r="B28" s="11"/>
    </row>
    <row r="29" spans="1:16" x14ac:dyDescent="0.2">
      <c r="A29" s="46"/>
    </row>
    <row r="32" spans="1:16" ht="101.25" customHeight="1" x14ac:dyDescent="0.2"/>
  </sheetData>
  <sheetProtection algorithmName="SHA-512" hashValue="34RE5Q/QWV7mPjOd4i1Kt/S7Xv3V8s8t96gEKcVhfCneOTi+f6wXfAV63kXJotYbmUciFTFY4SBQykV+d4qV2g==" saltValue="fIfkvTHinlnzsojeejFhUg==" spinCount="100000" sheet="1" formatRows="0"/>
  <protectedRanges>
    <protectedRange password="CCC4" sqref="B23:B24 A21:A26" name="Bereik1"/>
  </protectedRanges>
  <mergeCells count="8">
    <mergeCell ref="A1:F1"/>
    <mergeCell ref="G3:K3"/>
    <mergeCell ref="C10:C11"/>
    <mergeCell ref="C12:C13"/>
    <mergeCell ref="B14:B15"/>
    <mergeCell ref="C14:C15"/>
    <mergeCell ref="A14:A15"/>
    <mergeCell ref="B3:C3"/>
  </mergeCells>
  <pageMargins left="0.74803149606299213" right="0.74803149606299213" top="0.98425196850393704" bottom="0.98425196850393704" header="0.51181102362204722" footer="0.51181102362204722"/>
  <pageSetup paperSize="8" scale="6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96" customWidth="1"/>
    <col min="2" max="2" width="30.5703125" style="96" customWidth="1"/>
    <col min="3" max="3" width="37.5703125" style="96" customWidth="1"/>
    <col min="4" max="4" width="15" style="96" customWidth="1"/>
    <col min="5" max="5" width="14.42578125" style="96" customWidth="1"/>
    <col min="6" max="6" width="32.28515625" style="96" customWidth="1"/>
    <col min="7" max="7" width="10.5703125" style="96" customWidth="1"/>
    <col min="8" max="8" width="12.140625" style="96" customWidth="1"/>
    <col min="9" max="9" width="58.28515625" style="97" customWidth="1"/>
    <col min="10" max="10" width="24" style="96" bestFit="1" customWidth="1"/>
    <col min="11" max="11" width="13.140625" style="96" bestFit="1" customWidth="1"/>
    <col min="12" max="12" width="9.140625" style="96"/>
    <col min="13" max="13" width="27" style="96" customWidth="1"/>
    <col min="14" max="14" width="6.85546875" style="96" customWidth="1"/>
    <col min="15" max="15" width="11.7109375" style="96" customWidth="1"/>
    <col min="16" max="16" width="22.140625" style="96" customWidth="1"/>
    <col min="17" max="17" width="21.28515625" style="96" customWidth="1"/>
    <col min="18" max="16384" width="9.140625" style="96"/>
  </cols>
  <sheetData>
    <row r="1" spans="1:11" ht="30" customHeight="1" x14ac:dyDescent="0.2">
      <c r="A1" s="436" t="s">
        <v>140</v>
      </c>
      <c r="B1" s="517"/>
      <c r="C1" s="517"/>
      <c r="D1" s="517"/>
      <c r="E1" s="517"/>
      <c r="F1" s="517"/>
    </row>
    <row r="2" spans="1:11" s="60" customFormat="1" ht="19.5" customHeight="1" x14ac:dyDescent="0.2">
      <c r="A2" s="58" t="s">
        <v>72</v>
      </c>
      <c r="B2" s="58" t="s">
        <v>9</v>
      </c>
      <c r="C2" s="59"/>
      <c r="D2" s="59"/>
      <c r="E2" s="59"/>
      <c r="F2" s="59"/>
    </row>
    <row r="3" spans="1:11" s="60" customFormat="1" ht="31.5" customHeight="1" x14ac:dyDescent="0.2">
      <c r="B3" s="441" t="s">
        <v>0</v>
      </c>
      <c r="C3" s="442"/>
      <c r="D3" s="442"/>
      <c r="E3" s="442"/>
      <c r="F3" s="442"/>
      <c r="G3" s="442"/>
      <c r="H3" s="442"/>
    </row>
    <row r="4" spans="1:11" s="57" customFormat="1" ht="21" customHeight="1" x14ac:dyDescent="0.2">
      <c r="A4" s="61" t="s">
        <v>73</v>
      </c>
      <c r="B4" s="60"/>
      <c r="C4" s="60"/>
      <c r="D4" s="436" t="s">
        <v>74</v>
      </c>
      <c r="E4" s="438"/>
      <c r="F4" s="438"/>
    </row>
    <row r="5" spans="1:11" s="57" customFormat="1" ht="21" customHeight="1" x14ac:dyDescent="0.2">
      <c r="A5" s="61"/>
      <c r="B5" s="60"/>
      <c r="C5" s="60"/>
      <c r="D5" s="108"/>
      <c r="E5" s="108"/>
    </row>
    <row r="6" spans="1:11" s="57" customFormat="1" ht="61.5" customHeight="1" x14ac:dyDescent="0.2">
      <c r="A6" s="441" t="s">
        <v>75</v>
      </c>
      <c r="B6" s="438"/>
      <c r="C6" s="438"/>
      <c r="D6" s="438"/>
      <c r="E6" s="438"/>
      <c r="F6" s="438"/>
      <c r="G6" s="438"/>
      <c r="H6" s="438"/>
      <c r="I6" s="438"/>
      <c r="J6" s="438"/>
    </row>
    <row r="7" spans="1:11" s="57" customFormat="1" ht="27" customHeight="1" x14ac:dyDescent="0.2">
      <c r="A7" s="61"/>
      <c r="B7" s="60"/>
      <c r="C7" s="60"/>
      <c r="D7" s="108"/>
      <c r="E7" s="108"/>
    </row>
    <row r="8" spans="1:11" ht="34.5" customHeight="1" x14ac:dyDescent="0.25">
      <c r="A8" s="98"/>
      <c r="B8" s="99" t="s">
        <v>11</v>
      </c>
      <c r="C8" s="100"/>
      <c r="I8" s="443" t="s">
        <v>12</v>
      </c>
      <c r="J8" s="444"/>
      <c r="K8" s="445"/>
    </row>
    <row r="9" spans="1:11" ht="24.75" customHeight="1" x14ac:dyDescent="0.2">
      <c r="A9" s="500" t="s">
        <v>141</v>
      </c>
      <c r="B9" s="515"/>
      <c r="C9" s="515"/>
      <c r="D9" s="515"/>
      <c r="E9" s="515"/>
      <c r="F9" s="515"/>
      <c r="G9" s="515"/>
      <c r="H9" s="515"/>
      <c r="I9" s="515"/>
      <c r="J9" s="515"/>
      <c r="K9" s="516"/>
    </row>
    <row r="10" spans="1:11" x14ac:dyDescent="0.2">
      <c r="A10" s="64" t="s">
        <v>13</v>
      </c>
      <c r="B10" s="64" t="s">
        <v>14</v>
      </c>
      <c r="C10" s="64"/>
      <c r="D10" s="64" t="s">
        <v>15</v>
      </c>
      <c r="E10" s="64"/>
      <c r="F10" s="64" t="s">
        <v>16</v>
      </c>
      <c r="G10" s="64" t="s">
        <v>17</v>
      </c>
      <c r="H10" s="64" t="s">
        <v>18</v>
      </c>
      <c r="I10" s="65" t="s">
        <v>19</v>
      </c>
      <c r="J10" s="454"/>
      <c r="K10" s="516"/>
    </row>
    <row r="11" spans="1:11" ht="26.25" customHeight="1" x14ac:dyDescent="0.2">
      <c r="A11" s="65" t="s">
        <v>20</v>
      </c>
      <c r="B11" s="66" t="s">
        <v>21</v>
      </c>
      <c r="C11" s="67"/>
      <c r="D11" s="68">
        <v>1</v>
      </c>
      <c r="E11" s="69">
        <v>100</v>
      </c>
      <c r="F11" s="67" t="s">
        <v>22</v>
      </c>
      <c r="G11" s="69">
        <v>100</v>
      </c>
      <c r="H11" s="69">
        <v>100</v>
      </c>
      <c r="I11" s="70" t="s">
        <v>23</v>
      </c>
      <c r="J11" s="454" t="s">
        <v>24</v>
      </c>
      <c r="K11" s="455"/>
    </row>
    <row r="12" spans="1:11" ht="86.25" customHeight="1" x14ac:dyDescent="0.2">
      <c r="A12" s="67"/>
      <c r="B12" s="65" t="s">
        <v>25</v>
      </c>
      <c r="C12" s="71"/>
      <c r="D12" s="101">
        <v>0</v>
      </c>
      <c r="E12" s="73">
        <v>100</v>
      </c>
      <c r="F12" s="71" t="s">
        <v>26</v>
      </c>
      <c r="G12" s="73">
        <f>D12*E12</f>
        <v>0</v>
      </c>
      <c r="H12" s="73">
        <f>H11+G12</f>
        <v>100</v>
      </c>
      <c r="I12" s="74" t="s">
        <v>61</v>
      </c>
      <c r="J12" s="455"/>
      <c r="K12" s="455"/>
    </row>
    <row r="13" spans="1:11" ht="76.5" customHeight="1" x14ac:dyDescent="0.2">
      <c r="A13" s="65" t="s">
        <v>28</v>
      </c>
      <c r="B13" s="65" t="s">
        <v>29</v>
      </c>
      <c r="C13" s="56" t="s">
        <v>77</v>
      </c>
      <c r="D13" s="101">
        <v>0.1087</v>
      </c>
      <c r="E13" s="73">
        <f>H12</f>
        <v>100</v>
      </c>
      <c r="F13" s="71" t="s">
        <v>26</v>
      </c>
      <c r="G13" s="73">
        <f>D13*E13</f>
        <v>10.870000000000001</v>
      </c>
      <c r="H13" s="73"/>
      <c r="I13" s="461" t="s">
        <v>142</v>
      </c>
      <c r="J13" s="455"/>
      <c r="K13" s="455"/>
    </row>
    <row r="14" spans="1:11" ht="65.25" customHeight="1" x14ac:dyDescent="0.2">
      <c r="A14" s="67"/>
      <c r="B14" s="67"/>
      <c r="C14" s="56" t="s">
        <v>79</v>
      </c>
      <c r="D14" s="76">
        <v>2.6100000000000002E-2</v>
      </c>
      <c r="E14" s="73">
        <f>H12</f>
        <v>100</v>
      </c>
      <c r="F14" s="71" t="s">
        <v>26</v>
      </c>
      <c r="G14" s="73">
        <f>D14*E14</f>
        <v>2.6100000000000003</v>
      </c>
      <c r="H14" s="73"/>
      <c r="I14" s="461"/>
      <c r="J14" s="455"/>
      <c r="K14" s="455"/>
    </row>
    <row r="15" spans="1:11" ht="358.5" customHeight="1" x14ac:dyDescent="0.2">
      <c r="A15" s="67"/>
      <c r="B15" s="67"/>
      <c r="C15" s="71" t="s">
        <v>30</v>
      </c>
      <c r="D15" s="72">
        <v>6.0000000000000001E-3</v>
      </c>
      <c r="E15" s="73">
        <f>H12</f>
        <v>100</v>
      </c>
      <c r="F15" s="71" t="s">
        <v>26</v>
      </c>
      <c r="G15" s="73">
        <f>D15*E15</f>
        <v>0.6</v>
      </c>
      <c r="H15" s="73"/>
      <c r="I15" s="461"/>
      <c r="J15" s="455"/>
      <c r="K15" s="455"/>
    </row>
    <row r="16" spans="1:11" x14ac:dyDescent="0.2">
      <c r="A16" s="67"/>
      <c r="B16" s="67"/>
      <c r="C16" s="64" t="s">
        <v>31</v>
      </c>
      <c r="D16" s="77">
        <f>SUM(D13:D15)</f>
        <v>0.14080000000000001</v>
      </c>
      <c r="E16" s="78">
        <f>H12</f>
        <v>100</v>
      </c>
      <c r="F16" s="64" t="s">
        <v>26</v>
      </c>
      <c r="G16" s="78">
        <f>SUM(G13:G15)</f>
        <v>14.08</v>
      </c>
      <c r="H16" s="78">
        <f>H12+G16</f>
        <v>114.08</v>
      </c>
      <c r="I16" s="73"/>
      <c r="J16" s="455"/>
      <c r="K16" s="455"/>
    </row>
    <row r="17" spans="1:13" ht="48.75" customHeight="1" x14ac:dyDescent="0.2">
      <c r="A17" s="65" t="s">
        <v>32</v>
      </c>
      <c r="B17" s="65" t="s">
        <v>33</v>
      </c>
      <c r="C17" s="71"/>
      <c r="D17" s="72">
        <v>0.08</v>
      </c>
      <c r="E17" s="73">
        <f>H12+G13+G14</f>
        <v>113.48</v>
      </c>
      <c r="F17" s="71" t="s">
        <v>34</v>
      </c>
      <c r="G17" s="73">
        <f t="shared" ref="G17:G21" si="0">D17*E17</f>
        <v>9.0784000000000002</v>
      </c>
      <c r="H17" s="73">
        <f>H16+G17</f>
        <v>123.1584</v>
      </c>
      <c r="I17" s="74" t="s">
        <v>35</v>
      </c>
      <c r="J17" s="455"/>
      <c r="K17" s="455"/>
    </row>
    <row r="18" spans="1:13" ht="52.5" customHeight="1" x14ac:dyDescent="0.2">
      <c r="A18" s="65" t="s">
        <v>36</v>
      </c>
      <c r="B18" s="66" t="s">
        <v>37</v>
      </c>
      <c r="C18" s="102" t="s">
        <v>64</v>
      </c>
      <c r="D18" s="103">
        <v>0</v>
      </c>
      <c r="E18" s="73">
        <f>H17</f>
        <v>123.1584</v>
      </c>
      <c r="F18" s="71" t="s">
        <v>38</v>
      </c>
      <c r="G18" s="73">
        <f t="shared" si="0"/>
        <v>0</v>
      </c>
      <c r="H18" s="69"/>
      <c r="I18" s="74" t="s">
        <v>102</v>
      </c>
      <c r="J18" s="455"/>
      <c r="K18" s="455"/>
    </row>
    <row r="19" spans="1:13" ht="237.75" customHeight="1" x14ac:dyDescent="0.2">
      <c r="A19" s="67"/>
      <c r="B19" s="67"/>
      <c r="C19" s="56" t="s">
        <v>66</v>
      </c>
      <c r="D19" s="101">
        <v>1.9199999999999998E-2</v>
      </c>
      <c r="E19" s="80">
        <f>H17</f>
        <v>123.1584</v>
      </c>
      <c r="F19" s="56" t="s">
        <v>38</v>
      </c>
      <c r="G19" s="80">
        <f t="shared" si="0"/>
        <v>2.3646412799999998</v>
      </c>
      <c r="H19" s="80"/>
      <c r="I19" s="74" t="s">
        <v>103</v>
      </c>
      <c r="J19" s="455"/>
      <c r="K19" s="455"/>
    </row>
    <row r="20" spans="1:13" ht="63" x14ac:dyDescent="0.2">
      <c r="A20" s="67"/>
      <c r="B20" s="67"/>
      <c r="C20" s="56" t="s">
        <v>82</v>
      </c>
      <c r="D20" s="82">
        <v>1E-3</v>
      </c>
      <c r="E20" s="80">
        <f>H17</f>
        <v>123.1584</v>
      </c>
      <c r="F20" s="56" t="s">
        <v>38</v>
      </c>
      <c r="G20" s="80">
        <f t="shared" si="0"/>
        <v>0.1231584</v>
      </c>
      <c r="H20" s="80"/>
      <c r="I20" s="74" t="s">
        <v>83</v>
      </c>
      <c r="J20" s="455"/>
      <c r="K20" s="455"/>
    </row>
    <row r="21" spans="1:13" ht="56.25" customHeight="1" x14ac:dyDescent="0.2">
      <c r="A21" s="67"/>
      <c r="B21" s="67"/>
      <c r="C21" s="56" t="s">
        <v>69</v>
      </c>
      <c r="D21" s="82">
        <v>1.0200000000000001E-2</v>
      </c>
      <c r="E21" s="80">
        <f>H17</f>
        <v>123.1584</v>
      </c>
      <c r="F21" s="56" t="s">
        <v>38</v>
      </c>
      <c r="G21" s="80">
        <f t="shared" si="0"/>
        <v>1.2562156800000002</v>
      </c>
      <c r="H21" s="80"/>
      <c r="I21" s="74" t="s">
        <v>39</v>
      </c>
      <c r="J21" s="455"/>
      <c r="K21" s="455"/>
    </row>
    <row r="22" spans="1:13" ht="21" customHeight="1" x14ac:dyDescent="0.2">
      <c r="A22" s="67"/>
      <c r="B22" s="67"/>
      <c r="C22" s="64" t="s">
        <v>31</v>
      </c>
      <c r="D22" s="77">
        <f>SUM(D18:D21)</f>
        <v>3.04E-2</v>
      </c>
      <c r="E22" s="78">
        <f>H17</f>
        <v>123.1584</v>
      </c>
      <c r="F22" s="64" t="s">
        <v>38</v>
      </c>
      <c r="G22" s="78">
        <f>SUM(G18:G21)</f>
        <v>3.7440153599999997</v>
      </c>
      <c r="H22" s="78">
        <f>H17+G22</f>
        <v>126.90241536000001</v>
      </c>
      <c r="I22" s="73"/>
      <c r="J22" s="455"/>
      <c r="K22" s="455"/>
    </row>
    <row r="23" spans="1:13" ht="229.5" customHeight="1" x14ac:dyDescent="0.2">
      <c r="A23" s="67"/>
      <c r="B23" s="66" t="s">
        <v>40</v>
      </c>
      <c r="C23" s="56" t="s">
        <v>106</v>
      </c>
      <c r="D23" s="79">
        <v>1.09E-2</v>
      </c>
      <c r="E23" s="80">
        <f>H17</f>
        <v>123.1584</v>
      </c>
      <c r="F23" s="56" t="s">
        <v>38</v>
      </c>
      <c r="G23" s="80">
        <f t="shared" ref="G23:G29" si="1">D23*E23</f>
        <v>1.34242656</v>
      </c>
      <c r="H23" s="80"/>
      <c r="I23" s="74" t="s">
        <v>143</v>
      </c>
      <c r="J23" s="455"/>
      <c r="K23" s="455"/>
    </row>
    <row r="24" spans="1:13" ht="12.75" customHeight="1" x14ac:dyDescent="0.2">
      <c r="A24" s="67"/>
      <c r="B24" s="56"/>
      <c r="C24" s="56" t="s">
        <v>42</v>
      </c>
      <c r="D24" s="82">
        <v>6.9599999999999995E-2</v>
      </c>
      <c r="E24" s="80">
        <f>H17</f>
        <v>123.1584</v>
      </c>
      <c r="F24" s="56" t="s">
        <v>38</v>
      </c>
      <c r="G24" s="80">
        <f t="shared" si="1"/>
        <v>8.5718246399999991</v>
      </c>
      <c r="H24" s="80"/>
      <c r="I24" s="461" t="s">
        <v>43</v>
      </c>
      <c r="J24" s="455"/>
      <c r="K24" s="455"/>
    </row>
    <row r="25" spans="1:13" x14ac:dyDescent="0.2">
      <c r="A25" s="67"/>
      <c r="B25" s="56"/>
      <c r="C25" s="56" t="s">
        <v>44</v>
      </c>
      <c r="D25" s="82">
        <v>6.9500000000000006E-2</v>
      </c>
      <c r="E25" s="80">
        <f>H17</f>
        <v>123.1584</v>
      </c>
      <c r="F25" s="56" t="s">
        <v>38</v>
      </c>
      <c r="G25" s="80">
        <f t="shared" si="1"/>
        <v>8.5595088000000015</v>
      </c>
      <c r="H25" s="80"/>
      <c r="I25" s="461"/>
      <c r="J25" s="455"/>
      <c r="K25" s="455"/>
    </row>
    <row r="26" spans="1:13" ht="47.25" customHeight="1" x14ac:dyDescent="0.2">
      <c r="A26" s="67"/>
      <c r="B26" s="56"/>
      <c r="C26" s="56" t="s">
        <v>45</v>
      </c>
      <c r="D26" s="82">
        <v>3.5999999999999997E-2</v>
      </c>
      <c r="E26" s="80">
        <f>H17</f>
        <v>123.1584</v>
      </c>
      <c r="F26" s="56" t="s">
        <v>38</v>
      </c>
      <c r="G26" s="80">
        <f t="shared" si="1"/>
        <v>4.4337023999999996</v>
      </c>
      <c r="H26" s="80"/>
      <c r="I26" s="461"/>
      <c r="J26" s="455"/>
      <c r="K26" s="455"/>
    </row>
    <row r="27" spans="1:13" ht="153" customHeight="1" x14ac:dyDescent="0.2">
      <c r="A27" s="67"/>
      <c r="B27" s="56"/>
      <c r="C27" s="83" t="s">
        <v>46</v>
      </c>
      <c r="D27" s="79">
        <f>'2b NVT Detacheren fase A - Rg I'!D26</f>
        <v>1.125E-2</v>
      </c>
      <c r="E27" s="80">
        <f>H17</f>
        <v>123.1584</v>
      </c>
      <c r="F27" s="56" t="s">
        <v>38</v>
      </c>
      <c r="G27" s="80">
        <f t="shared" si="1"/>
        <v>1.385532</v>
      </c>
      <c r="H27" s="80"/>
      <c r="I27" s="461" t="s">
        <v>86</v>
      </c>
      <c r="J27" s="465" t="s">
        <v>109</v>
      </c>
      <c r="K27" s="465"/>
    </row>
    <row r="28" spans="1:13" ht="228.75" customHeight="1" x14ac:dyDescent="0.2">
      <c r="A28" s="67"/>
      <c r="B28" s="56"/>
      <c r="C28" s="56" t="s">
        <v>47</v>
      </c>
      <c r="D28" s="79">
        <f>'2b NVT Detacheren fase A - Rg I'!D27</f>
        <v>1.72E-2</v>
      </c>
      <c r="E28" s="80">
        <f>H17</f>
        <v>123.1584</v>
      </c>
      <c r="F28" s="56" t="s">
        <v>38</v>
      </c>
      <c r="G28" s="80">
        <f t="shared" si="1"/>
        <v>2.1183244800000001</v>
      </c>
      <c r="H28" s="80"/>
      <c r="I28" s="461"/>
      <c r="J28" s="465" t="s">
        <v>48</v>
      </c>
      <c r="K28" s="465"/>
    </row>
    <row r="29" spans="1:13" ht="134.25" customHeight="1" x14ac:dyDescent="0.2">
      <c r="A29" s="67"/>
      <c r="B29" s="56"/>
      <c r="C29" s="83" t="s">
        <v>89</v>
      </c>
      <c r="D29" s="79">
        <f>'2b NVT Detacheren fase A - Rg I'!D28</f>
        <v>8.0000000000000002E-3</v>
      </c>
      <c r="E29" s="80">
        <f>H17</f>
        <v>123.1584</v>
      </c>
      <c r="F29" s="56" t="s">
        <v>38</v>
      </c>
      <c r="G29" s="80">
        <f t="shared" si="1"/>
        <v>0.98526720000000001</v>
      </c>
      <c r="H29" s="80"/>
      <c r="I29" s="74" t="s">
        <v>124</v>
      </c>
      <c r="J29" s="456"/>
      <c r="K29" s="516"/>
    </row>
    <row r="30" spans="1:13" x14ac:dyDescent="0.2">
      <c r="A30" s="67"/>
      <c r="B30" s="67"/>
      <c r="C30" s="64" t="s">
        <v>31</v>
      </c>
      <c r="D30" s="77">
        <f>SUM(D23:D29)</f>
        <v>0.22245000000000001</v>
      </c>
      <c r="E30" s="78">
        <f>H17</f>
        <v>123.1584</v>
      </c>
      <c r="F30" s="64" t="s">
        <v>38</v>
      </c>
      <c r="G30" s="78">
        <f>SUM(G23:G29)</f>
        <v>27.396586080000002</v>
      </c>
      <c r="H30" s="78">
        <f>H22+G30</f>
        <v>154.29900144000001</v>
      </c>
      <c r="I30" s="73"/>
      <c r="J30" s="516"/>
      <c r="K30" s="516"/>
    </row>
    <row r="31" spans="1:13" ht="25.5" customHeight="1" x14ac:dyDescent="0.2">
      <c r="A31" s="460" t="s">
        <v>49</v>
      </c>
      <c r="B31" s="457" t="s">
        <v>50</v>
      </c>
      <c r="C31" s="85" t="s">
        <v>51</v>
      </c>
      <c r="D31" s="86">
        <v>4.02E-2</v>
      </c>
      <c r="E31" s="69">
        <f>H30</f>
        <v>154.29900144000001</v>
      </c>
      <c r="F31" s="67" t="s">
        <v>52</v>
      </c>
      <c r="G31" s="69">
        <f t="shared" ref="G31:G37" si="2">D31*E31</f>
        <v>6.2028198578880005</v>
      </c>
      <c r="H31" s="69"/>
      <c r="I31" s="461" t="s">
        <v>91</v>
      </c>
      <c r="J31" s="516"/>
      <c r="K31" s="516"/>
      <c r="L31" s="104"/>
      <c r="M31" s="104"/>
    </row>
    <row r="32" spans="1:13" ht="12.75" customHeight="1" x14ac:dyDescent="0.2">
      <c r="A32" s="458"/>
      <c r="B32" s="511"/>
      <c r="C32" s="85" t="s">
        <v>53</v>
      </c>
      <c r="D32" s="86">
        <v>0</v>
      </c>
      <c r="E32" s="69">
        <f>H30</f>
        <v>154.29900144000001</v>
      </c>
      <c r="F32" s="67" t="s">
        <v>52</v>
      </c>
      <c r="G32" s="69">
        <f t="shared" si="2"/>
        <v>0</v>
      </c>
      <c r="H32" s="69"/>
      <c r="I32" s="461"/>
      <c r="J32" s="516"/>
      <c r="K32" s="516"/>
      <c r="L32" s="104"/>
    </row>
    <row r="33" spans="1:11" ht="12.75" customHeight="1" x14ac:dyDescent="0.2">
      <c r="A33" s="458"/>
      <c r="B33" s="511"/>
      <c r="C33" s="85" t="s">
        <v>54</v>
      </c>
      <c r="D33" s="86">
        <v>3.0000000000000001E-3</v>
      </c>
      <c r="E33" s="69">
        <f>H30</f>
        <v>154.29900144000001</v>
      </c>
      <c r="F33" s="67" t="s">
        <v>52</v>
      </c>
      <c r="G33" s="69">
        <f t="shared" si="2"/>
        <v>0.46289700432000003</v>
      </c>
      <c r="H33" s="69"/>
      <c r="I33" s="461"/>
      <c r="J33" s="516"/>
      <c r="K33" s="516"/>
    </row>
    <row r="34" spans="1:11" x14ac:dyDescent="0.2">
      <c r="A34" s="458"/>
      <c r="B34" s="511"/>
      <c r="C34" s="85" t="s">
        <v>55</v>
      </c>
      <c r="D34" s="86">
        <v>0</v>
      </c>
      <c r="E34" s="69">
        <f>H30</f>
        <v>154.29900144000001</v>
      </c>
      <c r="F34" s="67" t="s">
        <v>52</v>
      </c>
      <c r="G34" s="69">
        <f t="shared" si="2"/>
        <v>0</v>
      </c>
      <c r="H34" s="69"/>
      <c r="I34" s="461"/>
      <c r="J34" s="516"/>
      <c r="K34" s="516"/>
    </row>
    <row r="35" spans="1:11" x14ac:dyDescent="0.2">
      <c r="A35" s="458"/>
      <c r="B35" s="511"/>
      <c r="C35" s="85" t="s">
        <v>56</v>
      </c>
      <c r="D35" s="86">
        <v>0</v>
      </c>
      <c r="E35" s="69">
        <f>H30</f>
        <v>154.29900144000001</v>
      </c>
      <c r="F35" s="67" t="s">
        <v>52</v>
      </c>
      <c r="G35" s="69">
        <f t="shared" si="2"/>
        <v>0</v>
      </c>
      <c r="H35" s="69"/>
      <c r="I35" s="461"/>
      <c r="J35" s="516"/>
      <c r="K35" s="516"/>
    </row>
    <row r="36" spans="1:11" x14ac:dyDescent="0.2">
      <c r="A36" s="458"/>
      <c r="B36" s="511"/>
      <c r="C36" s="85" t="s">
        <v>56</v>
      </c>
      <c r="D36" s="86">
        <v>0</v>
      </c>
      <c r="E36" s="69">
        <f>H30</f>
        <v>154.29900144000001</v>
      </c>
      <c r="F36" s="67" t="s">
        <v>52</v>
      </c>
      <c r="G36" s="69">
        <f t="shared" si="2"/>
        <v>0</v>
      </c>
      <c r="H36" s="69"/>
      <c r="I36" s="461"/>
      <c r="J36" s="516"/>
      <c r="K36" s="516"/>
    </row>
    <row r="37" spans="1:11" ht="61.5" customHeight="1" x14ac:dyDescent="0.2">
      <c r="A37" s="458"/>
      <c r="B37" s="511"/>
      <c r="C37" s="85" t="s">
        <v>56</v>
      </c>
      <c r="D37" s="86">
        <v>0</v>
      </c>
      <c r="E37" s="69">
        <f>H30</f>
        <v>154.29900144000001</v>
      </c>
      <c r="F37" s="67" t="s">
        <v>52</v>
      </c>
      <c r="G37" s="69">
        <f t="shared" si="2"/>
        <v>0</v>
      </c>
      <c r="H37" s="69"/>
      <c r="I37" s="461"/>
      <c r="J37" s="516"/>
      <c r="K37" s="516"/>
    </row>
    <row r="38" spans="1:11" x14ac:dyDescent="0.2">
      <c r="A38" s="459"/>
      <c r="B38" s="512"/>
      <c r="C38" s="64" t="s">
        <v>57</v>
      </c>
      <c r="D38" s="77">
        <f>SUM(D31:D37)</f>
        <v>4.3200000000000002E-2</v>
      </c>
      <c r="E38" s="78">
        <f>H30</f>
        <v>154.29900144000001</v>
      </c>
      <c r="F38" s="64" t="s">
        <v>52</v>
      </c>
      <c r="G38" s="78">
        <f>SUM(G31:G37)</f>
        <v>6.6657168622080007</v>
      </c>
      <c r="H38" s="78">
        <f>H30+G38</f>
        <v>160.96471830220801</v>
      </c>
      <c r="I38" s="73"/>
      <c r="J38" s="69"/>
      <c r="K38" s="105"/>
    </row>
    <row r="39" spans="1:11" ht="105.75" customHeight="1" x14ac:dyDescent="0.2">
      <c r="A39" s="87"/>
      <c r="B39" s="87"/>
      <c r="C39" s="87"/>
      <c r="D39" s="87"/>
      <c r="E39" s="87"/>
      <c r="F39" s="87" t="s">
        <v>144</v>
      </c>
      <c r="G39" s="87"/>
      <c r="H39" s="88">
        <f>H38</f>
        <v>160.96471830220801</v>
      </c>
      <c r="I39" s="88" t="s">
        <v>58</v>
      </c>
      <c r="J39" s="89">
        <f>ROUND(H39/100,4)</f>
        <v>1.6095999999999999</v>
      </c>
      <c r="K39" s="106"/>
    </row>
    <row r="40" spans="1:11" ht="80.25" customHeight="1" x14ac:dyDescent="0.2">
      <c r="A40" s="87"/>
      <c r="B40" s="83" t="s">
        <v>126</v>
      </c>
      <c r="C40" s="87"/>
      <c r="D40" s="87"/>
      <c r="E40" s="87"/>
      <c r="F40" s="87" t="s">
        <v>145</v>
      </c>
      <c r="G40" s="87"/>
      <c r="H40" s="90">
        <v>1.1183000000000001</v>
      </c>
      <c r="I40" s="88" t="s">
        <v>59</v>
      </c>
      <c r="J40" s="107"/>
      <c r="K40" s="106"/>
    </row>
    <row r="41" spans="1:11" ht="99.75" customHeight="1" x14ac:dyDescent="0.2">
      <c r="A41" s="87"/>
      <c r="B41" s="87"/>
      <c r="C41" s="87"/>
      <c r="D41" s="87"/>
      <c r="E41" s="87"/>
      <c r="F41" s="87" t="s">
        <v>146</v>
      </c>
      <c r="G41" s="87"/>
      <c r="H41" s="88">
        <f>J39*H40</f>
        <v>1.80001568</v>
      </c>
      <c r="I41" s="88" t="s">
        <v>96</v>
      </c>
      <c r="J41" s="91">
        <f>ROUND(J39*H40,4)</f>
        <v>1.8</v>
      </c>
      <c r="K41" s="106"/>
    </row>
    <row r="42" spans="1:11" x14ac:dyDescent="0.2">
      <c r="A42" s="57"/>
      <c r="B42" s="92" t="s">
        <v>11</v>
      </c>
      <c r="C42" s="93"/>
      <c r="D42" s="57"/>
      <c r="E42" s="57"/>
      <c r="F42" s="57"/>
      <c r="G42" s="57"/>
      <c r="H42" s="57"/>
      <c r="I42" s="60"/>
      <c r="J42" s="57"/>
    </row>
    <row r="43" spans="1:11" x14ac:dyDescent="0.2">
      <c r="A43" s="57"/>
      <c r="B43" s="94"/>
      <c r="C43" s="95"/>
      <c r="D43" s="57"/>
      <c r="E43" s="57"/>
      <c r="F43" s="57"/>
      <c r="G43" s="57"/>
      <c r="H43" s="57"/>
      <c r="I43" s="60"/>
      <c r="J43" s="57"/>
    </row>
    <row r="44" spans="1:11" ht="12.75" customHeight="1" x14ac:dyDescent="0.2">
      <c r="A44" s="57"/>
      <c r="B44" s="57"/>
      <c r="C44" s="57"/>
      <c r="D44" s="57"/>
      <c r="E44" s="57"/>
      <c r="F44" s="57"/>
      <c r="G44" s="57"/>
      <c r="H44" s="57"/>
      <c r="I44" s="60"/>
      <c r="J44" s="57"/>
    </row>
    <row r="45" spans="1:11" ht="89.25" customHeight="1" x14ac:dyDescent="0.2">
      <c r="A45" s="446" t="s">
        <v>147</v>
      </c>
      <c r="B45" s="518"/>
      <c r="C45" s="518"/>
      <c r="D45" s="518"/>
      <c r="E45" s="519"/>
      <c r="F45" s="519"/>
      <c r="G45" s="519"/>
      <c r="H45" s="519"/>
      <c r="I45" s="519"/>
      <c r="J45" s="520"/>
    </row>
    <row r="46" spans="1:11" ht="29.25" customHeight="1" x14ac:dyDescent="0.2">
      <c r="A46" s="521"/>
      <c r="B46" s="522"/>
      <c r="C46" s="522"/>
      <c r="D46" s="522"/>
      <c r="E46" s="522"/>
      <c r="F46" s="522"/>
      <c r="G46" s="522"/>
      <c r="H46" s="522"/>
      <c r="I46" s="522"/>
      <c r="J46" s="523"/>
    </row>
    <row r="47" spans="1:11" ht="13.5" customHeight="1" x14ac:dyDescent="0.2">
      <c r="A47" s="521"/>
      <c r="B47" s="522"/>
      <c r="C47" s="522"/>
      <c r="D47" s="522"/>
      <c r="E47" s="522"/>
      <c r="F47" s="522"/>
      <c r="G47" s="522"/>
      <c r="H47" s="522"/>
      <c r="I47" s="522"/>
      <c r="J47" s="523"/>
    </row>
    <row r="48" spans="1:11" ht="21" customHeight="1" x14ac:dyDescent="0.2">
      <c r="A48" s="524"/>
      <c r="B48" s="525"/>
      <c r="C48" s="525"/>
      <c r="D48" s="525"/>
      <c r="E48" s="525"/>
      <c r="F48" s="525"/>
      <c r="G48" s="525"/>
      <c r="H48" s="525"/>
      <c r="I48" s="525"/>
      <c r="J48" s="526"/>
    </row>
    <row r="49" spans="1:10" x14ac:dyDescent="0.2">
      <c r="A49" s="57"/>
      <c r="B49" s="57"/>
      <c r="C49" s="57"/>
      <c r="D49" s="57"/>
      <c r="E49" s="57"/>
      <c r="F49" s="57"/>
      <c r="G49" s="57"/>
      <c r="H49" s="57"/>
      <c r="I49" s="60"/>
      <c r="J49" s="57"/>
    </row>
    <row r="50" spans="1:10" ht="19.5" customHeight="1" x14ac:dyDescent="0.2">
      <c r="A50" s="57"/>
      <c r="B50" s="57"/>
      <c r="C50" s="57"/>
      <c r="D50" s="57"/>
      <c r="E50" s="57"/>
      <c r="F50" s="57"/>
      <c r="G50" s="57"/>
      <c r="H50" s="57"/>
      <c r="I50" s="60"/>
      <c r="J50" s="57"/>
    </row>
    <row r="51" spans="1:10" x14ac:dyDescent="0.2">
      <c r="A51" s="57"/>
      <c r="B51" s="57"/>
      <c r="C51" s="57"/>
      <c r="D51" s="57"/>
      <c r="E51" s="57"/>
      <c r="F51" s="57"/>
      <c r="G51" s="57"/>
      <c r="H51" s="57"/>
      <c r="I51" s="60"/>
      <c r="J51" s="57"/>
    </row>
    <row r="52" spans="1:10" x14ac:dyDescent="0.2">
      <c r="A52" s="57"/>
      <c r="B52" s="57"/>
      <c r="C52" s="57"/>
      <c r="D52" s="57"/>
      <c r="E52" s="57"/>
      <c r="F52" s="57"/>
      <c r="G52" s="57"/>
      <c r="H52" s="57"/>
      <c r="I52" s="60"/>
      <c r="J52" s="5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57" customWidth="1"/>
    <col min="2" max="2" width="30.5703125" style="57" customWidth="1"/>
    <col min="3" max="3" width="37.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36" t="s">
        <v>148</v>
      </c>
      <c r="B1" s="437"/>
      <c r="C1" s="437"/>
      <c r="D1" s="437"/>
      <c r="E1" s="437"/>
      <c r="F1" s="437"/>
      <c r="G1" s="442"/>
    </row>
    <row r="2" spans="1:11" s="60" customFormat="1" ht="19.5" customHeight="1" x14ac:dyDescent="0.2">
      <c r="A2" s="58" t="s">
        <v>72</v>
      </c>
      <c r="B2" s="58" t="s">
        <v>9</v>
      </c>
      <c r="C2" s="59"/>
      <c r="D2" s="436" t="s">
        <v>74</v>
      </c>
      <c r="E2" s="438"/>
      <c r="F2" s="438"/>
    </row>
    <row r="3" spans="1:11" s="60" customFormat="1" ht="31.5" customHeight="1" x14ac:dyDescent="0.2">
      <c r="B3" s="441" t="s">
        <v>0</v>
      </c>
      <c r="C3" s="442"/>
      <c r="D3" s="442"/>
      <c r="E3" s="442"/>
      <c r="F3" s="442"/>
      <c r="G3" s="442"/>
      <c r="H3" s="442"/>
    </row>
    <row r="4" spans="1:11" ht="21" customHeight="1" x14ac:dyDescent="0.2">
      <c r="A4" s="61" t="s">
        <v>73</v>
      </c>
      <c r="B4" s="60"/>
      <c r="C4" s="60"/>
      <c r="D4" s="108"/>
      <c r="E4" s="108"/>
    </row>
    <row r="5" spans="1:11" ht="15.75" customHeight="1" x14ac:dyDescent="0.2">
      <c r="A5" s="58"/>
      <c r="B5" s="61"/>
      <c r="C5" s="60"/>
      <c r="D5" s="60"/>
      <c r="E5" s="108"/>
      <c r="F5" s="108"/>
    </row>
    <row r="6" spans="1:11" ht="61.5" customHeight="1" x14ac:dyDescent="0.2">
      <c r="A6" s="441" t="s">
        <v>75</v>
      </c>
      <c r="B6" s="438"/>
      <c r="C6" s="438"/>
      <c r="D6" s="438"/>
      <c r="E6" s="438"/>
      <c r="F6" s="438"/>
      <c r="G6" s="438"/>
      <c r="H6" s="438"/>
      <c r="I6" s="438"/>
      <c r="J6" s="438"/>
    </row>
    <row r="7" spans="1:11" ht="18" x14ac:dyDescent="0.2">
      <c r="A7" s="112"/>
      <c r="B7" s="112"/>
      <c r="C7" s="112"/>
      <c r="D7" s="112"/>
      <c r="E7" s="112"/>
      <c r="F7" s="112"/>
      <c r="G7" s="112"/>
      <c r="H7" s="112"/>
      <c r="I7" s="112"/>
      <c r="J7" s="113"/>
    </row>
    <row r="8" spans="1:11" ht="21.75" customHeight="1" x14ac:dyDescent="0.2">
      <c r="B8" s="99" t="s">
        <v>11</v>
      </c>
      <c r="C8" s="100"/>
      <c r="I8" s="443" t="s">
        <v>12</v>
      </c>
      <c r="J8" s="444"/>
      <c r="K8" s="445"/>
    </row>
    <row r="9" spans="1:11" ht="18.75" customHeight="1" x14ac:dyDescent="0.2">
      <c r="A9" s="500" t="s">
        <v>149</v>
      </c>
      <c r="B9" s="501"/>
      <c r="C9" s="501"/>
      <c r="D9" s="501"/>
      <c r="E9" s="501"/>
      <c r="F9" s="501"/>
      <c r="G9" s="501"/>
      <c r="H9" s="501"/>
      <c r="I9" s="455"/>
      <c r="J9" s="455"/>
      <c r="K9" s="455"/>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4" t="s">
        <v>24</v>
      </c>
      <c r="K11" s="455"/>
    </row>
    <row r="12" spans="1:11" ht="95.25" customHeight="1" x14ac:dyDescent="0.2">
      <c r="A12" s="67"/>
      <c r="B12" s="65" t="s">
        <v>25</v>
      </c>
      <c r="C12" s="71"/>
      <c r="D12" s="76">
        <v>0</v>
      </c>
      <c r="E12" s="73">
        <v>100</v>
      </c>
      <c r="F12" s="71" t="s">
        <v>26</v>
      </c>
      <c r="G12" s="73">
        <f>D12*E12</f>
        <v>0</v>
      </c>
      <c r="H12" s="73">
        <f>H11+G12</f>
        <v>100</v>
      </c>
      <c r="I12" s="74" t="s">
        <v>61</v>
      </c>
      <c r="J12" s="455"/>
      <c r="K12" s="455"/>
    </row>
    <row r="13" spans="1:11" ht="72.75" customHeight="1" x14ac:dyDescent="0.2">
      <c r="A13" s="65" t="s">
        <v>28</v>
      </c>
      <c r="B13" s="65" t="s">
        <v>29</v>
      </c>
      <c r="C13" s="71" t="s">
        <v>62</v>
      </c>
      <c r="D13" s="76">
        <v>0.1087</v>
      </c>
      <c r="E13" s="73">
        <f>H12</f>
        <v>100</v>
      </c>
      <c r="F13" s="71" t="s">
        <v>26</v>
      </c>
      <c r="G13" s="73">
        <f>D13*E13</f>
        <v>10.870000000000001</v>
      </c>
      <c r="H13" s="73"/>
      <c r="I13" s="461" t="s">
        <v>150</v>
      </c>
      <c r="J13" s="455"/>
      <c r="K13" s="455"/>
    </row>
    <row r="14" spans="1:11" ht="81" customHeight="1" x14ac:dyDescent="0.2">
      <c r="A14" s="67"/>
      <c r="B14" s="67"/>
      <c r="C14" s="56" t="s">
        <v>121</v>
      </c>
      <c r="D14" s="76">
        <v>2.6100000000000002E-2</v>
      </c>
      <c r="E14" s="73">
        <f>H12</f>
        <v>100</v>
      </c>
      <c r="F14" s="71" t="s">
        <v>26</v>
      </c>
      <c r="G14" s="73">
        <f>D14*E14</f>
        <v>2.6100000000000003</v>
      </c>
      <c r="H14" s="73"/>
      <c r="I14" s="461"/>
      <c r="J14" s="455"/>
      <c r="K14" s="455"/>
    </row>
    <row r="15" spans="1:11" ht="409.5" customHeight="1" x14ac:dyDescent="0.2">
      <c r="A15" s="67"/>
      <c r="B15" s="67"/>
      <c r="C15" s="71" t="s">
        <v>30</v>
      </c>
      <c r="D15" s="109">
        <v>6.0000000000000001E-3</v>
      </c>
      <c r="E15" s="73">
        <f>H12</f>
        <v>100</v>
      </c>
      <c r="F15" s="71" t="s">
        <v>26</v>
      </c>
      <c r="G15" s="73">
        <f>D15*E15</f>
        <v>0.6</v>
      </c>
      <c r="H15" s="73"/>
      <c r="I15" s="461"/>
      <c r="J15" s="455"/>
      <c r="K15" s="455"/>
    </row>
    <row r="16" spans="1:11" ht="29.25" customHeight="1" x14ac:dyDescent="0.2">
      <c r="A16" s="67"/>
      <c r="B16" s="67"/>
      <c r="C16" s="64" t="s">
        <v>31</v>
      </c>
      <c r="D16" s="77">
        <f>SUM(D13:D15)</f>
        <v>0.14080000000000001</v>
      </c>
      <c r="E16" s="78">
        <f>H12</f>
        <v>100</v>
      </c>
      <c r="F16" s="64" t="s">
        <v>26</v>
      </c>
      <c r="G16" s="78">
        <f>SUM(G13:G15)</f>
        <v>14.08</v>
      </c>
      <c r="H16" s="78">
        <f>H12+G16</f>
        <v>114.08</v>
      </c>
      <c r="I16" s="69"/>
      <c r="J16" s="455"/>
      <c r="K16" s="455"/>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55"/>
      <c r="K17" s="455"/>
    </row>
    <row r="18" spans="1:12" ht="39.75" customHeight="1" x14ac:dyDescent="0.2">
      <c r="A18" s="65" t="s">
        <v>36</v>
      </c>
      <c r="B18" s="66" t="s">
        <v>63</v>
      </c>
      <c r="C18" s="102" t="s">
        <v>64</v>
      </c>
      <c r="D18" s="103">
        <v>0</v>
      </c>
      <c r="E18" s="73">
        <f>H17</f>
        <v>123.1584</v>
      </c>
      <c r="F18" s="71" t="s">
        <v>38</v>
      </c>
      <c r="G18" s="73">
        <f t="shared" si="0"/>
        <v>0</v>
      </c>
      <c r="H18" s="73"/>
      <c r="I18" s="74" t="s">
        <v>65</v>
      </c>
      <c r="J18" s="455"/>
      <c r="K18" s="455"/>
    </row>
    <row r="19" spans="1:12" ht="136.5" customHeight="1" x14ac:dyDescent="0.2">
      <c r="A19" s="67"/>
      <c r="B19" s="67"/>
      <c r="C19" s="56" t="s">
        <v>66</v>
      </c>
      <c r="D19" s="79">
        <v>5.8999999999999997E-2</v>
      </c>
      <c r="E19" s="80">
        <f>H17</f>
        <v>123.1584</v>
      </c>
      <c r="F19" s="56" t="s">
        <v>38</v>
      </c>
      <c r="G19" s="80">
        <f t="shared" si="0"/>
        <v>7.2663455999999993</v>
      </c>
      <c r="H19" s="80"/>
      <c r="I19" s="74" t="s">
        <v>67</v>
      </c>
      <c r="J19" s="455"/>
      <c r="K19" s="455"/>
    </row>
    <row r="20" spans="1:12" ht="28.5" customHeight="1" x14ac:dyDescent="0.2">
      <c r="A20" s="67"/>
      <c r="B20" s="67"/>
      <c r="C20" s="102" t="s">
        <v>68</v>
      </c>
      <c r="D20" s="110">
        <v>0</v>
      </c>
      <c r="E20" s="80">
        <f>H17</f>
        <v>123.1584</v>
      </c>
      <c r="F20" s="56" t="s">
        <v>38</v>
      </c>
      <c r="G20" s="80">
        <f t="shared" si="0"/>
        <v>0</v>
      </c>
      <c r="H20" s="80"/>
      <c r="I20" s="74" t="s">
        <v>122</v>
      </c>
      <c r="J20" s="455"/>
      <c r="K20" s="455"/>
    </row>
    <row r="21" spans="1:12" ht="28.5" customHeight="1" x14ac:dyDescent="0.2">
      <c r="A21" s="67"/>
      <c r="B21" s="67"/>
      <c r="C21" s="102" t="s">
        <v>69</v>
      </c>
      <c r="D21" s="110">
        <v>0</v>
      </c>
      <c r="E21" s="80">
        <f>H17</f>
        <v>123.1584</v>
      </c>
      <c r="F21" s="56" t="s">
        <v>38</v>
      </c>
      <c r="G21" s="80">
        <f t="shared" si="0"/>
        <v>0</v>
      </c>
      <c r="H21" s="80"/>
      <c r="I21" s="74" t="s">
        <v>122</v>
      </c>
      <c r="J21" s="455"/>
      <c r="K21" s="455"/>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55"/>
      <c r="K22" s="455"/>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55"/>
      <c r="K23" s="455"/>
    </row>
    <row r="24" spans="1:12" ht="12.75" customHeight="1" x14ac:dyDescent="0.2">
      <c r="A24" s="67"/>
      <c r="B24" s="56"/>
      <c r="C24" s="56" t="s">
        <v>42</v>
      </c>
      <c r="D24" s="82">
        <v>6.9599999999999995E-2</v>
      </c>
      <c r="E24" s="80">
        <f>H17</f>
        <v>123.1584</v>
      </c>
      <c r="F24" s="56" t="s">
        <v>38</v>
      </c>
      <c r="G24" s="80">
        <f t="shared" si="1"/>
        <v>8.5718246399999991</v>
      </c>
      <c r="H24" s="80"/>
      <c r="I24" s="461" t="s">
        <v>43</v>
      </c>
      <c r="J24" s="455"/>
      <c r="K24" s="455"/>
    </row>
    <row r="25" spans="1:12" x14ac:dyDescent="0.2">
      <c r="A25" s="67"/>
      <c r="B25" s="56"/>
      <c r="C25" s="56" t="s">
        <v>44</v>
      </c>
      <c r="D25" s="82">
        <v>6.9500000000000006E-2</v>
      </c>
      <c r="E25" s="80">
        <f>H17</f>
        <v>123.1584</v>
      </c>
      <c r="F25" s="56" t="s">
        <v>38</v>
      </c>
      <c r="G25" s="80">
        <f t="shared" si="1"/>
        <v>8.5595088000000015</v>
      </c>
      <c r="H25" s="80"/>
      <c r="I25" s="461"/>
      <c r="J25" s="455"/>
      <c r="K25" s="455"/>
    </row>
    <row r="26" spans="1:12" ht="42.75" customHeight="1" x14ac:dyDescent="0.2">
      <c r="A26" s="67"/>
      <c r="B26" s="56"/>
      <c r="C26" s="56" t="s">
        <v>45</v>
      </c>
      <c r="D26" s="82">
        <v>3.5999999999999997E-2</v>
      </c>
      <c r="E26" s="80">
        <f>H17</f>
        <v>123.1584</v>
      </c>
      <c r="F26" s="56" t="s">
        <v>38</v>
      </c>
      <c r="G26" s="80">
        <f t="shared" si="1"/>
        <v>4.4337023999999996</v>
      </c>
      <c r="H26" s="80"/>
      <c r="I26" s="461"/>
      <c r="J26" s="455"/>
      <c r="K26" s="455"/>
    </row>
    <row r="27" spans="1:12" ht="155.25" customHeight="1" x14ac:dyDescent="0.2">
      <c r="A27" s="67"/>
      <c r="B27" s="56"/>
      <c r="C27" s="83" t="s">
        <v>46</v>
      </c>
      <c r="D27" s="79">
        <f>'2c NVT Detacheren fase B,C-Rg I'!D27</f>
        <v>1.125E-2</v>
      </c>
      <c r="E27" s="80">
        <f>H17</f>
        <v>123.1584</v>
      </c>
      <c r="F27" s="56" t="s">
        <v>38</v>
      </c>
      <c r="G27" s="80">
        <f t="shared" si="1"/>
        <v>1.385532</v>
      </c>
      <c r="H27" s="80"/>
      <c r="I27" s="461" t="s">
        <v>86</v>
      </c>
      <c r="J27" s="465" t="s">
        <v>109</v>
      </c>
      <c r="K27" s="465"/>
    </row>
    <row r="28" spans="1:12" ht="231" customHeight="1" x14ac:dyDescent="0.2">
      <c r="A28" s="67"/>
      <c r="B28" s="56"/>
      <c r="C28" s="56" t="s">
        <v>47</v>
      </c>
      <c r="D28" s="79">
        <f>'2c NVT Detacheren fase B,C-Rg I'!D28</f>
        <v>1.72E-2</v>
      </c>
      <c r="E28" s="80">
        <f>H17</f>
        <v>123.1584</v>
      </c>
      <c r="F28" s="56" t="s">
        <v>38</v>
      </c>
      <c r="G28" s="80">
        <f t="shared" si="1"/>
        <v>2.1183244800000001</v>
      </c>
      <c r="H28" s="80"/>
      <c r="I28" s="461"/>
      <c r="J28" s="465" t="s">
        <v>48</v>
      </c>
      <c r="K28" s="465"/>
    </row>
    <row r="29" spans="1:12" ht="116.25" customHeight="1" x14ac:dyDescent="0.2">
      <c r="A29" s="67"/>
      <c r="B29" s="56"/>
      <c r="C29" s="83" t="s">
        <v>89</v>
      </c>
      <c r="D29" s="79">
        <f>'2c NVT Detacheren fase B,C-Rg I'!D29</f>
        <v>8.2000000000000007E-3</v>
      </c>
      <c r="E29" s="80">
        <f>H17</f>
        <v>123.1584</v>
      </c>
      <c r="F29" s="56" t="s">
        <v>38</v>
      </c>
      <c r="G29" s="80">
        <f t="shared" si="1"/>
        <v>1.0098988800000002</v>
      </c>
      <c r="H29" s="80"/>
      <c r="I29" s="74" t="s">
        <v>124</v>
      </c>
      <c r="J29" s="456"/>
      <c r="K29" s="455"/>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55"/>
      <c r="K30" s="455"/>
    </row>
    <row r="31" spans="1:12" ht="25.5" customHeight="1" x14ac:dyDescent="0.2">
      <c r="A31" s="460" t="s">
        <v>49</v>
      </c>
      <c r="B31" s="457" t="s">
        <v>50</v>
      </c>
      <c r="C31" s="85" t="s">
        <v>51</v>
      </c>
      <c r="D31" s="86">
        <v>4.02E-2</v>
      </c>
      <c r="E31" s="69">
        <f>H30</f>
        <v>157.84596335999998</v>
      </c>
      <c r="F31" s="67" t="s">
        <v>52</v>
      </c>
      <c r="G31" s="69">
        <f t="shared" ref="G31:G37" si="2">D31*E31</f>
        <v>6.3454077270719997</v>
      </c>
      <c r="H31" s="69"/>
      <c r="I31" s="461" t="s">
        <v>91</v>
      </c>
      <c r="J31" s="455"/>
      <c r="K31" s="455"/>
      <c r="L31" s="84"/>
    </row>
    <row r="32" spans="1:12" ht="12.75" customHeight="1" x14ac:dyDescent="0.2">
      <c r="A32" s="458"/>
      <c r="B32" s="511"/>
      <c r="C32" s="85" t="s">
        <v>53</v>
      </c>
      <c r="D32" s="86">
        <v>1.18E-2</v>
      </c>
      <c r="E32" s="69">
        <f>H30</f>
        <v>157.84596335999998</v>
      </c>
      <c r="F32" s="67" t="s">
        <v>52</v>
      </c>
      <c r="G32" s="69">
        <f t="shared" si="2"/>
        <v>1.8625823676479998</v>
      </c>
      <c r="H32" s="69"/>
      <c r="I32" s="461"/>
      <c r="J32" s="455"/>
      <c r="K32" s="455"/>
    </row>
    <row r="33" spans="1:11" ht="12.75" customHeight="1" x14ac:dyDescent="0.2">
      <c r="A33" s="458"/>
      <c r="B33" s="511"/>
      <c r="C33" s="85" t="s">
        <v>54</v>
      </c>
      <c r="D33" s="86">
        <v>3.0000000000000001E-3</v>
      </c>
      <c r="E33" s="69">
        <f>H30</f>
        <v>157.84596335999998</v>
      </c>
      <c r="F33" s="67" t="s">
        <v>52</v>
      </c>
      <c r="G33" s="69">
        <f t="shared" si="2"/>
        <v>0.47353789007999997</v>
      </c>
      <c r="H33" s="69"/>
      <c r="I33" s="461"/>
      <c r="J33" s="455"/>
      <c r="K33" s="455"/>
    </row>
    <row r="34" spans="1:11" x14ac:dyDescent="0.2">
      <c r="A34" s="458"/>
      <c r="B34" s="511"/>
      <c r="C34" s="85" t="s">
        <v>55</v>
      </c>
      <c r="D34" s="86">
        <v>0</v>
      </c>
      <c r="E34" s="69">
        <f>H30</f>
        <v>157.84596335999998</v>
      </c>
      <c r="F34" s="67" t="s">
        <v>52</v>
      </c>
      <c r="G34" s="69">
        <f t="shared" si="2"/>
        <v>0</v>
      </c>
      <c r="H34" s="69"/>
      <c r="I34" s="461"/>
      <c r="J34" s="455"/>
      <c r="K34" s="455"/>
    </row>
    <row r="35" spans="1:11" x14ac:dyDescent="0.2">
      <c r="A35" s="458"/>
      <c r="B35" s="511"/>
      <c r="C35" s="85" t="s">
        <v>56</v>
      </c>
      <c r="D35" s="86">
        <v>0</v>
      </c>
      <c r="E35" s="69">
        <f>H30</f>
        <v>157.84596335999998</v>
      </c>
      <c r="F35" s="67" t="s">
        <v>52</v>
      </c>
      <c r="G35" s="69">
        <f t="shared" si="2"/>
        <v>0</v>
      </c>
      <c r="H35" s="69"/>
      <c r="I35" s="461"/>
      <c r="J35" s="455"/>
      <c r="K35" s="455"/>
    </row>
    <row r="36" spans="1:11" x14ac:dyDescent="0.2">
      <c r="A36" s="458"/>
      <c r="B36" s="511"/>
      <c r="C36" s="85" t="s">
        <v>56</v>
      </c>
      <c r="D36" s="86">
        <v>0</v>
      </c>
      <c r="E36" s="69">
        <f>H30</f>
        <v>157.84596335999998</v>
      </c>
      <c r="F36" s="67" t="s">
        <v>52</v>
      </c>
      <c r="G36" s="69">
        <f t="shared" si="2"/>
        <v>0</v>
      </c>
      <c r="H36" s="69"/>
      <c r="I36" s="461"/>
      <c r="J36" s="455"/>
      <c r="K36" s="455"/>
    </row>
    <row r="37" spans="1:11" ht="44.25" customHeight="1" x14ac:dyDescent="0.2">
      <c r="A37" s="458"/>
      <c r="B37" s="511"/>
      <c r="C37" s="85" t="s">
        <v>56</v>
      </c>
      <c r="D37" s="86">
        <v>0</v>
      </c>
      <c r="E37" s="69">
        <f>H30</f>
        <v>157.84596335999998</v>
      </c>
      <c r="F37" s="67" t="s">
        <v>52</v>
      </c>
      <c r="G37" s="69">
        <f t="shared" si="2"/>
        <v>0</v>
      </c>
      <c r="H37" s="69"/>
      <c r="I37" s="461"/>
      <c r="J37" s="455"/>
      <c r="K37" s="455"/>
    </row>
    <row r="38" spans="1:11" x14ac:dyDescent="0.2">
      <c r="A38" s="459"/>
      <c r="B38" s="512"/>
      <c r="C38" s="64" t="s">
        <v>57</v>
      </c>
      <c r="D38" s="77">
        <f>SUM(D31:D37)</f>
        <v>5.5E-2</v>
      </c>
      <c r="E38" s="78">
        <f>H30</f>
        <v>157.84596335999998</v>
      </c>
      <c r="F38" s="64" t="s">
        <v>52</v>
      </c>
      <c r="G38" s="78">
        <f>SUM(G31:G37)</f>
        <v>8.6815279847999989</v>
      </c>
      <c r="H38" s="78">
        <f>H30+G38</f>
        <v>166.52749134479998</v>
      </c>
      <c r="I38" s="69"/>
      <c r="J38" s="69"/>
      <c r="K38" s="64"/>
    </row>
    <row r="39" spans="1:11" ht="114.75" x14ac:dyDescent="0.2">
      <c r="A39" s="87"/>
      <c r="B39" s="87"/>
      <c r="C39" s="87"/>
      <c r="D39" s="87"/>
      <c r="E39" s="87"/>
      <c r="F39" s="87" t="s">
        <v>151</v>
      </c>
      <c r="G39" s="87"/>
      <c r="H39" s="88">
        <f>H38</f>
        <v>166.52749134479998</v>
      </c>
      <c r="I39" s="88" t="s">
        <v>58</v>
      </c>
      <c r="J39" s="89">
        <f>ROUND(H39/100,4)</f>
        <v>1.6653</v>
      </c>
      <c r="K39" s="67"/>
    </row>
    <row r="40" spans="1:11" ht="72.75" customHeight="1" x14ac:dyDescent="0.2">
      <c r="A40" s="87"/>
      <c r="B40" s="83" t="s">
        <v>126</v>
      </c>
      <c r="C40" s="87"/>
      <c r="D40" s="87"/>
      <c r="E40" s="87"/>
      <c r="F40" s="87" t="s">
        <v>152</v>
      </c>
      <c r="G40" s="87"/>
      <c r="H40" s="90">
        <v>1.0809</v>
      </c>
      <c r="I40" s="88" t="s">
        <v>59</v>
      </c>
      <c r="J40" s="107"/>
      <c r="K40" s="67"/>
    </row>
    <row r="41" spans="1:11" ht="110.25" customHeight="1" x14ac:dyDescent="0.2">
      <c r="A41" s="87"/>
      <c r="B41" s="87"/>
      <c r="C41" s="87"/>
      <c r="D41" s="87"/>
      <c r="E41" s="87"/>
      <c r="F41" s="87" t="s">
        <v>153</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46" t="s">
        <v>129</v>
      </c>
      <c r="B45" s="502"/>
      <c r="C45" s="502"/>
      <c r="D45" s="502"/>
      <c r="E45" s="503"/>
      <c r="F45" s="503"/>
      <c r="G45" s="503"/>
      <c r="H45" s="503"/>
      <c r="I45" s="504"/>
    </row>
    <row r="46" spans="1:11" ht="33" customHeight="1" x14ac:dyDescent="0.2">
      <c r="A46" s="505"/>
      <c r="B46" s="506"/>
      <c r="C46" s="506"/>
      <c r="D46" s="506"/>
      <c r="E46" s="506"/>
      <c r="F46" s="506"/>
      <c r="G46" s="506"/>
      <c r="H46" s="506"/>
      <c r="I46" s="507"/>
    </row>
    <row r="47" spans="1:11" ht="11.25" customHeight="1" x14ac:dyDescent="0.2">
      <c r="A47" s="505"/>
      <c r="B47" s="506"/>
      <c r="C47" s="506"/>
      <c r="D47" s="506"/>
      <c r="E47" s="506"/>
      <c r="F47" s="506"/>
      <c r="G47" s="506"/>
      <c r="H47" s="506"/>
      <c r="I47" s="507"/>
    </row>
    <row r="48" spans="1:11" ht="23.25" hidden="1" customHeight="1" x14ac:dyDescent="0.2">
      <c r="A48" s="508"/>
      <c r="B48" s="509"/>
      <c r="C48" s="509"/>
      <c r="D48" s="509"/>
      <c r="E48" s="509"/>
      <c r="F48" s="509"/>
      <c r="G48" s="509"/>
      <c r="H48" s="509"/>
      <c r="I48" s="510"/>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17" customWidth="1"/>
    <col min="2" max="2" width="70" style="117" customWidth="1"/>
    <col min="3" max="3" width="28.5703125" style="122" customWidth="1"/>
    <col min="4" max="4" width="25.7109375" style="117" customWidth="1"/>
    <col min="5" max="5" width="23.42578125" style="117" customWidth="1"/>
    <col min="6" max="6" width="25.42578125" style="117" customWidth="1"/>
    <col min="7" max="7" width="23.85546875" style="117" customWidth="1"/>
    <col min="8" max="8" width="25.85546875" style="117" customWidth="1"/>
    <col min="9" max="10" width="9.140625" style="117"/>
    <col min="11" max="11" width="5.5703125" style="117" customWidth="1"/>
    <col min="12" max="16384" width="9.140625" style="117"/>
  </cols>
  <sheetData>
    <row r="1" spans="1:15" ht="15.75" x14ac:dyDescent="0.25">
      <c r="A1" s="114" t="s">
        <v>154</v>
      </c>
      <c r="B1" s="115"/>
      <c r="C1" s="116" t="s">
        <v>155</v>
      </c>
    </row>
    <row r="2" spans="1:15" ht="15" x14ac:dyDescent="0.2">
      <c r="A2" s="114"/>
      <c r="B2" s="115"/>
      <c r="C2" s="117"/>
    </row>
    <row r="3" spans="1:15" s="120" customFormat="1" ht="19.5" customHeight="1" x14ac:dyDescent="0.25">
      <c r="A3" s="118" t="s">
        <v>72</v>
      </c>
      <c r="B3" s="118" t="s">
        <v>9</v>
      </c>
      <c r="C3" s="494" t="s">
        <v>10</v>
      </c>
      <c r="D3" s="495"/>
      <c r="E3" s="495"/>
      <c r="F3" s="119"/>
    </row>
    <row r="4" spans="1:15" s="120" customFormat="1" ht="31.5" customHeight="1" x14ac:dyDescent="0.2">
      <c r="B4" s="492" t="s">
        <v>0</v>
      </c>
      <c r="C4" s="493"/>
      <c r="D4" s="493"/>
      <c r="E4" s="493"/>
      <c r="F4" s="493"/>
      <c r="G4" s="493"/>
      <c r="H4" s="493"/>
    </row>
    <row r="5" spans="1:15" s="115" customFormat="1" ht="21" customHeight="1" x14ac:dyDescent="0.2">
      <c r="A5" s="121" t="s">
        <v>99</v>
      </c>
      <c r="B5" s="120"/>
      <c r="C5" s="120"/>
      <c r="D5" s="114"/>
      <c r="E5" s="114"/>
    </row>
    <row r="7" spans="1:15" x14ac:dyDescent="0.2">
      <c r="A7" s="123" t="s">
        <v>156</v>
      </c>
      <c r="B7" s="123"/>
      <c r="C7" s="123"/>
      <c r="D7" s="124"/>
    </row>
    <row r="8" spans="1:15" ht="14.25" x14ac:dyDescent="0.2">
      <c r="A8" s="121"/>
      <c r="B8" s="125"/>
      <c r="C8" s="126"/>
      <c r="D8" s="125"/>
      <c r="E8" s="125"/>
      <c r="F8" s="125"/>
      <c r="G8" s="125"/>
      <c r="H8" s="125"/>
      <c r="I8" s="125"/>
      <c r="J8" s="125"/>
      <c r="K8" s="125"/>
      <c r="L8" s="125"/>
      <c r="M8" s="125"/>
      <c r="N8" s="125"/>
      <c r="O8" s="125"/>
    </row>
    <row r="9" spans="1:15" ht="29.25" customHeight="1" x14ac:dyDescent="0.2">
      <c r="A9" s="125"/>
      <c r="B9" s="125"/>
      <c r="C9" s="126"/>
      <c r="D9" s="127" t="s">
        <v>157</v>
      </c>
      <c r="E9" s="128"/>
      <c r="F9" s="125"/>
      <c r="G9" s="125"/>
      <c r="H9" s="125"/>
      <c r="I9" s="125"/>
      <c r="J9" s="125"/>
      <c r="K9" s="125"/>
      <c r="L9" s="125"/>
      <c r="M9" s="125"/>
      <c r="N9" s="125"/>
      <c r="O9" s="125"/>
    </row>
    <row r="10" spans="1:15" ht="63.75" customHeight="1" x14ac:dyDescent="0.2">
      <c r="A10" s="129" t="s">
        <v>158</v>
      </c>
      <c r="B10" s="130" t="s">
        <v>159</v>
      </c>
      <c r="C10" s="131" t="s">
        <v>160</v>
      </c>
      <c r="D10" s="132" t="s">
        <v>161</v>
      </c>
      <c r="E10" s="132" t="s">
        <v>162</v>
      </c>
      <c r="F10" s="132" t="s">
        <v>163</v>
      </c>
      <c r="G10" s="132" t="s">
        <v>164</v>
      </c>
      <c r="H10" s="125"/>
      <c r="I10" s="125"/>
      <c r="J10" s="125"/>
      <c r="K10" s="125"/>
      <c r="L10" s="125"/>
      <c r="M10" s="125"/>
      <c r="N10" s="125"/>
    </row>
    <row r="11" spans="1:15" ht="60" customHeight="1" x14ac:dyDescent="0.2">
      <c r="A11" s="527" t="s">
        <v>165</v>
      </c>
      <c r="B11" s="133" t="s">
        <v>166</v>
      </c>
      <c r="C11" s="134">
        <f>'2a NVT Uitzenden fase A - Rg I '!J40</f>
        <v>1.3254999999999999</v>
      </c>
      <c r="D11" s="135">
        <v>0</v>
      </c>
      <c r="E11" s="136">
        <v>0.3</v>
      </c>
      <c r="F11" s="137">
        <f>D11</f>
        <v>0</v>
      </c>
      <c r="G11" s="138">
        <f>+C11*D11*E11</f>
        <v>0</v>
      </c>
      <c r="H11" s="125"/>
      <c r="I11" s="125"/>
      <c r="J11" s="125"/>
      <c r="K11" s="125"/>
      <c r="L11" s="125"/>
      <c r="M11" s="125"/>
      <c r="N11" s="125"/>
    </row>
    <row r="12" spans="1:15" ht="49.5" customHeight="1" x14ac:dyDescent="0.2">
      <c r="A12" s="528"/>
      <c r="B12" s="133" t="s">
        <v>167</v>
      </c>
      <c r="C12" s="134">
        <f>'2b NVT Detacheren fase A - Rg I'!J40</f>
        <v>1.8</v>
      </c>
      <c r="D12" s="135">
        <v>1</v>
      </c>
      <c r="E12" s="136">
        <v>0.3</v>
      </c>
      <c r="F12" s="137">
        <f>D12</f>
        <v>1</v>
      </c>
      <c r="G12" s="138">
        <f>+C12*D12*E12</f>
        <v>0.54</v>
      </c>
      <c r="H12" s="125"/>
      <c r="I12" s="125"/>
      <c r="J12" s="125"/>
      <c r="K12" s="125"/>
      <c r="L12" s="125"/>
      <c r="M12" s="125"/>
      <c r="N12" s="125"/>
    </row>
    <row r="13" spans="1:15" ht="48.75" customHeight="1" x14ac:dyDescent="0.2">
      <c r="A13" s="528"/>
      <c r="B13" s="133" t="s">
        <v>168</v>
      </c>
      <c r="C13" s="134">
        <f>'2c NVT Detacheren fase B,C-Rg I'!J41</f>
        <v>1.8</v>
      </c>
      <c r="D13" s="139"/>
      <c r="E13" s="136">
        <v>0.2</v>
      </c>
      <c r="F13" s="140"/>
      <c r="G13" s="138">
        <f>+C13*E13</f>
        <v>0.36000000000000004</v>
      </c>
      <c r="H13" s="125"/>
      <c r="I13" s="125"/>
      <c r="J13" s="125"/>
      <c r="K13" s="125"/>
      <c r="L13" s="125"/>
      <c r="M13" s="125"/>
      <c r="N13" s="125"/>
    </row>
    <row r="14" spans="1:15" ht="45" customHeight="1" x14ac:dyDescent="0.2">
      <c r="A14" s="528"/>
      <c r="B14" s="133" t="s">
        <v>169</v>
      </c>
      <c r="C14" s="134">
        <f>'2d NVT Uitzenden fase A - Rg II'!J41</f>
        <v>1.3328</v>
      </c>
      <c r="D14" s="135">
        <v>0</v>
      </c>
      <c r="E14" s="136">
        <v>0.3</v>
      </c>
      <c r="F14" s="137">
        <f>D14</f>
        <v>0</v>
      </c>
      <c r="G14" s="138">
        <f>+C14*D14*E14</f>
        <v>0</v>
      </c>
      <c r="H14" s="141"/>
      <c r="I14" s="125"/>
      <c r="J14" s="125"/>
      <c r="K14" s="125"/>
      <c r="L14" s="125"/>
      <c r="M14" s="125"/>
      <c r="N14" s="125"/>
    </row>
    <row r="15" spans="1:15" ht="45.75" customHeight="1" x14ac:dyDescent="0.2">
      <c r="A15" s="528"/>
      <c r="B15" s="133" t="s">
        <v>170</v>
      </c>
      <c r="C15" s="134">
        <f>'2e NVT  Detacheren fase A-Rg II'!J41</f>
        <v>1.8</v>
      </c>
      <c r="D15" s="135">
        <v>1</v>
      </c>
      <c r="E15" s="136">
        <v>0.3</v>
      </c>
      <c r="F15" s="137">
        <f>D15</f>
        <v>1</v>
      </c>
      <c r="G15" s="138">
        <f>+C15*D15*E15</f>
        <v>0.54</v>
      </c>
      <c r="H15" s="125"/>
      <c r="I15" s="125"/>
      <c r="J15" s="125"/>
      <c r="K15" s="125"/>
      <c r="L15" s="125"/>
      <c r="M15" s="125"/>
      <c r="N15" s="125"/>
    </row>
    <row r="16" spans="1:15" ht="45" customHeight="1" x14ac:dyDescent="0.2">
      <c r="A16" s="528"/>
      <c r="B16" s="142" t="s">
        <v>171</v>
      </c>
      <c r="C16" s="134">
        <f>'2f NVT Detacheren fase B,C-RgII'!J41</f>
        <v>1.8</v>
      </c>
      <c r="D16" s="143"/>
      <c r="E16" s="136">
        <v>0.2</v>
      </c>
      <c r="F16" s="143"/>
      <c r="G16" s="138">
        <f t="shared" ref="G16" si="0">+C16*E16</f>
        <v>0.36000000000000004</v>
      </c>
      <c r="H16" s="125"/>
      <c r="I16" s="125"/>
      <c r="J16" s="125"/>
      <c r="K16" s="125"/>
      <c r="L16" s="125"/>
      <c r="M16" s="125"/>
      <c r="N16" s="125"/>
    </row>
    <row r="17" spans="1:15" ht="111" customHeight="1" x14ac:dyDescent="0.2">
      <c r="A17" s="125"/>
      <c r="B17" s="125"/>
      <c r="C17" s="126"/>
      <c r="D17" s="144" t="s">
        <v>172</v>
      </c>
      <c r="E17" s="145" t="s">
        <v>173</v>
      </c>
      <c r="F17" s="146">
        <f>SUM(F11:F13)</f>
        <v>1</v>
      </c>
      <c r="G17" s="147">
        <f>ROUND(G11+G12+G13+G14+G15+G16,4)</f>
        <v>1.8</v>
      </c>
      <c r="H17" s="148" t="s">
        <v>174</v>
      </c>
      <c r="J17" s="125"/>
      <c r="K17" s="125"/>
      <c r="L17" s="125"/>
      <c r="M17" s="125"/>
    </row>
    <row r="18" spans="1:15" ht="69" customHeight="1" x14ac:dyDescent="0.2">
      <c r="A18" s="149"/>
      <c r="B18" s="150"/>
      <c r="C18" s="151"/>
      <c r="D18" s="152"/>
      <c r="E18" s="153"/>
      <c r="F18" s="154" t="str">
        <f>IF(F17&lt;&gt;100%,"totaal moet 100% zijn!","Okay")</f>
        <v>Okay</v>
      </c>
      <c r="G18" s="155" t="s">
        <v>175</v>
      </c>
      <c r="I18" s="125"/>
      <c r="J18" s="125"/>
      <c r="K18" s="125"/>
      <c r="L18" s="125"/>
      <c r="M18" s="125"/>
      <c r="N18" s="125"/>
      <c r="O18" s="125"/>
    </row>
    <row r="19" spans="1:15" ht="69" customHeight="1" x14ac:dyDescent="0.2">
      <c r="A19" s="149"/>
      <c r="B19" s="150"/>
      <c r="C19" s="151"/>
      <c r="D19" s="141"/>
      <c r="E19" s="145" t="s">
        <v>176</v>
      </c>
      <c r="F19" s="146">
        <f>SUM(F14:F15)</f>
        <v>1</v>
      </c>
      <c r="G19" s="156"/>
      <c r="I19" s="125"/>
      <c r="J19" s="125"/>
      <c r="K19" s="125"/>
      <c r="L19" s="125"/>
      <c r="M19" s="125"/>
      <c r="N19" s="125"/>
      <c r="O19" s="125"/>
    </row>
    <row r="20" spans="1:15" ht="69" customHeight="1" x14ac:dyDescent="0.2">
      <c r="A20" s="149"/>
      <c r="B20" s="150"/>
      <c r="C20" s="151"/>
      <c r="D20" s="141"/>
      <c r="E20" s="125"/>
      <c r="F20" s="154" t="str">
        <f>IF(F19&lt;&gt;100%,"totaal moet 100% zijn!","Okay")</f>
        <v>Okay</v>
      </c>
      <c r="G20" s="156"/>
      <c r="I20" s="125"/>
      <c r="J20" s="125"/>
      <c r="K20" s="125"/>
      <c r="L20" s="125"/>
      <c r="M20" s="125"/>
      <c r="N20" s="125"/>
      <c r="O20" s="125"/>
    </row>
    <row r="21" spans="1:15" ht="28.5" customHeight="1" x14ac:dyDescent="0.2">
      <c r="A21" s="149"/>
      <c r="B21" s="150"/>
      <c r="C21" s="151"/>
      <c r="D21" s="141"/>
      <c r="E21" s="125"/>
      <c r="F21" s="141"/>
      <c r="G21" s="156"/>
      <c r="I21" s="125"/>
      <c r="J21" s="125"/>
      <c r="K21" s="125"/>
      <c r="L21" s="125"/>
      <c r="M21" s="125"/>
      <c r="N21" s="125"/>
      <c r="O21" s="125"/>
    </row>
    <row r="22" spans="1:15" ht="57" x14ac:dyDescent="0.2">
      <c r="A22" s="157" t="s">
        <v>177</v>
      </c>
      <c r="B22" s="531" t="s">
        <v>178</v>
      </c>
      <c r="C22" s="532"/>
      <c r="D22" s="141"/>
      <c r="F22" s="158"/>
      <c r="J22" s="125"/>
      <c r="K22" s="125"/>
      <c r="L22" s="125"/>
      <c r="M22" s="125"/>
    </row>
    <row r="23" spans="1:15" ht="72.75" customHeight="1" x14ac:dyDescent="0.2">
      <c r="A23" s="159" t="s">
        <v>179</v>
      </c>
      <c r="B23" s="160" t="s">
        <v>180</v>
      </c>
      <c r="C23" s="161" t="e">
        <f>#REF!</f>
        <v>#REF!</v>
      </c>
      <c r="D23" s="529" t="s">
        <v>181</v>
      </c>
      <c r="E23" s="530"/>
      <c r="F23" s="158"/>
      <c r="J23" s="125"/>
      <c r="K23" s="125"/>
      <c r="L23" s="125"/>
      <c r="M23" s="125"/>
    </row>
    <row r="24" spans="1:15" ht="65.25" customHeight="1" x14ac:dyDescent="0.2">
      <c r="A24" s="162"/>
      <c r="B24" s="150"/>
      <c r="C24" s="151"/>
      <c r="D24" s="163"/>
      <c r="E24" s="164"/>
      <c r="F24" s="158"/>
      <c r="J24" s="125"/>
      <c r="K24" s="125"/>
      <c r="L24" s="125"/>
      <c r="M24" s="125"/>
    </row>
    <row r="25" spans="1:15" ht="69" customHeight="1" x14ac:dyDescent="0.2">
      <c r="A25" s="129" t="s">
        <v>182</v>
      </c>
      <c r="B25" s="165" t="s">
        <v>183</v>
      </c>
      <c r="C25" s="166" t="s">
        <v>184</v>
      </c>
      <c r="D25" s="166" t="s">
        <v>185</v>
      </c>
      <c r="E25" s="132" t="s">
        <v>164</v>
      </c>
      <c r="F25" s="167"/>
      <c r="H25" s="125"/>
      <c r="I25" s="125"/>
      <c r="J25" s="125"/>
      <c r="K25" s="125"/>
      <c r="L25" s="125"/>
      <c r="M25" s="125"/>
    </row>
    <row r="26" spans="1:15" ht="91.5" customHeight="1" x14ac:dyDescent="0.2">
      <c r="A26" s="527" t="s">
        <v>186</v>
      </c>
      <c r="B26" s="168" t="s">
        <v>187</v>
      </c>
      <c r="C26" s="134">
        <f>'2a Fase A'!J41</f>
        <v>1.6407</v>
      </c>
      <c r="D26" s="169">
        <v>0.4</v>
      </c>
      <c r="E26" s="138">
        <f>C26*D26</f>
        <v>0.65628000000000009</v>
      </c>
      <c r="F26" s="167"/>
      <c r="G26" s="125"/>
      <c r="H26" s="125"/>
      <c r="I26" s="125"/>
    </row>
    <row r="27" spans="1:15" ht="58.5" customHeight="1" x14ac:dyDescent="0.2">
      <c r="A27" s="537"/>
      <c r="B27" s="168" t="s">
        <v>188</v>
      </c>
      <c r="C27" s="134">
        <f>'2b Fase B en C'!J41</f>
        <v>1.6262000000000001</v>
      </c>
      <c r="D27" s="169">
        <v>0.1</v>
      </c>
      <c r="E27" s="138">
        <f>C27*D27</f>
        <v>0.16262000000000001</v>
      </c>
      <c r="F27" s="125"/>
      <c r="G27" s="125"/>
      <c r="H27" s="125"/>
      <c r="I27" s="125"/>
    </row>
    <row r="28" spans="1:15" ht="84.75" customHeight="1" x14ac:dyDescent="0.2">
      <c r="A28" s="537"/>
      <c r="B28" s="168" t="s">
        <v>189</v>
      </c>
      <c r="C28" s="134" t="e">
        <f>#REF!</f>
        <v>#REF!</v>
      </c>
      <c r="D28" s="169">
        <v>0.4</v>
      </c>
      <c r="E28" s="138" t="e">
        <f t="shared" ref="E28:E29" si="1">C28*D28</f>
        <v>#REF!</v>
      </c>
      <c r="F28" s="125"/>
      <c r="G28" s="125"/>
      <c r="H28" s="125"/>
      <c r="I28" s="125"/>
      <c r="J28" s="125"/>
      <c r="K28" s="125"/>
    </row>
    <row r="29" spans="1:15" ht="66.75" customHeight="1" x14ac:dyDescent="0.2">
      <c r="A29" s="537"/>
      <c r="B29" s="168" t="s">
        <v>190</v>
      </c>
      <c r="C29" s="134" t="e">
        <f>#REF!</f>
        <v>#REF!</v>
      </c>
      <c r="D29" s="169">
        <v>0.1</v>
      </c>
      <c r="E29" s="138" t="e">
        <f t="shared" si="1"/>
        <v>#REF!</v>
      </c>
      <c r="F29" s="158"/>
      <c r="J29" s="125"/>
      <c r="K29" s="125"/>
      <c r="L29" s="125"/>
      <c r="M29" s="125"/>
    </row>
    <row r="30" spans="1:15" ht="55.5" customHeight="1" x14ac:dyDescent="0.2">
      <c r="A30" s="537"/>
      <c r="C30" s="117"/>
      <c r="E30" s="170" t="e">
        <f>ROUND(E26+E27+E28+E29,4)</f>
        <v>#REF!</v>
      </c>
      <c r="F30" s="171" t="s">
        <v>191</v>
      </c>
      <c r="G30" s="125"/>
      <c r="H30" s="125"/>
      <c r="I30" s="125"/>
    </row>
    <row r="31" spans="1:15" ht="57" customHeight="1" x14ac:dyDescent="0.2">
      <c r="A31" s="537"/>
      <c r="B31" s="125"/>
      <c r="C31" s="126"/>
      <c r="D31" s="153"/>
      <c r="E31" s="156" t="s">
        <v>175</v>
      </c>
      <c r="F31" s="158"/>
      <c r="G31" s="125"/>
      <c r="H31" s="125"/>
      <c r="I31" s="125"/>
    </row>
    <row r="32" spans="1:15" ht="3" customHeight="1" x14ac:dyDescent="0.2">
      <c r="A32" s="537"/>
      <c r="B32" s="125"/>
      <c r="C32" s="126"/>
      <c r="D32" s="153"/>
      <c r="E32" s="156"/>
      <c r="F32" s="158"/>
      <c r="J32" s="125"/>
      <c r="K32" s="125"/>
      <c r="L32" s="125"/>
      <c r="M32" s="125"/>
    </row>
    <row r="33" spans="1:15" ht="24.75" customHeight="1" x14ac:dyDescent="0.2">
      <c r="A33" s="172"/>
      <c r="B33" s="125"/>
      <c r="C33" s="126"/>
      <c r="D33" s="153"/>
      <c r="E33" s="156"/>
      <c r="F33" s="158"/>
      <c r="J33" s="125"/>
      <c r="K33" s="125"/>
      <c r="L33" s="125"/>
      <c r="M33" s="125"/>
    </row>
    <row r="34" spans="1:15" ht="31.5" customHeight="1" x14ac:dyDescent="0.2">
      <c r="A34" s="172"/>
      <c r="B34" s="125"/>
      <c r="C34" s="126"/>
      <c r="D34" s="141"/>
      <c r="E34" s="125"/>
      <c r="F34" s="125"/>
      <c r="G34" s="125"/>
      <c r="H34" s="125"/>
      <c r="I34" s="125"/>
      <c r="J34" s="125"/>
      <c r="K34" s="125"/>
      <c r="L34" s="125"/>
      <c r="M34" s="125"/>
      <c r="N34" s="125"/>
      <c r="O34" s="125"/>
    </row>
    <row r="35" spans="1:15" ht="71.25" x14ac:dyDescent="0.2">
      <c r="A35" s="173" t="s">
        <v>192</v>
      </c>
      <c r="B35" s="174"/>
      <c r="C35" s="174"/>
      <c r="D35" s="175"/>
      <c r="E35" s="125"/>
      <c r="G35" s="125"/>
      <c r="H35" s="125"/>
      <c r="I35" s="125"/>
      <c r="J35" s="125"/>
      <c r="K35" s="125"/>
      <c r="L35" s="125"/>
      <c r="M35" s="125"/>
      <c r="N35" s="125"/>
      <c r="O35" s="125"/>
    </row>
    <row r="36" spans="1:15" ht="45.75" customHeight="1" x14ac:dyDescent="0.2">
      <c r="B36" s="176" t="s">
        <v>193</v>
      </c>
      <c r="C36" s="177" t="s">
        <v>194</v>
      </c>
      <c r="D36" s="178" t="s">
        <v>195</v>
      </c>
      <c r="G36" s="125"/>
      <c r="H36" s="125"/>
      <c r="I36" s="125"/>
      <c r="J36" s="125"/>
      <c r="K36" s="125"/>
      <c r="L36" s="125"/>
      <c r="M36" s="125"/>
      <c r="N36" s="125"/>
      <c r="O36" s="125"/>
    </row>
    <row r="37" spans="1:15" ht="43.5" customHeight="1" x14ac:dyDescent="0.2">
      <c r="A37" s="179" t="s">
        <v>196</v>
      </c>
      <c r="B37" s="180">
        <f>G17</f>
        <v>1.8</v>
      </c>
      <c r="C37" s="181">
        <v>0.5</v>
      </c>
      <c r="D37" s="182">
        <f>B37*C37</f>
        <v>0.9</v>
      </c>
      <c r="G37" s="125"/>
      <c r="H37" s="125"/>
      <c r="I37" s="125"/>
      <c r="J37" s="125"/>
      <c r="K37" s="125"/>
      <c r="L37" s="125"/>
      <c r="M37" s="125"/>
      <c r="N37" s="125"/>
      <c r="O37" s="125"/>
    </row>
    <row r="38" spans="1:15" ht="120.75" customHeight="1" x14ac:dyDescent="0.2">
      <c r="A38" s="183" t="s">
        <v>197</v>
      </c>
      <c r="B38" s="184" t="e">
        <f>E30</f>
        <v>#REF!</v>
      </c>
      <c r="C38" s="181">
        <v>0.5</v>
      </c>
      <c r="D38" s="182" t="e">
        <f>B38*C38</f>
        <v>#REF!</v>
      </c>
      <c r="G38" s="125"/>
      <c r="H38" s="125"/>
      <c r="I38" s="125"/>
      <c r="J38" s="125"/>
      <c r="K38" s="125"/>
      <c r="L38" s="125"/>
      <c r="M38" s="125"/>
      <c r="N38" s="125"/>
      <c r="O38" s="125"/>
    </row>
    <row r="39" spans="1:15" ht="104.25" customHeight="1" x14ac:dyDescent="0.25">
      <c r="A39" s="125"/>
      <c r="B39" s="125"/>
      <c r="C39" s="185"/>
      <c r="D39" s="186" t="e">
        <f>D37+D38</f>
        <v>#REF!</v>
      </c>
      <c r="E39" s="187" t="e">
        <f>ROUND(D39,4)</f>
        <v>#REF!</v>
      </c>
      <c r="F39" s="148" t="s">
        <v>198</v>
      </c>
      <c r="G39" s="125"/>
      <c r="H39" s="125"/>
      <c r="I39" s="125"/>
      <c r="J39" s="125"/>
      <c r="K39" s="125"/>
      <c r="L39" s="125"/>
      <c r="M39" s="125"/>
      <c r="N39" s="125"/>
      <c r="O39" s="125"/>
    </row>
    <row r="40" spans="1:15" ht="31.5" customHeight="1" x14ac:dyDescent="0.25">
      <c r="A40" s="125"/>
      <c r="B40" s="125"/>
      <c r="C40" s="126"/>
      <c r="E40" s="158" t="s">
        <v>175</v>
      </c>
      <c r="I40" s="188"/>
    </row>
    <row r="41" spans="1:15" ht="14.25" x14ac:dyDescent="0.2">
      <c r="A41" s="125"/>
      <c r="B41" s="189"/>
      <c r="C41" s="126"/>
      <c r="E41" s="125"/>
    </row>
    <row r="42" spans="1:15" x14ac:dyDescent="0.2">
      <c r="A42" s="125"/>
      <c r="B42" s="190" t="s">
        <v>199</v>
      </c>
      <c r="C42" s="126"/>
      <c r="D42" s="125"/>
    </row>
    <row r="43" spans="1:15" ht="33" customHeight="1" x14ac:dyDescent="0.2">
      <c r="B43" s="191" t="s">
        <v>200</v>
      </c>
      <c r="C43" s="191"/>
      <c r="D43" s="191"/>
      <c r="G43" s="192"/>
    </row>
    <row r="44" spans="1:15" ht="18" customHeight="1" x14ac:dyDescent="0.2">
      <c r="B44" s="141" t="s">
        <v>201</v>
      </c>
      <c r="C44" s="126"/>
      <c r="D44" s="125"/>
      <c r="G44" s="192"/>
    </row>
    <row r="45" spans="1:15" ht="52.5" customHeight="1" x14ac:dyDescent="0.2">
      <c r="B45" s="125"/>
      <c r="C45" s="126"/>
      <c r="D45" s="125"/>
      <c r="E45" s="192"/>
      <c r="G45" s="192"/>
    </row>
    <row r="46" spans="1:15" ht="45" customHeight="1" x14ac:dyDescent="0.2">
      <c r="B46" s="193" t="s">
        <v>202</v>
      </c>
      <c r="C46" s="167" t="s">
        <v>203</v>
      </c>
      <c r="D46" s="125"/>
      <c r="E46" s="125"/>
    </row>
    <row r="47" spans="1:15" ht="39.75" customHeight="1" x14ac:dyDescent="0.2">
      <c r="B47" s="193" t="e">
        <f>2.15-E39</f>
        <v>#REF!</v>
      </c>
      <c r="C47" s="194" t="e">
        <f>IF(C48&lt;0,"knock out",IF(C48&gt;=300,300,C48))</f>
        <v>#REF!</v>
      </c>
      <c r="D47" s="195" t="s">
        <v>204</v>
      </c>
      <c r="E47" s="125"/>
    </row>
    <row r="48" spans="1:15" s="196" customFormat="1" ht="23.25" hidden="1" customHeight="1" x14ac:dyDescent="0.2">
      <c r="B48" s="197"/>
      <c r="C48" s="198" t="e">
        <f>B47*545.4545</f>
        <v>#REF!</v>
      </c>
      <c r="D48" s="199" t="s">
        <v>205</v>
      </c>
      <c r="E48" s="200"/>
    </row>
    <row r="49" spans="1:5" ht="29.25" customHeight="1" x14ac:dyDescent="0.2">
      <c r="A49" s="201"/>
      <c r="B49" s="202"/>
      <c r="C49" s="203"/>
      <c r="D49" s="128"/>
      <c r="E49" s="204"/>
    </row>
    <row r="50" spans="1:5" ht="31.5" customHeight="1" x14ac:dyDescent="0.2">
      <c r="B50" s="125"/>
      <c r="C50" s="533"/>
      <c r="D50" s="533"/>
    </row>
    <row r="51" spans="1:5" ht="38.25" customHeight="1" x14ac:dyDescent="0.2">
      <c r="A51" s="546" t="s">
        <v>206</v>
      </c>
      <c r="B51" s="547"/>
      <c r="C51" s="547"/>
      <c r="D51" s="547"/>
      <c r="E51" s="548"/>
    </row>
    <row r="52" spans="1:5" ht="30" customHeight="1" x14ac:dyDescent="0.2">
      <c r="A52" s="536" t="s">
        <v>207</v>
      </c>
      <c r="B52" s="540" t="s">
        <v>208</v>
      </c>
      <c r="C52" s="541"/>
      <c r="D52" s="125"/>
    </row>
    <row r="53" spans="1:5" ht="33" customHeight="1" thickBot="1" x14ac:dyDescent="0.25">
      <c r="A53" s="535"/>
      <c r="B53" s="542"/>
      <c r="C53" s="543"/>
      <c r="D53" s="204"/>
    </row>
    <row r="54" spans="1:5" ht="20.25" customHeight="1" x14ac:dyDescent="0.2">
      <c r="A54" s="534" t="s">
        <v>209</v>
      </c>
      <c r="B54" s="544" t="s">
        <v>210</v>
      </c>
      <c r="C54" s="545"/>
    </row>
    <row r="55" spans="1:5" ht="66" customHeight="1" thickBot="1" x14ac:dyDescent="0.25">
      <c r="A55" s="535"/>
      <c r="B55" s="542"/>
      <c r="C55" s="543"/>
    </row>
    <row r="56" spans="1:5" ht="69.75" customHeight="1" x14ac:dyDescent="0.2">
      <c r="A56" s="534" t="s">
        <v>211</v>
      </c>
      <c r="B56" s="544" t="s">
        <v>212</v>
      </c>
      <c r="C56" s="545"/>
    </row>
    <row r="57" spans="1:5" ht="72" customHeight="1" thickBot="1" x14ac:dyDescent="0.25">
      <c r="A57" s="535"/>
      <c r="B57" s="542"/>
      <c r="C57" s="543"/>
    </row>
    <row r="58" spans="1:5" ht="91.5" customHeight="1" thickBot="1" x14ac:dyDescent="0.25">
      <c r="A58" s="205" t="s">
        <v>213</v>
      </c>
      <c r="B58" s="538"/>
      <c r="C58" s="539"/>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activeCell="I37" sqref="I37"/>
    </sheetView>
  </sheetViews>
  <sheetFormatPr defaultColWidth="9.140625" defaultRowHeight="12.75" x14ac:dyDescent="0.2"/>
  <cols>
    <col min="1" max="1" width="26.140625" style="35" customWidth="1"/>
    <col min="2" max="2" width="12.5703125" style="35" customWidth="1"/>
    <col min="3" max="6" width="10.28515625" style="35" bestFit="1" customWidth="1"/>
    <col min="7" max="7" width="10.85546875" style="35" customWidth="1"/>
    <col min="8" max="11" width="10.28515625" style="35" bestFit="1" customWidth="1"/>
    <col min="12" max="14" width="9.85546875" style="35" bestFit="1" customWidth="1"/>
    <col min="15" max="16384" width="9.140625" style="35"/>
  </cols>
  <sheetData>
    <row r="1" spans="1:15" ht="21.75" customHeight="1" x14ac:dyDescent="0.2">
      <c r="A1" s="362" t="s">
        <v>270</v>
      </c>
      <c r="B1" s="363"/>
      <c r="C1" s="363"/>
      <c r="D1" s="363"/>
      <c r="E1" s="363"/>
      <c r="F1" s="363"/>
      <c r="G1" s="359"/>
      <c r="H1" s="359"/>
      <c r="I1" s="359"/>
      <c r="J1" s="359"/>
      <c r="K1" s="359"/>
    </row>
    <row r="2" spans="1:15" ht="19.5" customHeight="1" x14ac:dyDescent="0.2">
      <c r="A2" s="1"/>
      <c r="B2" s="54"/>
      <c r="C2" s="54"/>
      <c r="D2" s="54"/>
      <c r="E2" s="54"/>
      <c r="F2" s="54"/>
      <c r="G2" s="54"/>
    </row>
    <row r="3" spans="1:15" s="41" customFormat="1" ht="19.5" customHeight="1" x14ac:dyDescent="0.2">
      <c r="A3" s="255" t="s">
        <v>239</v>
      </c>
      <c r="B3" s="49" t="s">
        <v>240</v>
      </c>
      <c r="C3" s="50"/>
      <c r="D3" s="50"/>
      <c r="E3" s="50"/>
      <c r="F3" s="50"/>
      <c r="G3" s="358"/>
      <c r="H3" s="359"/>
      <c r="I3" s="359"/>
      <c r="J3" s="359"/>
      <c r="K3" s="359"/>
    </row>
    <row r="4" spans="1:15" s="41" customFormat="1" ht="21" customHeight="1" x14ac:dyDescent="0.25">
      <c r="A4" s="35"/>
      <c r="B4" s="49" t="s">
        <v>241</v>
      </c>
      <c r="C4" s="48"/>
      <c r="D4" s="49"/>
      <c r="E4" s="49"/>
      <c r="F4" s="35"/>
      <c r="G4" s="354" t="s">
        <v>339</v>
      </c>
      <c r="H4" s="35"/>
      <c r="I4" s="35"/>
      <c r="J4" s="35"/>
      <c r="K4" s="35"/>
      <c r="L4" s="35"/>
      <c r="M4" s="35"/>
      <c r="N4" s="35"/>
      <c r="O4" s="35"/>
    </row>
    <row r="5" spans="1:15" s="45" customFormat="1" x14ac:dyDescent="0.2">
      <c r="A5" s="35"/>
      <c r="B5" s="35"/>
      <c r="C5" s="35"/>
      <c r="D5" s="35"/>
      <c r="E5" s="35"/>
      <c r="F5" s="35"/>
      <c r="G5" s="35"/>
      <c r="H5" s="35"/>
      <c r="I5" s="35"/>
      <c r="J5" s="35"/>
      <c r="K5" s="35"/>
      <c r="L5" s="35"/>
      <c r="M5" s="35"/>
      <c r="N5" s="35"/>
      <c r="O5" s="35"/>
    </row>
    <row r="6" spans="1:15" ht="18" x14ac:dyDescent="0.25">
      <c r="A6" s="258" t="s">
        <v>243</v>
      </c>
      <c r="B6" s="254"/>
      <c r="C6" s="254"/>
      <c r="D6" s="254"/>
    </row>
    <row r="8" spans="1:15" ht="45.75" x14ac:dyDescent="0.2">
      <c r="A8" s="313" t="s">
        <v>242</v>
      </c>
      <c r="B8" s="332">
        <v>1</v>
      </c>
      <c r="C8" s="332">
        <v>2</v>
      </c>
      <c r="D8" s="332">
        <v>3</v>
      </c>
      <c r="E8" s="332">
        <v>4</v>
      </c>
      <c r="F8" s="332">
        <v>5</v>
      </c>
      <c r="G8" s="332">
        <v>6</v>
      </c>
      <c r="H8" s="332">
        <v>7</v>
      </c>
      <c r="I8" s="332">
        <v>8</v>
      </c>
      <c r="J8" s="332">
        <v>9</v>
      </c>
      <c r="K8" s="332">
        <v>10</v>
      </c>
    </row>
    <row r="9" spans="1:15" x14ac:dyDescent="0.2">
      <c r="A9" s="333">
        <v>0</v>
      </c>
      <c r="B9" s="334">
        <v>13.52</v>
      </c>
      <c r="C9" s="334">
        <v>14.24</v>
      </c>
      <c r="D9" s="334">
        <v>15</v>
      </c>
      <c r="E9" s="334">
        <v>15.53</v>
      </c>
      <c r="F9" s="334">
        <v>16.07</v>
      </c>
      <c r="G9" s="334">
        <v>16.64</v>
      </c>
      <c r="H9" s="334">
        <v>17.53</v>
      </c>
      <c r="I9" s="334">
        <v>18.89</v>
      </c>
      <c r="J9" s="334">
        <v>20.3</v>
      </c>
      <c r="K9" s="334">
        <v>19.82</v>
      </c>
    </row>
    <row r="10" spans="1:15" x14ac:dyDescent="0.2">
      <c r="A10" s="333">
        <v>1</v>
      </c>
      <c r="B10" s="334">
        <v>13.75</v>
      </c>
      <c r="C10" s="334">
        <v>14.49</v>
      </c>
      <c r="D10" s="334">
        <v>15.26</v>
      </c>
      <c r="E10" s="334">
        <v>15.799999999999999</v>
      </c>
      <c r="F10" s="334">
        <v>16.360000000000003</v>
      </c>
      <c r="G10" s="334">
        <v>16.930000000000003</v>
      </c>
      <c r="H10" s="334">
        <v>17.950000000000003</v>
      </c>
      <c r="I10" s="334">
        <v>19.360000000000003</v>
      </c>
      <c r="J10" s="334">
        <v>20.770000000000003</v>
      </c>
      <c r="K10" s="334">
        <v>20.770000000000003</v>
      </c>
    </row>
    <row r="11" spans="1:15" x14ac:dyDescent="0.2">
      <c r="A11" s="333">
        <v>2</v>
      </c>
      <c r="B11" s="334">
        <v>13.99</v>
      </c>
      <c r="C11" s="334">
        <v>14.74</v>
      </c>
      <c r="D11" s="334">
        <v>15.53</v>
      </c>
      <c r="E11" s="334">
        <v>16.07</v>
      </c>
      <c r="F11" s="334">
        <v>16.64</v>
      </c>
      <c r="G11" s="334">
        <v>17.23</v>
      </c>
      <c r="H11" s="334">
        <v>18.420000000000002</v>
      </c>
      <c r="I11" s="334">
        <v>19.82</v>
      </c>
      <c r="J11" s="334">
        <v>21.23</v>
      </c>
      <c r="K11" s="334">
        <v>21.89</v>
      </c>
    </row>
    <row r="12" spans="1:15" x14ac:dyDescent="0.2">
      <c r="A12" s="333">
        <v>3</v>
      </c>
      <c r="B12" s="334">
        <v>14.24</v>
      </c>
      <c r="C12" s="334">
        <v>15</v>
      </c>
      <c r="D12" s="334">
        <v>15.799999999999999</v>
      </c>
      <c r="E12" s="334">
        <v>16.360000000000003</v>
      </c>
      <c r="F12" s="334">
        <v>16.930000000000003</v>
      </c>
      <c r="G12" s="334">
        <v>17.53</v>
      </c>
      <c r="H12" s="334">
        <v>18.89</v>
      </c>
      <c r="I12" s="334">
        <v>20.3</v>
      </c>
      <c r="J12" s="334">
        <v>21.89</v>
      </c>
      <c r="K12" s="334">
        <v>23.48</v>
      </c>
    </row>
    <row r="13" spans="1:15" x14ac:dyDescent="0.2">
      <c r="A13" s="333">
        <v>4</v>
      </c>
      <c r="B13" s="334">
        <v>14.49</v>
      </c>
      <c r="C13" s="334">
        <v>15.26</v>
      </c>
      <c r="D13" s="334">
        <v>16.07</v>
      </c>
      <c r="E13" s="334">
        <v>16.64</v>
      </c>
      <c r="F13" s="334">
        <v>17.23</v>
      </c>
      <c r="G13" s="334">
        <v>17.950000000000003</v>
      </c>
      <c r="H13" s="334">
        <v>19.360000000000003</v>
      </c>
      <c r="I13" s="334">
        <v>20.770000000000003</v>
      </c>
      <c r="J13" s="334">
        <v>22.630000000000003</v>
      </c>
      <c r="K13" s="334">
        <v>25.35</v>
      </c>
    </row>
    <row r="14" spans="1:15" x14ac:dyDescent="0.2">
      <c r="A14" s="333">
        <v>5</v>
      </c>
      <c r="B14" s="334">
        <v>14.74</v>
      </c>
      <c r="C14" s="334">
        <v>15.53</v>
      </c>
      <c r="D14" s="334">
        <v>16.360000000000003</v>
      </c>
      <c r="E14" s="334">
        <v>16.930000000000003</v>
      </c>
      <c r="F14" s="334">
        <v>17.53</v>
      </c>
      <c r="G14" s="334">
        <v>18.420000000000002</v>
      </c>
      <c r="H14" s="334">
        <v>19.82</v>
      </c>
      <c r="I14" s="334">
        <v>21.23</v>
      </c>
      <c r="J14" s="334">
        <v>23.48</v>
      </c>
      <c r="K14" s="334">
        <v>26.380000000000003</v>
      </c>
    </row>
    <row r="15" spans="1:15" x14ac:dyDescent="0.2">
      <c r="A15" s="333">
        <v>6</v>
      </c>
      <c r="B15" s="334">
        <v>15</v>
      </c>
      <c r="C15" s="334">
        <v>15.799999999999999</v>
      </c>
      <c r="D15" s="334">
        <v>16.64</v>
      </c>
      <c r="E15" s="334">
        <v>17.23</v>
      </c>
      <c r="F15" s="334">
        <v>17.950000000000003</v>
      </c>
      <c r="G15" s="334">
        <v>18.89</v>
      </c>
      <c r="H15" s="334">
        <v>20.3</v>
      </c>
      <c r="I15" s="334">
        <v>21.89</v>
      </c>
      <c r="J15" s="334">
        <v>24.41</v>
      </c>
      <c r="K15" s="334">
        <v>27.430000000000003</v>
      </c>
    </row>
    <row r="16" spans="1:15" x14ac:dyDescent="0.2">
      <c r="A16" s="333">
        <v>7</v>
      </c>
      <c r="B16" s="334">
        <v>15.26</v>
      </c>
      <c r="C16" s="334">
        <v>16.07</v>
      </c>
      <c r="D16" s="334">
        <v>16.930000000000003</v>
      </c>
      <c r="E16" s="334">
        <v>17.53</v>
      </c>
      <c r="F16" s="334">
        <v>18.420000000000002</v>
      </c>
      <c r="G16" s="334">
        <v>19.360000000000003</v>
      </c>
      <c r="H16" s="334">
        <v>20.770000000000003</v>
      </c>
      <c r="I16" s="334">
        <v>22.630000000000003</v>
      </c>
      <c r="J16" s="334">
        <v>25.35</v>
      </c>
      <c r="K16" s="334">
        <v>28.470000000000002</v>
      </c>
    </row>
    <row r="17" spans="1:11" x14ac:dyDescent="0.2">
      <c r="A17" s="333">
        <v>8</v>
      </c>
      <c r="B17" s="334">
        <v>15.53</v>
      </c>
      <c r="C17" s="334">
        <v>16.360000000000003</v>
      </c>
      <c r="D17" s="334">
        <v>17.23</v>
      </c>
      <c r="E17" s="334">
        <v>17.950000000000003</v>
      </c>
      <c r="F17" s="334">
        <v>18.89</v>
      </c>
      <c r="G17" s="334">
        <v>19.82</v>
      </c>
      <c r="H17" s="334">
        <v>21.23</v>
      </c>
      <c r="I17" s="334">
        <v>23.48</v>
      </c>
      <c r="J17" s="334">
        <v>26.380000000000003</v>
      </c>
      <c r="K17" s="334">
        <v>29.46</v>
      </c>
    </row>
    <row r="18" spans="1:11" ht="12" customHeight="1" x14ac:dyDescent="0.2">
      <c r="A18" s="333">
        <v>9</v>
      </c>
      <c r="B18" s="334">
        <v>15.799999999999999</v>
      </c>
      <c r="C18" s="334">
        <v>16.64</v>
      </c>
      <c r="D18" s="334">
        <v>17.53</v>
      </c>
      <c r="E18" s="334">
        <v>18.420000000000002</v>
      </c>
      <c r="F18" s="334">
        <v>19.360000000000003</v>
      </c>
      <c r="G18" s="334">
        <v>20.3</v>
      </c>
      <c r="H18" s="334">
        <v>21.89</v>
      </c>
      <c r="I18" s="334">
        <v>24.41</v>
      </c>
      <c r="J18" s="334">
        <v>27.430000000000003</v>
      </c>
      <c r="K18" s="334">
        <v>30.51</v>
      </c>
    </row>
    <row r="19" spans="1:11" x14ac:dyDescent="0.2">
      <c r="A19" s="333">
        <v>10</v>
      </c>
      <c r="B19" s="334">
        <v>16.07</v>
      </c>
      <c r="C19" s="334">
        <v>16.930000000000003</v>
      </c>
      <c r="D19" s="334">
        <v>17.950000000000003</v>
      </c>
      <c r="E19" s="334">
        <v>18.89</v>
      </c>
      <c r="F19" s="334">
        <v>19.82</v>
      </c>
      <c r="G19" s="334">
        <v>20.770000000000003</v>
      </c>
      <c r="H19" s="334">
        <v>22.630000000000003</v>
      </c>
      <c r="I19" s="334">
        <v>25.35</v>
      </c>
      <c r="J19" s="334">
        <v>28.470000000000002</v>
      </c>
      <c r="K19" s="334">
        <v>31.55</v>
      </c>
    </row>
    <row r="23" spans="1:11" x14ac:dyDescent="0.2">
      <c r="A23" s="51"/>
    </row>
    <row r="25" spans="1:11" x14ac:dyDescent="0.2">
      <c r="A25" s="51"/>
    </row>
    <row r="26" spans="1:11" x14ac:dyDescent="0.2">
      <c r="A26" s="51"/>
    </row>
  </sheetData>
  <sheetProtection algorithmName="SHA-512" hashValue="VXs4/IY/pBCkSZtUsN6KAXZ9kT5RV1gYn9rxG3yBJ20dg6RR3ph2wK9RxDuJNFMYunAMMr8B+yOrkQWoEftVJg==" saltValue="K2MTrR28lA971fba0pGqKw==" spinCount="100000" sheet="1" objects="1" scenarios="1"/>
  <mergeCells count="2">
    <mergeCell ref="G3:K3"/>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9"/>
  <sheetViews>
    <sheetView zoomScaleNormal="100" workbookViewId="0">
      <selection activeCell="D24" sqref="D24"/>
    </sheetView>
  </sheetViews>
  <sheetFormatPr defaultColWidth="9.140625" defaultRowHeight="12.75" x14ac:dyDescent="0.2"/>
  <cols>
    <col min="1" max="1" width="31.5703125" style="35" customWidth="1"/>
    <col min="2" max="2" width="34.7109375" style="35" customWidth="1"/>
    <col min="3" max="3" width="37.5703125" style="35" customWidth="1"/>
    <col min="4" max="4" width="13.28515625" style="35" customWidth="1"/>
    <col min="5" max="5" width="14.28515625" style="35" customWidth="1"/>
    <col min="6" max="6" width="34.7109375" style="35" customWidth="1"/>
    <col min="7" max="7" width="11.5703125" style="35" customWidth="1"/>
    <col min="8" max="8" width="12.140625" style="35" customWidth="1"/>
    <col min="9" max="9" width="58" style="35" customWidth="1"/>
    <col min="10" max="10" width="23.140625" style="35" customWidth="1"/>
    <col min="11" max="11" width="20" style="35" customWidth="1"/>
    <col min="12" max="12" width="9.140625" style="35"/>
    <col min="13" max="13" width="27" style="35" customWidth="1"/>
    <col min="14" max="14" width="6.85546875" style="35" customWidth="1"/>
    <col min="15" max="15" width="11.7109375" style="35" customWidth="1"/>
    <col min="16" max="16" width="22.140625" style="35" customWidth="1"/>
    <col min="17" max="17" width="21.28515625" style="35" customWidth="1"/>
    <col min="18" max="16384" width="9.140625" style="35"/>
  </cols>
  <sheetData>
    <row r="1" spans="1:15" ht="30" customHeight="1" x14ac:dyDescent="0.2">
      <c r="A1" s="362" t="s">
        <v>292</v>
      </c>
      <c r="B1" s="363"/>
      <c r="C1" s="363"/>
      <c r="D1" s="363"/>
      <c r="E1" s="363"/>
      <c r="F1" s="363"/>
      <c r="G1" s="359"/>
      <c r="H1" s="359"/>
      <c r="I1" s="359"/>
      <c r="J1" s="359"/>
      <c r="K1" s="359"/>
    </row>
    <row r="2" spans="1:15" ht="14.25" x14ac:dyDescent="0.2">
      <c r="A2" s="1"/>
      <c r="B2" s="54"/>
      <c r="C2" s="54"/>
      <c r="D2" s="54"/>
      <c r="E2" s="54"/>
      <c r="F2" s="54"/>
      <c r="G2" s="54"/>
    </row>
    <row r="3" spans="1:15" s="41" customFormat="1" ht="19.5" customHeight="1" x14ac:dyDescent="0.2">
      <c r="A3" s="257" t="s">
        <v>239</v>
      </c>
      <c r="B3" s="49" t="s">
        <v>240</v>
      </c>
      <c r="C3" s="50"/>
      <c r="D3" s="49" t="s">
        <v>275</v>
      </c>
      <c r="E3" s="50"/>
      <c r="F3" s="50"/>
      <c r="G3" s="358"/>
      <c r="H3" s="359"/>
      <c r="I3" s="359"/>
      <c r="J3" s="359"/>
      <c r="K3" s="359"/>
    </row>
    <row r="4" spans="1:15" s="41" customFormat="1" ht="36" customHeight="1" x14ac:dyDescent="0.25">
      <c r="A4" s="35"/>
      <c r="B4" s="49" t="s">
        <v>241</v>
      </c>
      <c r="C4" s="48"/>
      <c r="D4" s="48"/>
      <c r="E4" s="49"/>
      <c r="F4" s="354" t="s">
        <v>340</v>
      </c>
      <c r="G4" s="35"/>
      <c r="H4" s="35"/>
      <c r="I4" s="35"/>
      <c r="J4" s="35"/>
      <c r="K4" s="35"/>
      <c r="L4" s="35"/>
      <c r="M4" s="35"/>
      <c r="N4" s="35"/>
      <c r="O4" s="35"/>
    </row>
    <row r="5" spans="1:15" ht="21" customHeight="1" x14ac:dyDescent="0.25">
      <c r="A5" s="256" t="s">
        <v>284</v>
      </c>
      <c r="B5" s="259"/>
      <c r="C5" s="259"/>
      <c r="D5" s="382"/>
      <c r="E5" s="383"/>
      <c r="F5" s="383"/>
    </row>
    <row r="6" spans="1:15" ht="15" customHeight="1" x14ac:dyDescent="0.2">
      <c r="A6" s="378"/>
      <c r="B6" s="378"/>
      <c r="C6" s="378"/>
      <c r="D6" s="378"/>
      <c r="E6" s="378"/>
      <c r="F6" s="378"/>
      <c r="G6" s="378"/>
      <c r="H6" s="378"/>
      <c r="I6" s="378"/>
    </row>
    <row r="7" spans="1:15" ht="27.75" customHeight="1" x14ac:dyDescent="0.2">
      <c r="B7" s="12" t="s">
        <v>11</v>
      </c>
      <c r="C7" s="13"/>
      <c r="I7" s="379" t="s">
        <v>278</v>
      </c>
      <c r="J7" s="380"/>
      <c r="K7" s="381"/>
    </row>
    <row r="8" spans="1:15" ht="32.25" customHeight="1" x14ac:dyDescent="0.2">
      <c r="A8" s="375" t="s">
        <v>332</v>
      </c>
      <c r="B8" s="376"/>
      <c r="C8" s="376"/>
      <c r="D8" s="376"/>
      <c r="E8" s="376"/>
      <c r="F8" s="376"/>
      <c r="G8" s="376"/>
      <c r="H8" s="376"/>
      <c r="I8" s="376"/>
      <c r="J8" s="376"/>
      <c r="K8" s="377"/>
    </row>
    <row r="9" spans="1:15" ht="42" customHeight="1" x14ac:dyDescent="0.2">
      <c r="A9" s="302" t="s">
        <v>13</v>
      </c>
      <c r="B9" s="302" t="s">
        <v>219</v>
      </c>
      <c r="C9" s="302"/>
      <c r="D9" s="302" t="s">
        <v>15</v>
      </c>
      <c r="E9" s="302"/>
      <c r="F9" s="302" t="s">
        <v>16</v>
      </c>
      <c r="G9" s="302" t="s">
        <v>17</v>
      </c>
      <c r="H9" s="302" t="s">
        <v>18</v>
      </c>
      <c r="I9" s="302" t="s">
        <v>19</v>
      </c>
      <c r="J9" s="371"/>
      <c r="K9" s="372"/>
    </row>
    <row r="10" spans="1:15" ht="42" x14ac:dyDescent="0.2">
      <c r="A10" s="15" t="s">
        <v>20</v>
      </c>
      <c r="B10" s="16" t="s">
        <v>21</v>
      </c>
      <c r="C10" s="17"/>
      <c r="D10" s="344">
        <v>1</v>
      </c>
      <c r="E10" s="21">
        <v>100</v>
      </c>
      <c r="F10" s="19" t="s">
        <v>22</v>
      </c>
      <c r="G10" s="21">
        <v>100</v>
      </c>
      <c r="H10" s="21">
        <v>100</v>
      </c>
      <c r="I10" s="312" t="s">
        <v>234</v>
      </c>
      <c r="J10" s="373" t="s">
        <v>24</v>
      </c>
      <c r="K10" s="365"/>
    </row>
    <row r="11" spans="1:15" ht="72.75" customHeight="1" x14ac:dyDescent="0.2">
      <c r="A11" s="15" t="s">
        <v>28</v>
      </c>
      <c r="B11" s="15" t="s">
        <v>29</v>
      </c>
      <c r="C11" s="25" t="s">
        <v>251</v>
      </c>
      <c r="D11" s="326">
        <v>0.108225</v>
      </c>
      <c r="E11" s="21">
        <f>H10</f>
        <v>100</v>
      </c>
      <c r="F11" s="19" t="s">
        <v>262</v>
      </c>
      <c r="G11" s="21">
        <f>D11*E11</f>
        <v>10.8225</v>
      </c>
      <c r="H11" s="21"/>
      <c r="I11" s="370" t="s">
        <v>253</v>
      </c>
      <c r="J11" s="365"/>
      <c r="K11" s="365"/>
    </row>
    <row r="12" spans="1:15" ht="204.75" customHeight="1" x14ac:dyDescent="0.2">
      <c r="A12" s="17"/>
      <c r="B12" s="17"/>
      <c r="C12" s="25" t="s">
        <v>252</v>
      </c>
      <c r="D12" s="326">
        <v>2.5974000000000001E-2</v>
      </c>
      <c r="E12" s="21">
        <f>H10</f>
        <v>100</v>
      </c>
      <c r="F12" s="19" t="s">
        <v>262</v>
      </c>
      <c r="G12" s="21">
        <f>D12*E12</f>
        <v>2.5973999999999999</v>
      </c>
      <c r="H12" s="21"/>
      <c r="I12" s="370"/>
      <c r="J12" s="365"/>
      <c r="K12" s="365"/>
    </row>
    <row r="13" spans="1:15" ht="144" customHeight="1" x14ac:dyDescent="0.2">
      <c r="A13" s="17"/>
      <c r="B13" s="17"/>
      <c r="C13" s="19" t="s">
        <v>30</v>
      </c>
      <c r="D13" s="326">
        <v>6.0000000000000001E-3</v>
      </c>
      <c r="E13" s="21">
        <f>H10</f>
        <v>100</v>
      </c>
      <c r="F13" s="19" t="s">
        <v>262</v>
      </c>
      <c r="G13" s="21">
        <f>D13*E13</f>
        <v>0.6</v>
      </c>
      <c r="H13" s="21"/>
      <c r="I13" s="370"/>
      <c r="J13" s="365"/>
      <c r="K13" s="365"/>
    </row>
    <row r="14" spans="1:15" ht="24.75" customHeight="1" x14ac:dyDescent="0.2">
      <c r="A14" s="17"/>
      <c r="B14" s="17"/>
      <c r="C14" s="14" t="s">
        <v>31</v>
      </c>
      <c r="D14" s="23">
        <f>SUM(D11:D13)</f>
        <v>0.14019900000000002</v>
      </c>
      <c r="E14" s="24">
        <f>H10</f>
        <v>100</v>
      </c>
      <c r="F14" s="14" t="s">
        <v>26</v>
      </c>
      <c r="G14" s="24">
        <f>SUM(G11:G13)</f>
        <v>14.0199</v>
      </c>
      <c r="H14" s="24">
        <f>H10+G14</f>
        <v>114.01990000000001</v>
      </c>
      <c r="I14" s="18"/>
      <c r="J14" s="365"/>
      <c r="K14" s="365"/>
    </row>
    <row r="15" spans="1:15" ht="75.75" customHeight="1" x14ac:dyDescent="0.2">
      <c r="A15" s="15" t="s">
        <v>32</v>
      </c>
      <c r="B15" s="15" t="s">
        <v>33</v>
      </c>
      <c r="C15" s="19" t="s">
        <v>260</v>
      </c>
      <c r="D15" s="20">
        <v>8.3299999999999999E-2</v>
      </c>
      <c r="E15" s="338">
        <f>H10+G11+G12</f>
        <v>113.4199</v>
      </c>
      <c r="F15" s="19" t="s">
        <v>263</v>
      </c>
      <c r="G15" s="21">
        <f t="shared" ref="G15:G19" si="0">D15*E15</f>
        <v>9.4478776700000004</v>
      </c>
      <c r="H15" s="21">
        <f>H14+G15</f>
        <v>123.46777767</v>
      </c>
      <c r="I15" s="311" t="s">
        <v>235</v>
      </c>
      <c r="J15" s="365"/>
      <c r="K15" s="365"/>
      <c r="M15" s="343"/>
    </row>
    <row r="16" spans="1:15" ht="238.5" customHeight="1" x14ac:dyDescent="0.2">
      <c r="A16" s="15" t="s">
        <v>36</v>
      </c>
      <c r="B16" s="16" t="s">
        <v>37</v>
      </c>
      <c r="C16" s="27" t="s">
        <v>254</v>
      </c>
      <c r="D16" s="342">
        <v>0</v>
      </c>
      <c r="E16" s="21">
        <f>H15</f>
        <v>123.46777767</v>
      </c>
      <c r="F16" s="19" t="s">
        <v>264</v>
      </c>
      <c r="G16" s="21">
        <f t="shared" si="0"/>
        <v>0</v>
      </c>
      <c r="H16" s="18"/>
      <c r="I16" s="253" t="s">
        <v>342</v>
      </c>
      <c r="J16" s="365"/>
      <c r="K16" s="365"/>
      <c r="N16" s="343"/>
    </row>
    <row r="17" spans="1:13" ht="310.5" customHeight="1" x14ac:dyDescent="0.2">
      <c r="A17" s="17"/>
      <c r="B17" s="17"/>
      <c r="C17" s="25" t="s">
        <v>66</v>
      </c>
      <c r="D17" s="303">
        <v>0</v>
      </c>
      <c r="E17" s="26">
        <f>H15</f>
        <v>123.46777767</v>
      </c>
      <c r="F17" s="25" t="s">
        <v>264</v>
      </c>
      <c r="G17" s="26">
        <f t="shared" si="0"/>
        <v>0</v>
      </c>
      <c r="H17" s="26"/>
      <c r="I17" s="311" t="s">
        <v>277</v>
      </c>
      <c r="J17" s="365"/>
      <c r="K17" s="365"/>
      <c r="M17" s="251"/>
    </row>
    <row r="18" spans="1:13" ht="114.75" customHeight="1" x14ac:dyDescent="0.2">
      <c r="A18" s="17"/>
      <c r="B18" s="53"/>
      <c r="C18" s="25" t="s">
        <v>228</v>
      </c>
      <c r="D18" s="355">
        <v>1.5E-3</v>
      </c>
      <c r="E18" s="26">
        <f>H15</f>
        <v>123.46777767</v>
      </c>
      <c r="F18" s="25" t="s">
        <v>264</v>
      </c>
      <c r="G18" s="26">
        <f t="shared" si="0"/>
        <v>0.185201666505</v>
      </c>
      <c r="H18" s="26"/>
      <c r="I18" s="353" t="s">
        <v>344</v>
      </c>
      <c r="J18" s="365"/>
      <c r="K18" s="365"/>
    </row>
    <row r="19" spans="1:13" ht="64.5" customHeight="1" x14ac:dyDescent="0.2">
      <c r="A19" s="17"/>
      <c r="B19" s="17"/>
      <c r="C19" s="25" t="s">
        <v>227</v>
      </c>
      <c r="D19" s="345">
        <v>1.0200000000000001E-2</v>
      </c>
      <c r="E19" s="26">
        <f>H15</f>
        <v>123.46777767</v>
      </c>
      <c r="F19" s="25" t="s">
        <v>264</v>
      </c>
      <c r="G19" s="26">
        <f t="shared" si="0"/>
        <v>1.2593713322340001</v>
      </c>
      <c r="H19" s="26"/>
      <c r="I19" s="22" t="s">
        <v>236</v>
      </c>
      <c r="J19" s="365"/>
      <c r="K19" s="365"/>
    </row>
    <row r="20" spans="1:13" ht="23.25" customHeight="1" x14ac:dyDescent="0.2">
      <c r="A20" s="17"/>
      <c r="B20" s="17"/>
      <c r="C20" s="14" t="s">
        <v>31</v>
      </c>
      <c r="D20" s="23">
        <f>SUM(D16:D19)</f>
        <v>1.17E-2</v>
      </c>
      <c r="E20" s="24">
        <f>H15</f>
        <v>123.46777767</v>
      </c>
      <c r="F20" s="14" t="s">
        <v>264</v>
      </c>
      <c r="G20" s="24">
        <f>SUM(G16:G19)</f>
        <v>1.4445729987390001</v>
      </c>
      <c r="H20" s="24">
        <f>H15+G20</f>
        <v>124.91235066873901</v>
      </c>
      <c r="I20" s="18"/>
      <c r="J20" s="365"/>
      <c r="K20" s="365"/>
    </row>
    <row r="21" spans="1:13" ht="69" customHeight="1" x14ac:dyDescent="0.2">
      <c r="A21" s="17"/>
      <c r="B21" s="16" t="s">
        <v>40</v>
      </c>
      <c r="C21" s="28" t="s">
        <v>41</v>
      </c>
      <c r="D21" s="328">
        <v>8.0000000000000004E-4</v>
      </c>
      <c r="E21" s="246">
        <f>H15</f>
        <v>123.46777767</v>
      </c>
      <c r="F21" s="28" t="s">
        <v>264</v>
      </c>
      <c r="G21" s="246">
        <f t="shared" ref="G21" si="1">D21*E21</f>
        <v>9.8774222136000012E-2</v>
      </c>
      <c r="H21" s="246"/>
      <c r="I21" s="247" t="s">
        <v>255</v>
      </c>
      <c r="J21" s="365"/>
      <c r="K21" s="365"/>
    </row>
    <row r="22" spans="1:13" ht="48" customHeight="1" x14ac:dyDescent="0.2">
      <c r="A22" s="17"/>
      <c r="B22" s="25"/>
      <c r="C22" s="25" t="s">
        <v>42</v>
      </c>
      <c r="D22" s="355">
        <v>8.0399999999999999E-2</v>
      </c>
      <c r="E22" s="26">
        <f>H15</f>
        <v>123.46777767</v>
      </c>
      <c r="F22" s="25" t="s">
        <v>264</v>
      </c>
      <c r="G22" s="26">
        <f t="shared" ref="G22:G27" si="2">D22*E22</f>
        <v>9.9268093246679996</v>
      </c>
      <c r="H22" s="26"/>
      <c r="I22" s="370" t="s">
        <v>341</v>
      </c>
      <c r="J22" s="365"/>
      <c r="K22" s="365"/>
    </row>
    <row r="23" spans="1:13" ht="53.25" customHeight="1" x14ac:dyDescent="0.2">
      <c r="A23" s="17"/>
      <c r="B23" s="47"/>
      <c r="C23" s="25" t="s">
        <v>231</v>
      </c>
      <c r="D23" s="355">
        <v>6.5699999999999995E-2</v>
      </c>
      <c r="E23" s="26">
        <f>H15</f>
        <v>123.46777767</v>
      </c>
      <c r="F23" s="25" t="s">
        <v>264</v>
      </c>
      <c r="G23" s="26">
        <f t="shared" si="2"/>
        <v>8.1118329929190001</v>
      </c>
      <c r="H23" s="26"/>
      <c r="I23" s="370"/>
      <c r="J23" s="365"/>
      <c r="K23" s="365"/>
    </row>
    <row r="24" spans="1:13" ht="64.5" customHeight="1" x14ac:dyDescent="0.2">
      <c r="A24" s="17"/>
      <c r="B24" s="25"/>
      <c r="C24" s="25" t="s">
        <v>45</v>
      </c>
      <c r="D24" s="355">
        <v>7.6399999999999996E-2</v>
      </c>
      <c r="E24" s="26">
        <f>H15</f>
        <v>123.46777767</v>
      </c>
      <c r="F24" s="25" t="s">
        <v>264</v>
      </c>
      <c r="G24" s="26">
        <f t="shared" si="2"/>
        <v>9.4329382139879989</v>
      </c>
      <c r="H24" s="26"/>
      <c r="I24" s="370"/>
      <c r="J24" s="365"/>
      <c r="K24" s="365"/>
    </row>
    <row r="25" spans="1:13" ht="184.5" customHeight="1" x14ac:dyDescent="0.2">
      <c r="A25" s="17"/>
      <c r="B25" s="25"/>
      <c r="C25" s="28" t="s">
        <v>237</v>
      </c>
      <c r="D25" s="8">
        <v>0</v>
      </c>
      <c r="E25" s="26">
        <f>H15</f>
        <v>123.46777767</v>
      </c>
      <c r="F25" s="25" t="s">
        <v>264</v>
      </c>
      <c r="G25" s="26">
        <f t="shared" si="2"/>
        <v>0</v>
      </c>
      <c r="H25" s="26"/>
      <c r="I25" s="370" t="s">
        <v>281</v>
      </c>
      <c r="J25" s="374" t="s">
        <v>279</v>
      </c>
      <c r="K25" s="374"/>
    </row>
    <row r="26" spans="1:13" ht="237.75" customHeight="1" x14ac:dyDescent="0.2">
      <c r="A26" s="17"/>
      <c r="B26" s="25"/>
      <c r="C26" s="25" t="s">
        <v>47</v>
      </c>
      <c r="D26" s="303">
        <v>0</v>
      </c>
      <c r="E26" s="26">
        <f>H15</f>
        <v>123.46777767</v>
      </c>
      <c r="F26" s="25" t="s">
        <v>264</v>
      </c>
      <c r="G26" s="26">
        <f t="shared" si="2"/>
        <v>0</v>
      </c>
      <c r="H26" s="26"/>
      <c r="I26" s="370"/>
      <c r="J26" s="374" t="s">
        <v>225</v>
      </c>
      <c r="K26" s="374"/>
    </row>
    <row r="27" spans="1:13" ht="132" customHeight="1" x14ac:dyDescent="0.2">
      <c r="A27" s="17"/>
      <c r="B27" s="25"/>
      <c r="C27" s="28" t="s">
        <v>226</v>
      </c>
      <c r="D27" s="303">
        <v>0</v>
      </c>
      <c r="E27" s="26">
        <f>H15</f>
        <v>123.46777767</v>
      </c>
      <c r="F27" s="25" t="s">
        <v>264</v>
      </c>
      <c r="G27" s="26">
        <f t="shared" si="2"/>
        <v>0</v>
      </c>
      <c r="H27" s="26"/>
      <c r="I27" s="327" t="s">
        <v>238</v>
      </c>
      <c r="J27" s="364"/>
      <c r="K27" s="365"/>
      <c r="L27" s="52"/>
      <c r="M27" s="52"/>
    </row>
    <row r="28" spans="1:13" ht="22.5" customHeight="1" x14ac:dyDescent="0.2">
      <c r="A28" s="17"/>
      <c r="B28" s="17"/>
      <c r="C28" s="14" t="s">
        <v>31</v>
      </c>
      <c r="D28" s="23">
        <f>SUM(D21:D27)</f>
        <v>0.22329999999999997</v>
      </c>
      <c r="E28" s="24">
        <f>H15</f>
        <v>123.46777767</v>
      </c>
      <c r="F28" s="14" t="s">
        <v>264</v>
      </c>
      <c r="G28" s="24">
        <f>SUM(G21:G27)</f>
        <v>27.570354753710998</v>
      </c>
      <c r="H28" s="24">
        <f>H20+G28</f>
        <v>152.48270542245001</v>
      </c>
      <c r="I28" s="18"/>
      <c r="J28" s="365"/>
      <c r="K28" s="365"/>
      <c r="L28" s="52"/>
    </row>
    <row r="29" spans="1:13" ht="114" customHeight="1" x14ac:dyDescent="0.2">
      <c r="A29" s="366" t="s">
        <v>49</v>
      </c>
      <c r="B29" s="369" t="s">
        <v>50</v>
      </c>
      <c r="C29" s="329" t="s">
        <v>261</v>
      </c>
      <c r="D29" s="304">
        <v>0</v>
      </c>
      <c r="E29" s="18">
        <f>H28</f>
        <v>152.48270542245001</v>
      </c>
      <c r="F29" s="17" t="s">
        <v>266</v>
      </c>
      <c r="G29" s="18">
        <f t="shared" ref="G29:G35" si="3">D29*E29</f>
        <v>0</v>
      </c>
      <c r="H29" s="18"/>
      <c r="I29" s="370" t="s">
        <v>280</v>
      </c>
      <c r="J29" s="365"/>
      <c r="K29" s="365"/>
    </row>
    <row r="30" spans="1:13" ht="18" customHeight="1" x14ac:dyDescent="0.2">
      <c r="A30" s="367"/>
      <c r="B30" s="367"/>
      <c r="C30" s="9" t="s">
        <v>56</v>
      </c>
      <c r="D30" s="317">
        <v>0</v>
      </c>
      <c r="E30" s="18">
        <f>H28</f>
        <v>152.48270542245001</v>
      </c>
      <c r="F30" s="17" t="s">
        <v>266</v>
      </c>
      <c r="G30" s="18">
        <f t="shared" si="3"/>
        <v>0</v>
      </c>
      <c r="H30" s="18"/>
      <c r="I30" s="370"/>
      <c r="J30" s="365"/>
      <c r="K30" s="365"/>
    </row>
    <row r="31" spans="1:13" ht="16.5" customHeight="1" x14ac:dyDescent="0.2">
      <c r="A31" s="367"/>
      <c r="B31" s="367"/>
      <c r="C31" s="9" t="s">
        <v>56</v>
      </c>
      <c r="D31" s="317">
        <v>0</v>
      </c>
      <c r="E31" s="18">
        <f>H28</f>
        <v>152.48270542245001</v>
      </c>
      <c r="F31" s="17" t="s">
        <v>266</v>
      </c>
      <c r="G31" s="18">
        <f t="shared" si="3"/>
        <v>0</v>
      </c>
      <c r="H31" s="18"/>
      <c r="I31" s="370"/>
      <c r="J31" s="365"/>
      <c r="K31" s="365"/>
    </row>
    <row r="32" spans="1:13" ht="18" customHeight="1" x14ac:dyDescent="0.2">
      <c r="A32" s="367"/>
      <c r="B32" s="367"/>
      <c r="C32" s="9" t="s">
        <v>56</v>
      </c>
      <c r="D32" s="317">
        <v>0</v>
      </c>
      <c r="E32" s="18">
        <f>H28</f>
        <v>152.48270542245001</v>
      </c>
      <c r="F32" s="17" t="s">
        <v>266</v>
      </c>
      <c r="G32" s="18">
        <f t="shared" si="3"/>
        <v>0</v>
      </c>
      <c r="H32" s="18"/>
      <c r="I32" s="370"/>
      <c r="J32" s="365"/>
      <c r="K32" s="365"/>
    </row>
    <row r="33" spans="1:12" ht="19.5" customHeight="1" x14ac:dyDescent="0.2">
      <c r="A33" s="367"/>
      <c r="B33" s="367"/>
      <c r="C33" s="9" t="s">
        <v>56</v>
      </c>
      <c r="D33" s="317">
        <v>0</v>
      </c>
      <c r="E33" s="18">
        <f>H28</f>
        <v>152.48270542245001</v>
      </c>
      <c r="F33" s="17" t="s">
        <v>266</v>
      </c>
      <c r="G33" s="18">
        <f t="shared" si="3"/>
        <v>0</v>
      </c>
      <c r="H33" s="18"/>
      <c r="I33" s="370"/>
      <c r="J33" s="365"/>
      <c r="K33" s="365"/>
    </row>
    <row r="34" spans="1:12" ht="20.25" customHeight="1" x14ac:dyDescent="0.2">
      <c r="A34" s="367"/>
      <c r="B34" s="367"/>
      <c r="C34" s="9" t="s">
        <v>56</v>
      </c>
      <c r="D34" s="317">
        <v>0</v>
      </c>
      <c r="E34" s="18">
        <f>H28</f>
        <v>152.48270542245001</v>
      </c>
      <c r="F34" s="17" t="s">
        <v>266</v>
      </c>
      <c r="G34" s="18">
        <f t="shared" si="3"/>
        <v>0</v>
      </c>
      <c r="H34" s="18"/>
      <c r="I34" s="370"/>
      <c r="J34" s="365"/>
      <c r="K34" s="365"/>
    </row>
    <row r="35" spans="1:12" ht="18" customHeight="1" x14ac:dyDescent="0.2">
      <c r="A35" s="367"/>
      <c r="B35" s="367"/>
      <c r="C35" s="9" t="s">
        <v>56</v>
      </c>
      <c r="D35" s="317">
        <v>0</v>
      </c>
      <c r="E35" s="18">
        <f>H28</f>
        <v>152.48270542245001</v>
      </c>
      <c r="F35" s="17" t="s">
        <v>266</v>
      </c>
      <c r="G35" s="18">
        <f t="shared" si="3"/>
        <v>0</v>
      </c>
      <c r="H35" s="18"/>
      <c r="I35" s="370"/>
      <c r="J35" s="365"/>
      <c r="K35" s="365"/>
      <c r="L35" s="51"/>
    </row>
    <row r="36" spans="1:12" ht="23.25" customHeight="1" x14ac:dyDescent="0.2">
      <c r="A36" s="368"/>
      <c r="B36" s="368"/>
      <c r="C36" s="14" t="s">
        <v>57</v>
      </c>
      <c r="D36" s="23">
        <f>SUM(D29:D35)</f>
        <v>0</v>
      </c>
      <c r="E36" s="24">
        <f>H28</f>
        <v>152.48270542245001</v>
      </c>
      <c r="F36" s="14" t="s">
        <v>266</v>
      </c>
      <c r="G36" s="24">
        <f>SUM(G29:G35)</f>
        <v>0</v>
      </c>
      <c r="H36" s="24">
        <f>H28+G36</f>
        <v>152.48270542245001</v>
      </c>
      <c r="I36" s="18"/>
      <c r="J36" s="384"/>
      <c r="K36" s="385"/>
    </row>
    <row r="37" spans="1:12" ht="153" customHeight="1" x14ac:dyDescent="0.2">
      <c r="A37" s="305" t="s">
        <v>214</v>
      </c>
      <c r="B37" s="248" t="s">
        <v>215</v>
      </c>
      <c r="C37" s="248" t="s">
        <v>31</v>
      </c>
      <c r="D37" s="306">
        <v>8.3000000000000004E-2</v>
      </c>
      <c r="E37" s="307">
        <f>H14*D37</f>
        <v>9.4636517000000016</v>
      </c>
      <c r="F37" s="308" t="s">
        <v>313</v>
      </c>
      <c r="G37" s="307">
        <f>(SUM(D16:D18)+SUM(D21:D27))*E37</f>
        <v>2.1274289021600001</v>
      </c>
      <c r="H37" s="307">
        <f>(E37+G37)*(100%+D29)</f>
        <v>11.591080602160002</v>
      </c>
      <c r="I37" s="346" t="s">
        <v>233</v>
      </c>
      <c r="J37" s="399"/>
      <c r="K37" s="398"/>
    </row>
    <row r="38" spans="1:12" ht="39" customHeight="1" x14ac:dyDescent="0.2">
      <c r="A38" s="248"/>
      <c r="B38" s="249"/>
      <c r="C38" s="309" t="s">
        <v>216</v>
      </c>
      <c r="D38" s="310"/>
      <c r="E38" s="307"/>
      <c r="F38" s="308" t="s">
        <v>267</v>
      </c>
      <c r="G38" s="307"/>
      <c r="H38" s="307">
        <f>H36+H37</f>
        <v>164.07378602461</v>
      </c>
      <c r="I38" s="250"/>
      <c r="J38" s="395"/>
      <c r="K38" s="396"/>
    </row>
    <row r="39" spans="1:12" ht="99.75" customHeight="1" x14ac:dyDescent="0.2">
      <c r="A39" s="30"/>
      <c r="B39" s="30"/>
      <c r="C39" s="30"/>
      <c r="D39" s="30"/>
      <c r="E39" s="30"/>
      <c r="F39" s="55" t="s">
        <v>268</v>
      </c>
      <c r="G39" s="30"/>
      <c r="H39" s="31">
        <f>H38</f>
        <v>164.07378602461</v>
      </c>
      <c r="I39" s="31" t="s">
        <v>229</v>
      </c>
      <c r="J39" s="32">
        <f>ROUND(H39/100,4)</f>
        <v>1.6407</v>
      </c>
    </row>
    <row r="40" spans="1:12" ht="51" x14ac:dyDescent="0.2">
      <c r="A40" s="30"/>
      <c r="B40" s="28" t="s">
        <v>248</v>
      </c>
      <c r="C40" s="30"/>
      <c r="D40" s="30"/>
      <c r="E40" s="30"/>
      <c r="F40" s="30" t="s">
        <v>250</v>
      </c>
      <c r="G40" s="30"/>
      <c r="H40" s="7">
        <v>1</v>
      </c>
      <c r="I40" s="31" t="s">
        <v>282</v>
      </c>
      <c r="J40" s="17"/>
    </row>
    <row r="41" spans="1:12" ht="87.75" x14ac:dyDescent="0.2">
      <c r="A41" s="30"/>
      <c r="B41" s="30"/>
      <c r="C41" s="30"/>
      <c r="D41" s="30"/>
      <c r="E41" s="30"/>
      <c r="F41" s="30" t="s">
        <v>288</v>
      </c>
      <c r="G41" s="30"/>
      <c r="H41" s="31">
        <f>J39*H40</f>
        <v>1.6407</v>
      </c>
      <c r="I41" s="33" t="s">
        <v>60</v>
      </c>
      <c r="J41" s="34">
        <f>ROUND(J39*H40,4)</f>
        <v>1.6407</v>
      </c>
    </row>
    <row r="42" spans="1:12" ht="20.25" customHeight="1" x14ac:dyDescent="0.2">
      <c r="B42" s="36" t="s">
        <v>11</v>
      </c>
      <c r="C42" s="37"/>
    </row>
    <row r="43" spans="1:12" ht="13.5" customHeight="1" x14ac:dyDescent="0.2"/>
    <row r="44" spans="1:12" s="298" customFormat="1" ht="33.75" customHeight="1" x14ac:dyDescent="0.2">
      <c r="A44" s="375" t="s">
        <v>286</v>
      </c>
      <c r="B44" s="376"/>
      <c r="C44" s="377"/>
      <c r="D44" s="347"/>
    </row>
    <row r="45" spans="1:12" s="298" customFormat="1" ht="49.5" customHeight="1" x14ac:dyDescent="0.2">
      <c r="A45" s="400" t="s">
        <v>290</v>
      </c>
      <c r="B45" s="401"/>
      <c r="C45" s="348">
        <f>ROUND(J41*1.25,4)</f>
        <v>2.0508999999999999</v>
      </c>
    </row>
    <row r="46" spans="1:12" ht="13.5" customHeight="1" x14ac:dyDescent="0.2"/>
    <row r="47" spans="1:12" ht="13.5" customHeight="1" x14ac:dyDescent="0.2"/>
    <row r="48" spans="1:12" s="298" customFormat="1" ht="33.75" customHeight="1" x14ac:dyDescent="0.2">
      <c r="A48" s="375" t="s">
        <v>287</v>
      </c>
      <c r="B48" s="376"/>
      <c r="C48" s="377"/>
      <c r="D48" s="347"/>
    </row>
    <row r="49" spans="1:10" s="298" customFormat="1" ht="49.5" customHeight="1" x14ac:dyDescent="0.2">
      <c r="A49" s="400" t="s">
        <v>291</v>
      </c>
      <c r="B49" s="401"/>
      <c r="C49" s="348">
        <f>ROUND(J41*1.1,4)</f>
        <v>1.8048</v>
      </c>
    </row>
    <row r="50" spans="1:10" ht="13.5" customHeight="1" x14ac:dyDescent="0.2"/>
    <row r="51" spans="1:10" ht="13.5" customHeight="1" x14ac:dyDescent="0.2"/>
    <row r="52" spans="1:10" s="298" customFormat="1" ht="33.75" customHeight="1" x14ac:dyDescent="0.2">
      <c r="A52" s="375" t="s">
        <v>289</v>
      </c>
      <c r="B52" s="376"/>
      <c r="C52" s="377"/>
      <c r="D52" s="347"/>
      <c r="F52" s="349"/>
    </row>
    <row r="53" spans="1:10" s="298" customFormat="1" ht="122.25" customHeight="1" x14ac:dyDescent="0.2">
      <c r="A53" s="397" t="s">
        <v>293</v>
      </c>
      <c r="B53" s="398"/>
      <c r="C53" s="348">
        <v>3</v>
      </c>
    </row>
    <row r="54" spans="1:10" ht="13.5" customHeight="1" x14ac:dyDescent="0.2"/>
    <row r="55" spans="1:10" ht="13.5" customHeight="1" x14ac:dyDescent="0.2"/>
    <row r="56" spans="1:10" ht="25.5" customHeight="1" x14ac:dyDescent="0.2">
      <c r="A56" s="386" t="s">
        <v>294</v>
      </c>
      <c r="B56" s="387"/>
      <c r="C56" s="387"/>
      <c r="D56" s="387"/>
      <c r="E56" s="387"/>
      <c r="F56" s="387"/>
      <c r="G56" s="387"/>
      <c r="H56" s="387"/>
      <c r="I56" s="387"/>
      <c r="J56" s="388"/>
    </row>
    <row r="57" spans="1:10" ht="91.5" customHeight="1" x14ac:dyDescent="0.2">
      <c r="A57" s="389"/>
      <c r="B57" s="390"/>
      <c r="C57" s="390"/>
      <c r="D57" s="390"/>
      <c r="E57" s="390"/>
      <c r="F57" s="390"/>
      <c r="G57" s="390"/>
      <c r="H57" s="390"/>
      <c r="I57" s="390"/>
      <c r="J57" s="391"/>
    </row>
    <row r="58" spans="1:10" x14ac:dyDescent="0.2">
      <c r="A58" s="389"/>
      <c r="B58" s="390"/>
      <c r="C58" s="390"/>
      <c r="D58" s="390"/>
      <c r="E58" s="390"/>
      <c r="F58" s="390"/>
      <c r="G58" s="390"/>
      <c r="H58" s="390"/>
      <c r="I58" s="390"/>
      <c r="J58" s="391"/>
    </row>
    <row r="59" spans="1:10" ht="7.5" customHeight="1" x14ac:dyDescent="0.2">
      <c r="A59" s="392"/>
      <c r="B59" s="393"/>
      <c r="C59" s="393"/>
      <c r="D59" s="393"/>
      <c r="E59" s="393"/>
      <c r="F59" s="393"/>
      <c r="G59" s="393"/>
      <c r="H59" s="393"/>
      <c r="I59" s="393"/>
      <c r="J59" s="394"/>
    </row>
  </sheetData>
  <sheetProtection algorithmName="SHA-512" hashValue="wn/0Wv8gBxDKgwTkJMGG2ligw4GE3tVDnoCo02o/SKQaNG7Pn0xAE4n2kOPksqxXaALR15nkB75fzGYOAqQdMw==" saltValue="KkezuNF5BsRzMJY1WhPIOg==" spinCount="100000" sheet="1" objects="1" scenarios="1"/>
  <mergeCells count="27">
    <mergeCell ref="D5:F5"/>
    <mergeCell ref="J36:K36"/>
    <mergeCell ref="A56:J59"/>
    <mergeCell ref="J38:K38"/>
    <mergeCell ref="A52:C52"/>
    <mergeCell ref="A53:B53"/>
    <mergeCell ref="J37:K37"/>
    <mergeCell ref="A44:C44"/>
    <mergeCell ref="A45:B45"/>
    <mergeCell ref="A48:C48"/>
    <mergeCell ref="A49:B49"/>
    <mergeCell ref="G3:K3"/>
    <mergeCell ref="A1:K1"/>
    <mergeCell ref="J27:K35"/>
    <mergeCell ref="A29:A36"/>
    <mergeCell ref="B29:B36"/>
    <mergeCell ref="I29:I35"/>
    <mergeCell ref="J9:K9"/>
    <mergeCell ref="J10:K24"/>
    <mergeCell ref="I11:I13"/>
    <mergeCell ref="I22:I24"/>
    <mergeCell ref="I25:I26"/>
    <mergeCell ref="J25:K25"/>
    <mergeCell ref="J26:K26"/>
    <mergeCell ref="A8:K8"/>
    <mergeCell ref="A6:I6"/>
    <mergeCell ref="I7:K7"/>
  </mergeCells>
  <pageMargins left="0.70866141732283472" right="0.70866141732283472" top="0.74803149606299213" bottom="0.74803149606299213" header="0.31496062992125984" footer="0.31496062992125984"/>
  <pageSetup paperSize="8"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59"/>
  <sheetViews>
    <sheetView zoomScaleNormal="100" workbookViewId="0">
      <selection activeCell="F13" sqref="F13"/>
    </sheetView>
  </sheetViews>
  <sheetFormatPr defaultColWidth="9.140625" defaultRowHeight="12.75" x14ac:dyDescent="0.2"/>
  <cols>
    <col min="1" max="1" width="32" style="35" customWidth="1"/>
    <col min="2" max="2" width="30.5703125" style="35" customWidth="1"/>
    <col min="3" max="3" width="37.5703125" style="35" customWidth="1"/>
    <col min="4" max="4" width="13" style="35" customWidth="1"/>
    <col min="5" max="5" width="12.85546875" style="35" customWidth="1"/>
    <col min="6" max="6" width="32.28515625" style="35" customWidth="1"/>
    <col min="7" max="7" width="10.5703125" style="35" customWidth="1"/>
    <col min="8" max="8" width="12.140625" style="35" customWidth="1"/>
    <col min="9" max="9" width="60" style="35" customWidth="1"/>
    <col min="10" max="10" width="19.85546875" style="35" customWidth="1"/>
    <col min="11" max="11" width="23.140625" style="35" customWidth="1"/>
    <col min="12" max="12" width="27" style="35" customWidth="1"/>
    <col min="13" max="13" width="6.85546875" style="35" customWidth="1"/>
    <col min="14" max="14" width="11.7109375" style="35" customWidth="1"/>
    <col min="15" max="15" width="22.140625" style="35" customWidth="1"/>
    <col min="16" max="16" width="21.28515625" style="35" customWidth="1"/>
    <col min="17" max="16384" width="9.140625" style="35"/>
  </cols>
  <sheetData>
    <row r="1" spans="1:15" ht="36.75" customHeight="1" x14ac:dyDescent="0.2">
      <c r="A1" s="362" t="s">
        <v>318</v>
      </c>
      <c r="B1" s="363"/>
      <c r="C1" s="363"/>
      <c r="D1" s="363"/>
      <c r="E1" s="363"/>
      <c r="F1" s="363"/>
      <c r="G1" s="359"/>
      <c r="H1" s="359"/>
      <c r="I1" s="359"/>
      <c r="J1" s="359"/>
      <c r="K1" s="359"/>
      <c r="L1" s="359"/>
    </row>
    <row r="2" spans="1:15" ht="14.25" x14ac:dyDescent="0.2">
      <c r="A2" s="1"/>
      <c r="B2" s="54"/>
      <c r="C2" s="54"/>
      <c r="D2" s="54"/>
      <c r="E2" s="54"/>
      <c r="F2" s="54"/>
      <c r="G2" s="54"/>
    </row>
    <row r="3" spans="1:15" s="41" customFormat="1" ht="19.5" customHeight="1" x14ac:dyDescent="0.2">
      <c r="A3" s="257" t="s">
        <v>239</v>
      </c>
      <c r="B3" s="49" t="s">
        <v>240</v>
      </c>
      <c r="C3" s="50"/>
      <c r="D3" s="49" t="s">
        <v>276</v>
      </c>
      <c r="E3" s="50"/>
      <c r="F3" s="50"/>
      <c r="G3" s="358"/>
      <c r="H3" s="359"/>
      <c r="I3" s="359"/>
      <c r="J3" s="359"/>
      <c r="K3" s="359"/>
    </row>
    <row r="4" spans="1:15" s="41" customFormat="1" ht="37.5" customHeight="1" x14ac:dyDescent="0.25">
      <c r="A4" s="35"/>
      <c r="B4" s="49" t="s">
        <v>241</v>
      </c>
      <c r="C4" s="48"/>
      <c r="E4" s="49"/>
      <c r="F4" s="354" t="s">
        <v>340</v>
      </c>
      <c r="G4" s="35"/>
      <c r="H4" s="35"/>
      <c r="I4" s="35"/>
      <c r="J4" s="35"/>
      <c r="K4" s="35"/>
      <c r="L4" s="35"/>
      <c r="M4" s="35"/>
      <c r="N4" s="35"/>
      <c r="O4" s="35"/>
    </row>
    <row r="5" spans="1:15" ht="21" customHeight="1" x14ac:dyDescent="0.2">
      <c r="A5" s="256" t="s">
        <v>284</v>
      </c>
      <c r="B5" s="259"/>
      <c r="C5" s="259"/>
      <c r="D5" s="382"/>
      <c r="E5" s="382"/>
      <c r="F5" s="382"/>
    </row>
    <row r="6" spans="1:15" ht="17.25" customHeight="1" x14ac:dyDescent="0.2">
      <c r="A6" s="378"/>
      <c r="B6" s="378"/>
      <c r="C6" s="378"/>
      <c r="D6" s="378"/>
      <c r="E6" s="378"/>
      <c r="F6" s="378"/>
      <c r="G6" s="378"/>
      <c r="H6" s="378"/>
      <c r="I6" s="378"/>
    </row>
    <row r="7" spans="1:15" ht="29.25" customHeight="1" x14ac:dyDescent="0.2">
      <c r="B7" s="38" t="s">
        <v>11</v>
      </c>
      <c r="C7" s="29"/>
      <c r="I7" s="379" t="s">
        <v>278</v>
      </c>
      <c r="J7" s="380"/>
      <c r="K7" s="381"/>
    </row>
    <row r="8" spans="1:15" ht="28.5" customHeight="1" x14ac:dyDescent="0.2">
      <c r="A8" s="416" t="s">
        <v>319</v>
      </c>
      <c r="B8" s="417"/>
      <c r="C8" s="417"/>
      <c r="D8" s="417"/>
      <c r="E8" s="417"/>
      <c r="F8" s="417"/>
      <c r="G8" s="417"/>
      <c r="H8" s="417"/>
      <c r="I8" s="417"/>
      <c r="J8" s="417"/>
      <c r="K8" s="417"/>
    </row>
    <row r="9" spans="1:15" ht="48" customHeight="1" x14ac:dyDescent="0.2">
      <c r="A9" s="302" t="s">
        <v>13</v>
      </c>
      <c r="B9" s="302" t="s">
        <v>219</v>
      </c>
      <c r="C9" s="302"/>
      <c r="D9" s="302" t="s">
        <v>15</v>
      </c>
      <c r="E9" s="302"/>
      <c r="F9" s="302" t="s">
        <v>16</v>
      </c>
      <c r="G9" s="302" t="s">
        <v>17</v>
      </c>
      <c r="H9" s="302" t="s">
        <v>18</v>
      </c>
      <c r="I9" s="302" t="s">
        <v>19</v>
      </c>
      <c r="J9" s="414"/>
      <c r="K9" s="415"/>
    </row>
    <row r="10" spans="1:15" ht="33" customHeight="1" x14ac:dyDescent="0.2">
      <c r="A10" s="15" t="s">
        <v>20</v>
      </c>
      <c r="B10" s="16" t="s">
        <v>21</v>
      </c>
      <c r="C10" s="17"/>
      <c r="D10" s="344">
        <v>1</v>
      </c>
      <c r="E10" s="21">
        <v>100</v>
      </c>
      <c r="F10" s="19" t="s">
        <v>22</v>
      </c>
      <c r="G10" s="21">
        <v>100</v>
      </c>
      <c r="H10" s="21">
        <v>100</v>
      </c>
      <c r="I10" s="312" t="s">
        <v>234</v>
      </c>
      <c r="J10" s="373" t="s">
        <v>24</v>
      </c>
      <c r="K10" s="365"/>
    </row>
    <row r="11" spans="1:15" ht="61.5" customHeight="1" x14ac:dyDescent="0.2">
      <c r="A11" s="15" t="s">
        <v>28</v>
      </c>
      <c r="B11" s="15" t="s">
        <v>29</v>
      </c>
      <c r="C11" s="25" t="s">
        <v>251</v>
      </c>
      <c r="D11" s="326">
        <v>0.108225</v>
      </c>
      <c r="E11" s="21">
        <f>H10</f>
        <v>100</v>
      </c>
      <c r="F11" s="19" t="s">
        <v>262</v>
      </c>
      <c r="G11" s="21">
        <f>D11*E11</f>
        <v>10.8225</v>
      </c>
      <c r="H11" s="21"/>
      <c r="I11" s="370" t="s">
        <v>249</v>
      </c>
      <c r="J11" s="365"/>
      <c r="K11" s="365"/>
    </row>
    <row r="12" spans="1:15" ht="66" customHeight="1" x14ac:dyDescent="0.2">
      <c r="A12" s="17"/>
      <c r="B12" s="17"/>
      <c r="C12" s="25" t="s">
        <v>252</v>
      </c>
      <c r="D12" s="326">
        <v>2.5974000000000001E-2</v>
      </c>
      <c r="E12" s="21">
        <f>H10</f>
        <v>100</v>
      </c>
      <c r="F12" s="19" t="s">
        <v>262</v>
      </c>
      <c r="G12" s="21">
        <f>D12*E12</f>
        <v>2.5973999999999999</v>
      </c>
      <c r="H12" s="21"/>
      <c r="I12" s="370"/>
      <c r="J12" s="365"/>
      <c r="K12" s="365"/>
    </row>
    <row r="13" spans="1:15" ht="353.25" customHeight="1" x14ac:dyDescent="0.2">
      <c r="A13" s="17"/>
      <c r="B13" s="17"/>
      <c r="C13" s="19" t="s">
        <v>30</v>
      </c>
      <c r="D13" s="326">
        <v>6.0000000000000001E-3</v>
      </c>
      <c r="E13" s="21">
        <f>H10</f>
        <v>100</v>
      </c>
      <c r="F13" s="19" t="s">
        <v>262</v>
      </c>
      <c r="G13" s="21">
        <f>D13*E13</f>
        <v>0.6</v>
      </c>
      <c r="H13" s="21"/>
      <c r="I13" s="370"/>
      <c r="J13" s="365"/>
      <c r="K13" s="365"/>
    </row>
    <row r="14" spans="1:15" ht="29.25" customHeight="1" x14ac:dyDescent="0.2">
      <c r="A14" s="17"/>
      <c r="B14" s="17"/>
      <c r="C14" s="14" t="s">
        <v>31</v>
      </c>
      <c r="D14" s="23">
        <f>SUM(D11:D13)</f>
        <v>0.14019900000000002</v>
      </c>
      <c r="E14" s="24">
        <f>H10</f>
        <v>100</v>
      </c>
      <c r="F14" s="14" t="s">
        <v>262</v>
      </c>
      <c r="G14" s="24">
        <f>SUM(G11:G13)</f>
        <v>14.0199</v>
      </c>
      <c r="H14" s="24">
        <f>H10+G14</f>
        <v>114.01990000000001</v>
      </c>
      <c r="I14" s="18"/>
      <c r="J14" s="365"/>
      <c r="K14" s="365"/>
    </row>
    <row r="15" spans="1:15" ht="72" customHeight="1" x14ac:dyDescent="0.2">
      <c r="A15" s="15" t="s">
        <v>32</v>
      </c>
      <c r="B15" s="15" t="s">
        <v>33</v>
      </c>
      <c r="C15" s="19" t="s">
        <v>260</v>
      </c>
      <c r="D15" s="20">
        <v>8.3299999999999999E-2</v>
      </c>
      <c r="E15" s="338">
        <f>H10+G11+G12</f>
        <v>113.4199</v>
      </c>
      <c r="F15" s="19" t="s">
        <v>263</v>
      </c>
      <c r="G15" s="21">
        <f t="shared" ref="G15:G19" si="0">D15*E15</f>
        <v>9.4478776700000004</v>
      </c>
      <c r="H15" s="21">
        <f>H14+G15</f>
        <v>123.46777767</v>
      </c>
      <c r="I15" s="311" t="s">
        <v>235</v>
      </c>
      <c r="J15" s="365"/>
      <c r="K15" s="365"/>
    </row>
    <row r="16" spans="1:15" ht="58.5" customHeight="1" x14ac:dyDescent="0.2">
      <c r="A16" s="15" t="s">
        <v>36</v>
      </c>
      <c r="B16" s="16" t="s">
        <v>63</v>
      </c>
      <c r="C16" s="42" t="s">
        <v>254</v>
      </c>
      <c r="D16" s="341">
        <v>0</v>
      </c>
      <c r="E16" s="330">
        <f>H15</f>
        <v>123.46777767</v>
      </c>
      <c r="F16" s="331" t="s">
        <v>264</v>
      </c>
      <c r="G16" s="330">
        <f t="shared" si="0"/>
        <v>0</v>
      </c>
      <c r="H16" s="330"/>
      <c r="I16" s="340" t="s">
        <v>272</v>
      </c>
      <c r="J16" s="365"/>
      <c r="K16" s="365"/>
    </row>
    <row r="17" spans="1:12" ht="305.25" customHeight="1" x14ac:dyDescent="0.2">
      <c r="A17" s="17"/>
      <c r="B17" s="17"/>
      <c r="C17" s="25" t="s">
        <v>66</v>
      </c>
      <c r="D17" s="303">
        <v>0</v>
      </c>
      <c r="E17" s="26">
        <f>H15</f>
        <v>123.46777767</v>
      </c>
      <c r="F17" s="25" t="s">
        <v>264</v>
      </c>
      <c r="G17" s="26">
        <f t="shared" si="0"/>
        <v>0</v>
      </c>
      <c r="H17" s="26"/>
      <c r="I17" s="311" t="s">
        <v>277</v>
      </c>
      <c r="J17" s="365"/>
      <c r="K17" s="365"/>
    </row>
    <row r="18" spans="1:12" ht="43.5" customHeight="1" x14ac:dyDescent="0.2">
      <c r="A18" s="17"/>
      <c r="B18" s="17"/>
      <c r="C18" s="39" t="s">
        <v>228</v>
      </c>
      <c r="D18" s="42">
        <v>0</v>
      </c>
      <c r="E18" s="43">
        <f>H15</f>
        <v>123.46777767</v>
      </c>
      <c r="F18" s="44" t="s">
        <v>264</v>
      </c>
      <c r="G18" s="43">
        <f t="shared" si="0"/>
        <v>0</v>
      </c>
      <c r="H18" s="43"/>
      <c r="I18" s="22" t="s">
        <v>273</v>
      </c>
      <c r="J18" s="365"/>
      <c r="K18" s="365"/>
    </row>
    <row r="19" spans="1:12" ht="48" customHeight="1" x14ac:dyDescent="0.2">
      <c r="A19" s="17"/>
      <c r="B19" s="17"/>
      <c r="C19" s="39" t="s">
        <v>69</v>
      </c>
      <c r="D19" s="42">
        <v>0</v>
      </c>
      <c r="E19" s="43">
        <f>H15</f>
        <v>123.46777767</v>
      </c>
      <c r="F19" s="44" t="s">
        <v>265</v>
      </c>
      <c r="G19" s="43">
        <f t="shared" si="0"/>
        <v>0</v>
      </c>
      <c r="H19" s="43"/>
      <c r="I19" s="312" t="s">
        <v>274</v>
      </c>
      <c r="J19" s="365"/>
      <c r="K19" s="365"/>
    </row>
    <row r="20" spans="1:12" ht="21.75" customHeight="1" x14ac:dyDescent="0.2">
      <c r="A20" s="17"/>
      <c r="B20" s="17"/>
      <c r="C20" s="14" t="s">
        <v>31</v>
      </c>
      <c r="D20" s="23">
        <f>SUM(D16:D19)</f>
        <v>0</v>
      </c>
      <c r="E20" s="24">
        <f>H15</f>
        <v>123.46777767</v>
      </c>
      <c r="F20" s="14" t="s">
        <v>264</v>
      </c>
      <c r="G20" s="24">
        <f>SUM(G16:G19)</f>
        <v>0</v>
      </c>
      <c r="H20" s="24">
        <f>H15+G20</f>
        <v>123.46777767</v>
      </c>
      <c r="I20" s="18"/>
      <c r="J20" s="365"/>
      <c r="K20" s="365"/>
    </row>
    <row r="21" spans="1:12" ht="64.5" customHeight="1" x14ac:dyDescent="0.2">
      <c r="A21" s="17"/>
      <c r="B21" s="16" t="s">
        <v>40</v>
      </c>
      <c r="C21" s="19" t="s">
        <v>41</v>
      </c>
      <c r="D21" s="27">
        <v>8.0000000000000004E-4</v>
      </c>
      <c r="E21" s="26">
        <f>H15</f>
        <v>123.46777767</v>
      </c>
      <c r="F21" s="25" t="s">
        <v>264</v>
      </c>
      <c r="G21" s="26">
        <f t="shared" ref="G21:G27" si="1">D21*E21</f>
        <v>9.8774222136000012E-2</v>
      </c>
      <c r="H21" s="26"/>
      <c r="I21" s="247" t="s">
        <v>255</v>
      </c>
      <c r="J21" s="365"/>
      <c r="K21" s="365"/>
    </row>
    <row r="22" spans="1:12" ht="51" customHeight="1" x14ac:dyDescent="0.2">
      <c r="A22" s="17"/>
      <c r="B22" s="25"/>
      <c r="C22" s="25" t="s">
        <v>42</v>
      </c>
      <c r="D22" s="355">
        <v>8.0399999999999999E-2</v>
      </c>
      <c r="E22" s="26">
        <f>H15</f>
        <v>123.46777767</v>
      </c>
      <c r="F22" s="25" t="s">
        <v>264</v>
      </c>
      <c r="G22" s="26">
        <f t="shared" si="1"/>
        <v>9.9268093246679996</v>
      </c>
      <c r="H22" s="26"/>
      <c r="I22" s="370" t="s">
        <v>341</v>
      </c>
      <c r="J22" s="365"/>
      <c r="K22" s="365"/>
    </row>
    <row r="23" spans="1:12" ht="53.25" customHeight="1" x14ac:dyDescent="0.2">
      <c r="A23" s="17"/>
      <c r="B23" s="25"/>
      <c r="C23" s="25" t="s">
        <v>232</v>
      </c>
      <c r="D23" s="355">
        <v>6.5699999999999995E-2</v>
      </c>
      <c r="E23" s="26">
        <f>H15</f>
        <v>123.46777767</v>
      </c>
      <c r="F23" s="25" t="s">
        <v>264</v>
      </c>
      <c r="G23" s="26">
        <f t="shared" si="1"/>
        <v>8.1118329929190001</v>
      </c>
      <c r="H23" s="26"/>
      <c r="I23" s="370"/>
      <c r="J23" s="365"/>
      <c r="K23" s="365"/>
    </row>
    <row r="24" spans="1:12" ht="54.75" customHeight="1" x14ac:dyDescent="0.2">
      <c r="A24" s="17"/>
      <c r="B24" s="25"/>
      <c r="C24" s="25" t="s">
        <v>45</v>
      </c>
      <c r="D24" s="355">
        <v>7.6399999999999996E-2</v>
      </c>
      <c r="E24" s="26">
        <f>H15</f>
        <v>123.46777767</v>
      </c>
      <c r="F24" s="25" t="s">
        <v>264</v>
      </c>
      <c r="G24" s="26">
        <f t="shared" si="1"/>
        <v>9.4329382139879989</v>
      </c>
      <c r="H24" s="26"/>
      <c r="I24" s="370"/>
      <c r="J24" s="365"/>
      <c r="K24" s="365"/>
    </row>
    <row r="25" spans="1:12" ht="155.25" customHeight="1" x14ac:dyDescent="0.2">
      <c r="A25" s="17"/>
      <c r="B25" s="25"/>
      <c r="C25" s="28" t="s">
        <v>237</v>
      </c>
      <c r="D25" s="8">
        <v>0</v>
      </c>
      <c r="E25" s="26">
        <f>H15</f>
        <v>123.46777767</v>
      </c>
      <c r="F25" s="25" t="s">
        <v>264</v>
      </c>
      <c r="G25" s="26">
        <f t="shared" si="1"/>
        <v>0</v>
      </c>
      <c r="H25" s="26"/>
      <c r="I25" s="370" t="s">
        <v>281</v>
      </c>
      <c r="J25" s="374" t="s">
        <v>317</v>
      </c>
      <c r="K25" s="374"/>
    </row>
    <row r="26" spans="1:12" ht="231.75" customHeight="1" x14ac:dyDescent="0.2">
      <c r="A26" s="17"/>
      <c r="B26" s="25"/>
      <c r="C26" s="25" t="s">
        <v>47</v>
      </c>
      <c r="D26" s="303">
        <v>0</v>
      </c>
      <c r="E26" s="26">
        <f>H15</f>
        <v>123.46777767</v>
      </c>
      <c r="F26" s="25" t="s">
        <v>264</v>
      </c>
      <c r="G26" s="26">
        <f t="shared" si="1"/>
        <v>0</v>
      </c>
      <c r="H26" s="26"/>
      <c r="I26" s="370"/>
      <c r="J26" s="374" t="s">
        <v>225</v>
      </c>
      <c r="K26" s="374"/>
    </row>
    <row r="27" spans="1:12" ht="135.75" customHeight="1" x14ac:dyDescent="0.2">
      <c r="A27" s="17"/>
      <c r="B27" s="25"/>
      <c r="C27" s="28" t="s">
        <v>226</v>
      </c>
      <c r="D27" s="303">
        <v>0</v>
      </c>
      <c r="E27" s="26">
        <f>H15</f>
        <v>123.46777767</v>
      </c>
      <c r="F27" s="25" t="s">
        <v>264</v>
      </c>
      <c r="G27" s="26">
        <f t="shared" si="1"/>
        <v>0</v>
      </c>
      <c r="H27" s="26"/>
      <c r="I27" s="327" t="s">
        <v>238</v>
      </c>
      <c r="J27" s="364"/>
      <c r="K27" s="365"/>
    </row>
    <row r="28" spans="1:12" ht="18" customHeight="1" x14ac:dyDescent="0.2">
      <c r="A28" s="17"/>
      <c r="B28" s="17"/>
      <c r="C28" s="14" t="s">
        <v>31</v>
      </c>
      <c r="D28" s="23">
        <f>SUM(D21:D27)</f>
        <v>0.22329999999999997</v>
      </c>
      <c r="E28" s="24">
        <f>H15</f>
        <v>123.46777767</v>
      </c>
      <c r="F28" s="14" t="s">
        <v>264</v>
      </c>
      <c r="G28" s="24">
        <f>SUM(G21:G27)</f>
        <v>27.570354753710998</v>
      </c>
      <c r="H28" s="24">
        <f>H20+G28</f>
        <v>151.03813242371101</v>
      </c>
      <c r="I28" s="18"/>
      <c r="J28" s="365"/>
      <c r="K28" s="365"/>
    </row>
    <row r="29" spans="1:12" ht="111" customHeight="1" x14ac:dyDescent="0.2">
      <c r="A29" s="366" t="s">
        <v>49</v>
      </c>
      <c r="B29" s="369" t="s">
        <v>50</v>
      </c>
      <c r="C29" s="329" t="s">
        <v>261</v>
      </c>
      <c r="D29" s="304">
        <v>0</v>
      </c>
      <c r="E29" s="18">
        <f>H28</f>
        <v>151.03813242371101</v>
      </c>
      <c r="F29" s="17" t="s">
        <v>266</v>
      </c>
      <c r="G29" s="18">
        <f t="shared" ref="G29:G35" si="2">D29*E29</f>
        <v>0</v>
      </c>
      <c r="H29" s="18"/>
      <c r="I29" s="370" t="s">
        <v>280</v>
      </c>
      <c r="J29" s="365"/>
      <c r="K29" s="365"/>
      <c r="L29" s="52"/>
    </row>
    <row r="30" spans="1:12" ht="21.75" customHeight="1" x14ac:dyDescent="0.2">
      <c r="A30" s="367"/>
      <c r="B30" s="402"/>
      <c r="C30" s="9" t="s">
        <v>56</v>
      </c>
      <c r="D30" s="317">
        <v>0</v>
      </c>
      <c r="E30" s="18">
        <f>H28</f>
        <v>151.03813242371101</v>
      </c>
      <c r="F30" s="17" t="s">
        <v>266</v>
      </c>
      <c r="G30" s="18">
        <f t="shared" si="2"/>
        <v>0</v>
      </c>
      <c r="H30" s="18"/>
      <c r="I30" s="370"/>
      <c r="J30" s="365"/>
      <c r="K30" s="365"/>
    </row>
    <row r="31" spans="1:12" ht="21" customHeight="1" x14ac:dyDescent="0.2">
      <c r="A31" s="367"/>
      <c r="B31" s="402"/>
      <c r="C31" s="9" t="s">
        <v>56</v>
      </c>
      <c r="D31" s="317">
        <v>0</v>
      </c>
      <c r="E31" s="18">
        <f>H28</f>
        <v>151.03813242371101</v>
      </c>
      <c r="F31" s="17" t="s">
        <v>266</v>
      </c>
      <c r="G31" s="18">
        <f t="shared" si="2"/>
        <v>0</v>
      </c>
      <c r="H31" s="18"/>
      <c r="I31" s="370"/>
      <c r="J31" s="365"/>
      <c r="K31" s="365"/>
    </row>
    <row r="32" spans="1:12" ht="20.25" customHeight="1" x14ac:dyDescent="0.2">
      <c r="A32" s="367"/>
      <c r="B32" s="402"/>
      <c r="C32" s="9" t="s">
        <v>56</v>
      </c>
      <c r="D32" s="317">
        <v>0</v>
      </c>
      <c r="E32" s="18">
        <f>H28</f>
        <v>151.03813242371101</v>
      </c>
      <c r="F32" s="17" t="s">
        <v>266</v>
      </c>
      <c r="G32" s="18">
        <f t="shared" si="2"/>
        <v>0</v>
      </c>
      <c r="H32" s="18"/>
      <c r="I32" s="370"/>
      <c r="J32" s="365"/>
      <c r="K32" s="365"/>
    </row>
    <row r="33" spans="1:11" ht="15.75" customHeight="1" x14ac:dyDescent="0.2">
      <c r="A33" s="367"/>
      <c r="B33" s="402"/>
      <c r="C33" s="9" t="s">
        <v>56</v>
      </c>
      <c r="D33" s="317">
        <v>0</v>
      </c>
      <c r="E33" s="18">
        <f>H28</f>
        <v>151.03813242371101</v>
      </c>
      <c r="F33" s="17" t="s">
        <v>266</v>
      </c>
      <c r="G33" s="18">
        <f t="shared" si="2"/>
        <v>0</v>
      </c>
      <c r="H33" s="18"/>
      <c r="I33" s="370"/>
      <c r="J33" s="365"/>
      <c r="K33" s="365"/>
    </row>
    <row r="34" spans="1:11" ht="18" customHeight="1" x14ac:dyDescent="0.2">
      <c r="A34" s="367"/>
      <c r="B34" s="402"/>
      <c r="C34" s="9" t="s">
        <v>56</v>
      </c>
      <c r="D34" s="317">
        <v>0</v>
      </c>
      <c r="E34" s="18">
        <f>H28</f>
        <v>151.03813242371101</v>
      </c>
      <c r="F34" s="17" t="s">
        <v>266</v>
      </c>
      <c r="G34" s="18">
        <f t="shared" si="2"/>
        <v>0</v>
      </c>
      <c r="H34" s="18"/>
      <c r="I34" s="370"/>
      <c r="J34" s="365"/>
      <c r="K34" s="365"/>
    </row>
    <row r="35" spans="1:11" ht="15.75" customHeight="1" x14ac:dyDescent="0.2">
      <c r="A35" s="367"/>
      <c r="B35" s="402"/>
      <c r="C35" s="9" t="s">
        <v>56</v>
      </c>
      <c r="D35" s="317">
        <v>0</v>
      </c>
      <c r="E35" s="18">
        <f>H28</f>
        <v>151.03813242371101</v>
      </c>
      <c r="F35" s="17" t="s">
        <v>266</v>
      </c>
      <c r="G35" s="18">
        <f t="shared" si="2"/>
        <v>0</v>
      </c>
      <c r="H35" s="18"/>
      <c r="I35" s="370"/>
      <c r="J35" s="365"/>
      <c r="K35" s="365"/>
    </row>
    <row r="36" spans="1:11" ht="28.5" customHeight="1" x14ac:dyDescent="0.2">
      <c r="A36" s="368"/>
      <c r="B36" s="403"/>
      <c r="C36" s="14" t="s">
        <v>57</v>
      </c>
      <c r="D36" s="23">
        <f>SUM(D29:D35)</f>
        <v>0</v>
      </c>
      <c r="E36" s="24">
        <f>H28</f>
        <v>151.03813242371101</v>
      </c>
      <c r="F36" s="14" t="s">
        <v>266</v>
      </c>
      <c r="G36" s="24">
        <f>SUM(G29:G35)</f>
        <v>0</v>
      </c>
      <c r="H36" s="24">
        <f>H28+G36</f>
        <v>151.03813242371101</v>
      </c>
      <c r="I36" s="18"/>
      <c r="J36" s="384"/>
      <c r="K36" s="385"/>
    </row>
    <row r="37" spans="1:11" ht="151.5" customHeight="1" x14ac:dyDescent="0.2">
      <c r="A37" s="305" t="s">
        <v>214</v>
      </c>
      <c r="B37" s="248" t="s">
        <v>215</v>
      </c>
      <c r="C37" s="248" t="s">
        <v>31</v>
      </c>
      <c r="D37" s="306">
        <v>8.3000000000000004E-2</v>
      </c>
      <c r="E37" s="307">
        <f>H14*D37</f>
        <v>9.4636517000000016</v>
      </c>
      <c r="F37" s="308" t="s">
        <v>314</v>
      </c>
      <c r="G37" s="339">
        <f>(SUM(D16:D18)+SUM(D21:D27))*E37</f>
        <v>2.1132334246100002</v>
      </c>
      <c r="H37" s="307">
        <f>(E37+G37)*(100%+D29)</f>
        <v>11.576885124610001</v>
      </c>
      <c r="I37" s="346" t="s">
        <v>233</v>
      </c>
      <c r="J37" s="399"/>
      <c r="K37" s="398"/>
    </row>
    <row r="38" spans="1:11" ht="39" customHeight="1" x14ac:dyDescent="0.2">
      <c r="A38" s="248"/>
      <c r="B38" s="249"/>
      <c r="C38" s="309" t="s">
        <v>216</v>
      </c>
      <c r="D38" s="310"/>
      <c r="E38" s="307"/>
      <c r="F38" s="308" t="s">
        <v>267</v>
      </c>
      <c r="G38" s="307"/>
      <c r="H38" s="307">
        <f>H36+H37</f>
        <v>162.61501754832102</v>
      </c>
      <c r="I38" s="250"/>
      <c r="J38" s="395"/>
      <c r="K38" s="396"/>
    </row>
    <row r="39" spans="1:11" ht="82.5" customHeight="1" x14ac:dyDescent="0.2">
      <c r="A39" s="30"/>
      <c r="B39" s="30"/>
      <c r="C39" s="30"/>
      <c r="D39" s="30"/>
      <c r="E39" s="30"/>
      <c r="F39" s="30" t="s">
        <v>320</v>
      </c>
      <c r="G39" s="30"/>
      <c r="H39" s="31">
        <f>H38</f>
        <v>162.61501754832102</v>
      </c>
      <c r="I39" s="31" t="s">
        <v>229</v>
      </c>
      <c r="J39" s="32">
        <f>ROUND(H39/100,4)</f>
        <v>1.6262000000000001</v>
      </c>
    </row>
    <row r="40" spans="1:11" ht="63.75" x14ac:dyDescent="0.2">
      <c r="A40" s="30"/>
      <c r="B40" s="28" t="s">
        <v>248</v>
      </c>
      <c r="C40" s="30"/>
      <c r="D40" s="30"/>
      <c r="E40" s="30"/>
      <c r="F40" s="30" t="s">
        <v>321</v>
      </c>
      <c r="G40" s="30"/>
      <c r="H40" s="7">
        <v>1</v>
      </c>
      <c r="I40" s="31" t="s">
        <v>282</v>
      </c>
      <c r="J40" s="40"/>
    </row>
    <row r="41" spans="1:11" ht="99.75" customHeight="1" x14ac:dyDescent="0.2">
      <c r="A41" s="30"/>
      <c r="B41" s="30"/>
      <c r="C41" s="30"/>
      <c r="D41" s="30"/>
      <c r="E41" s="30"/>
      <c r="F41" s="30" t="s">
        <v>322</v>
      </c>
      <c r="G41" s="30"/>
      <c r="H41" s="31">
        <f>J39*H40</f>
        <v>1.6262000000000001</v>
      </c>
      <c r="I41" s="33" t="s">
        <v>60</v>
      </c>
      <c r="J41" s="34">
        <f>ROUND(J39*H40,4)</f>
        <v>1.6262000000000001</v>
      </c>
    </row>
    <row r="42" spans="1:11" ht="18.75" customHeight="1" x14ac:dyDescent="0.2">
      <c r="B42" s="36" t="s">
        <v>11</v>
      </c>
      <c r="C42" s="37"/>
    </row>
    <row r="43" spans="1:11" ht="13.5" customHeight="1" x14ac:dyDescent="0.2"/>
    <row r="44" spans="1:11" s="298" customFormat="1" ht="33.75" customHeight="1" x14ac:dyDescent="0.2">
      <c r="A44" s="375" t="s">
        <v>324</v>
      </c>
      <c r="B44" s="376"/>
      <c r="C44" s="377"/>
      <c r="D44" s="347"/>
    </row>
    <row r="45" spans="1:11" s="298" customFormat="1" ht="57" customHeight="1" x14ac:dyDescent="0.2">
      <c r="A45" s="400" t="s">
        <v>336</v>
      </c>
      <c r="B45" s="401"/>
      <c r="C45" s="348">
        <f>ROUND(J41*1.25,4)</f>
        <v>2.0327999999999999</v>
      </c>
    </row>
    <row r="46" spans="1:11" ht="13.5" customHeight="1" x14ac:dyDescent="0.2"/>
    <row r="47" spans="1:11" ht="13.5" customHeight="1" x14ac:dyDescent="0.2"/>
    <row r="48" spans="1:11" s="298" customFormat="1" ht="33.75" customHeight="1" x14ac:dyDescent="0.2">
      <c r="A48" s="375" t="s">
        <v>325</v>
      </c>
      <c r="B48" s="376"/>
      <c r="C48" s="377"/>
      <c r="D48" s="347"/>
    </row>
    <row r="49" spans="1:9" s="298" customFormat="1" ht="56.25" customHeight="1" x14ac:dyDescent="0.2">
      <c r="A49" s="400" t="s">
        <v>323</v>
      </c>
      <c r="B49" s="401"/>
      <c r="C49" s="348">
        <f>ROUND(J41*1.1,4)</f>
        <v>1.7887999999999999</v>
      </c>
    </row>
    <row r="50" spans="1:9" ht="13.5" customHeight="1" x14ac:dyDescent="0.2"/>
    <row r="51" spans="1:9" ht="13.5" customHeight="1" x14ac:dyDescent="0.2"/>
    <row r="52" spans="1:9" s="298" customFormat="1" ht="33.75" customHeight="1" x14ac:dyDescent="0.2">
      <c r="A52" s="375" t="s">
        <v>326</v>
      </c>
      <c r="B52" s="376"/>
      <c r="C52" s="377"/>
      <c r="D52" s="347"/>
      <c r="F52" s="349"/>
    </row>
    <row r="53" spans="1:9" s="298" customFormat="1" ht="129.75" customHeight="1" x14ac:dyDescent="0.2">
      <c r="A53" s="397" t="s">
        <v>327</v>
      </c>
      <c r="B53" s="398"/>
      <c r="C53" s="348">
        <v>3</v>
      </c>
    </row>
    <row r="54" spans="1:9" ht="13.5" customHeight="1" x14ac:dyDescent="0.2"/>
    <row r="56" spans="1:9" ht="93" customHeight="1" x14ac:dyDescent="0.2">
      <c r="A56" s="404" t="s">
        <v>295</v>
      </c>
      <c r="B56" s="405"/>
      <c r="C56" s="405"/>
      <c r="D56" s="405"/>
      <c r="E56" s="406"/>
      <c r="F56" s="406"/>
      <c r="G56" s="406"/>
      <c r="H56" s="406"/>
      <c r="I56" s="407"/>
    </row>
    <row r="57" spans="1:9" ht="33" customHeight="1" x14ac:dyDescent="0.2">
      <c r="A57" s="408"/>
      <c r="B57" s="409"/>
      <c r="C57" s="409"/>
      <c r="D57" s="409"/>
      <c r="E57" s="409"/>
      <c r="F57" s="409"/>
      <c r="G57" s="409"/>
      <c r="H57" s="409"/>
      <c r="I57" s="410"/>
    </row>
    <row r="58" spans="1:9" ht="11.25" customHeight="1" x14ac:dyDescent="0.2">
      <c r="A58" s="408"/>
      <c r="B58" s="409"/>
      <c r="C58" s="409"/>
      <c r="D58" s="409"/>
      <c r="E58" s="409"/>
      <c r="F58" s="409"/>
      <c r="G58" s="409"/>
      <c r="H58" s="409"/>
      <c r="I58" s="410"/>
    </row>
    <row r="59" spans="1:9" ht="7.5" customHeight="1" x14ac:dyDescent="0.2">
      <c r="A59" s="411"/>
      <c r="B59" s="412"/>
      <c r="C59" s="412"/>
      <c r="D59" s="412"/>
      <c r="E59" s="412"/>
      <c r="F59" s="412"/>
      <c r="G59" s="412"/>
      <c r="H59" s="412"/>
      <c r="I59" s="413"/>
    </row>
  </sheetData>
  <sheetProtection algorithmName="SHA-512" hashValue="i5aSyYC8CJeKAywJBqw+QpRzUvtyr6mBIWiu/pkVbqvMmHHJtnWAhW1EWpFzbwgIV3O9by8FejoNHNbe9kaq1g==" saltValue="8O3YzWsiHJ4oy3WZeuBnOw==" spinCount="100000" sheet="1" objects="1" scenarios="1"/>
  <mergeCells count="27">
    <mergeCell ref="A1:L1"/>
    <mergeCell ref="G3:K3"/>
    <mergeCell ref="J9:K9"/>
    <mergeCell ref="A8:K8"/>
    <mergeCell ref="A6:I6"/>
    <mergeCell ref="I7:K7"/>
    <mergeCell ref="D5:F5"/>
    <mergeCell ref="J10:K24"/>
    <mergeCell ref="I11:I13"/>
    <mergeCell ref="I22:I24"/>
    <mergeCell ref="I25:I26"/>
    <mergeCell ref="J25:K25"/>
    <mergeCell ref="J26:K26"/>
    <mergeCell ref="J27:K35"/>
    <mergeCell ref="A29:A36"/>
    <mergeCell ref="B29:B36"/>
    <mergeCell ref="I29:I35"/>
    <mergeCell ref="A56:I59"/>
    <mergeCell ref="J38:K38"/>
    <mergeCell ref="J36:K36"/>
    <mergeCell ref="J37:K37"/>
    <mergeCell ref="A44:C44"/>
    <mergeCell ref="A45:B45"/>
    <mergeCell ref="A48:C48"/>
    <mergeCell ref="A49:B49"/>
    <mergeCell ref="A52:C52"/>
    <mergeCell ref="A53:B53"/>
  </mergeCells>
  <pageMargins left="0.70866141732283472" right="0.70866141732283472" top="0.74803149606299213" bottom="0.74803149606299213" header="0.31496062992125984" footer="0.31496062992125984"/>
  <pageSetup paperSize="8"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zoomScaleNormal="100" workbookViewId="0">
      <selection activeCell="A27" sqref="A27:C27"/>
    </sheetView>
  </sheetViews>
  <sheetFormatPr defaultColWidth="9.140625" defaultRowHeight="12.75" x14ac:dyDescent="0.2"/>
  <cols>
    <col min="1" max="1" width="95.85546875" style="260" customWidth="1"/>
    <col min="2" max="2" width="70" style="260" customWidth="1"/>
    <col min="3" max="3" width="28.5703125" style="301" customWidth="1"/>
    <col min="4" max="4" width="25.7109375" style="260" customWidth="1"/>
    <col min="5" max="5" width="34" style="260" customWidth="1"/>
    <col min="6" max="6" width="17.85546875" style="260" customWidth="1"/>
    <col min="7" max="7" width="15.42578125" style="260" customWidth="1"/>
    <col min="8" max="8" width="13.7109375" style="260" customWidth="1"/>
    <col min="9" max="9" width="17.5703125" style="260" customWidth="1"/>
    <col min="10" max="10" width="9.140625" style="260"/>
    <col min="11" max="11" width="5.5703125" style="260" customWidth="1"/>
    <col min="12" max="16384" width="9.140625" style="260"/>
  </cols>
  <sheetData>
    <row r="1" spans="1:15" ht="26.25" customHeight="1" x14ac:dyDescent="0.2">
      <c r="A1" s="362" t="s">
        <v>269</v>
      </c>
      <c r="B1" s="363"/>
      <c r="C1" s="363"/>
      <c r="D1" s="363"/>
      <c r="E1" s="363"/>
      <c r="F1" s="363"/>
      <c r="G1" s="359"/>
      <c r="H1" s="359"/>
      <c r="I1" s="359"/>
      <c r="J1" s="359"/>
      <c r="K1" s="359"/>
    </row>
    <row r="2" spans="1:15" ht="14.25" x14ac:dyDescent="0.2">
      <c r="A2" s="1"/>
      <c r="B2" s="54"/>
      <c r="C2" s="35"/>
      <c r="D2" s="35"/>
      <c r="E2" s="35"/>
      <c r="F2" s="54"/>
      <c r="G2" s="54"/>
      <c r="H2" s="35"/>
      <c r="I2" s="35"/>
      <c r="J2" s="35"/>
      <c r="K2" s="35"/>
    </row>
    <row r="3" spans="1:15" s="10" customFormat="1" ht="18" x14ac:dyDescent="0.2">
      <c r="A3" s="257" t="s">
        <v>239</v>
      </c>
      <c r="B3" s="49" t="s">
        <v>240</v>
      </c>
      <c r="C3" s="256"/>
      <c r="D3" s="256"/>
      <c r="E3" s="256"/>
      <c r="F3" s="50"/>
      <c r="G3" s="358"/>
      <c r="H3" s="359"/>
      <c r="I3" s="359"/>
      <c r="J3" s="359"/>
      <c r="K3" s="359"/>
    </row>
    <row r="4" spans="1:15" s="10" customFormat="1" ht="15" x14ac:dyDescent="0.2">
      <c r="A4" s="49" t="s">
        <v>275</v>
      </c>
      <c r="B4" s="49" t="s">
        <v>241</v>
      </c>
      <c r="C4" s="35"/>
      <c r="D4" s="35"/>
      <c r="E4" s="35"/>
      <c r="F4" s="35"/>
      <c r="G4" s="35"/>
      <c r="H4" s="35"/>
      <c r="I4" s="35"/>
      <c r="J4" s="35"/>
      <c r="K4" s="35"/>
    </row>
    <row r="5" spans="1:15" s="41" customFormat="1" ht="18" x14ac:dyDescent="0.25">
      <c r="A5" s="245"/>
      <c r="B5" s="354" t="s">
        <v>340</v>
      </c>
      <c r="C5" s="35"/>
      <c r="D5" s="35"/>
      <c r="E5" s="50"/>
      <c r="F5" s="50"/>
    </row>
    <row r="6" spans="1:15" s="41" customFormat="1" ht="18" x14ac:dyDescent="0.25">
      <c r="A6" s="256" t="s">
        <v>284</v>
      </c>
      <c r="B6" s="259"/>
      <c r="C6" s="259"/>
      <c r="D6" s="382"/>
      <c r="E6" s="383"/>
      <c r="F6" s="383"/>
      <c r="G6" s="35"/>
      <c r="H6" s="35"/>
      <c r="I6" s="35"/>
      <c r="J6" s="35"/>
      <c r="K6" s="35"/>
    </row>
    <row r="7" spans="1:15" ht="21.75" customHeight="1" x14ac:dyDescent="0.2">
      <c r="A7" s="256" t="s">
        <v>283</v>
      </c>
      <c r="B7" s="256"/>
      <c r="C7" s="256"/>
      <c r="D7" s="256"/>
      <c r="E7" s="256"/>
      <c r="F7" s="256"/>
      <c r="G7" s="256"/>
      <c r="H7" s="256"/>
      <c r="I7" s="256"/>
      <c r="J7" s="256"/>
      <c r="K7" s="262"/>
      <c r="L7" s="262"/>
      <c r="M7" s="262"/>
      <c r="N7" s="262"/>
      <c r="O7" s="262"/>
    </row>
    <row r="8" spans="1:15" ht="14.25" x14ac:dyDescent="0.2">
      <c r="A8" s="263"/>
      <c r="B8" s="252"/>
      <c r="C8" s="264"/>
      <c r="D8" s="252"/>
      <c r="E8" s="252"/>
      <c r="F8" s="252"/>
      <c r="G8" s="252"/>
      <c r="H8" s="252"/>
      <c r="I8" s="252"/>
      <c r="J8" s="252"/>
      <c r="K8" s="262"/>
      <c r="L8" s="262"/>
      <c r="M8" s="262"/>
      <c r="N8" s="262"/>
      <c r="O8" s="262"/>
    </row>
    <row r="9" spans="1:15" ht="51" x14ac:dyDescent="0.2">
      <c r="A9" s="320" t="s">
        <v>310</v>
      </c>
      <c r="B9" s="321" t="s">
        <v>184</v>
      </c>
      <c r="C9" s="321" t="s">
        <v>217</v>
      </c>
      <c r="D9" s="322" t="s">
        <v>224</v>
      </c>
      <c r="E9" s="265"/>
      <c r="G9" s="262"/>
      <c r="H9" s="262"/>
      <c r="I9" s="262"/>
      <c r="J9" s="262"/>
      <c r="K9" s="262"/>
      <c r="L9" s="262"/>
    </row>
    <row r="10" spans="1:15" ht="43.5" customHeight="1" x14ac:dyDescent="0.2">
      <c r="A10" s="266" t="s">
        <v>311</v>
      </c>
      <c r="B10" s="267">
        <f>'2a Fase A'!J41</f>
        <v>1.6407</v>
      </c>
      <c r="C10" s="268">
        <v>0.75</v>
      </c>
      <c r="D10" s="269">
        <f>B10*C10</f>
        <v>1.2305250000000001</v>
      </c>
      <c r="E10" s="270"/>
      <c r="F10" s="262"/>
      <c r="G10" s="262"/>
      <c r="H10" s="262"/>
    </row>
    <row r="11" spans="1:15" ht="43.5" customHeight="1" x14ac:dyDescent="0.2">
      <c r="A11" s="266" t="s">
        <v>328</v>
      </c>
      <c r="B11" s="267">
        <f>'2b Fase B en C'!J41</f>
        <v>1.6262000000000001</v>
      </c>
      <c r="C11" s="268">
        <v>0.25</v>
      </c>
      <c r="D11" s="269">
        <f>B11*C11</f>
        <v>0.40655000000000002</v>
      </c>
      <c r="E11" s="271"/>
      <c r="F11" s="262"/>
      <c r="G11" s="262"/>
      <c r="H11" s="262"/>
    </row>
    <row r="12" spans="1:15" ht="48.75" customHeight="1" x14ac:dyDescent="0.2">
      <c r="A12" s="272"/>
      <c r="C12" s="273"/>
      <c r="D12" s="274">
        <f>ROUND(D10+D11,4)</f>
        <v>1.6371</v>
      </c>
      <c r="E12" s="323" t="s">
        <v>312</v>
      </c>
      <c r="F12" s="262"/>
      <c r="G12" s="262"/>
      <c r="H12" s="262"/>
    </row>
    <row r="13" spans="1:15" ht="14.25" x14ac:dyDescent="0.2">
      <c r="A13" s="272"/>
      <c r="C13" s="273"/>
      <c r="D13" s="280"/>
      <c r="E13" s="280"/>
      <c r="F13" s="280"/>
      <c r="G13" s="262"/>
      <c r="H13" s="262"/>
    </row>
    <row r="14" spans="1:15" customFormat="1" x14ac:dyDescent="0.2"/>
    <row r="15" spans="1:15" x14ac:dyDescent="0.2">
      <c r="A15" s="262"/>
      <c r="B15" s="275" t="s">
        <v>199</v>
      </c>
      <c r="C15" s="429"/>
      <c r="D15" s="429"/>
      <c r="E15" s="429"/>
      <c r="F15" s="429"/>
      <c r="G15" s="429"/>
    </row>
    <row r="16" spans="1:15" ht="16.5" customHeight="1" x14ac:dyDescent="0.2">
      <c r="A16" s="276"/>
      <c r="B16" s="277" t="s">
        <v>245</v>
      </c>
      <c r="C16" s="278"/>
      <c r="D16" s="278"/>
      <c r="F16" s="279"/>
      <c r="G16" s="280"/>
    </row>
    <row r="17" spans="1:8" ht="18.75" customHeight="1" x14ac:dyDescent="0.2">
      <c r="B17" s="277" t="s">
        <v>309</v>
      </c>
      <c r="C17" s="281"/>
      <c r="D17" s="282"/>
      <c r="E17" s="273"/>
      <c r="F17" s="279"/>
      <c r="G17" s="280"/>
    </row>
    <row r="18" spans="1:8" ht="14.25" x14ac:dyDescent="0.2">
      <c r="B18" s="283"/>
      <c r="C18" s="284"/>
      <c r="D18" s="262"/>
      <c r="E18" s="276"/>
      <c r="F18" s="279"/>
      <c r="G18" s="280"/>
    </row>
    <row r="19" spans="1:8" ht="14.25" x14ac:dyDescent="0.2">
      <c r="B19" s="262"/>
      <c r="C19" s="284"/>
      <c r="D19" s="285"/>
      <c r="E19" s="276"/>
      <c r="F19" s="279"/>
      <c r="G19" s="280"/>
    </row>
    <row r="20" spans="1:8" ht="34.5" x14ac:dyDescent="0.2">
      <c r="B20" s="286" t="s">
        <v>202</v>
      </c>
      <c r="C20" s="265" t="s">
        <v>203</v>
      </c>
      <c r="F20" s="279"/>
    </row>
    <row r="21" spans="1:8" ht="21.75" customHeight="1" x14ac:dyDescent="0.2">
      <c r="A21" s="279"/>
      <c r="B21" s="286">
        <f>2.14-D12</f>
        <v>0.50290000000000012</v>
      </c>
      <c r="C21" s="287">
        <f>IF(C22&lt;0,"knock out",IF(C22&gt;=250,250,C22))</f>
        <v>250</v>
      </c>
      <c r="D21" s="288" t="s">
        <v>218</v>
      </c>
      <c r="E21" s="289"/>
      <c r="F21" s="279"/>
      <c r="G21" s="279"/>
      <c r="H21" s="279"/>
    </row>
    <row r="22" spans="1:8" s="290" customFormat="1" ht="20.25" hidden="1" customHeight="1" x14ac:dyDescent="0.2">
      <c r="B22" s="291"/>
      <c r="C22" s="319">
        <f>B21*1000</f>
        <v>502.90000000000015</v>
      </c>
      <c r="D22" s="292" t="s">
        <v>285</v>
      </c>
      <c r="E22" s="293"/>
      <c r="F22" s="294"/>
      <c r="G22" s="294"/>
      <c r="H22" s="294"/>
    </row>
    <row r="23" spans="1:8" s="290" customFormat="1" x14ac:dyDescent="0.2">
      <c r="B23" s="291"/>
      <c r="C23" s="291"/>
      <c r="D23" s="292"/>
      <c r="E23" s="293"/>
      <c r="F23" s="294"/>
      <c r="G23" s="294"/>
      <c r="H23" s="294"/>
    </row>
    <row r="24" spans="1:8" s="290" customFormat="1" ht="12" customHeight="1" x14ac:dyDescent="0.2">
      <c r="B24" s="291"/>
      <c r="C24" s="291"/>
      <c r="D24" s="292"/>
      <c r="E24" s="293"/>
      <c r="F24" s="294"/>
      <c r="G24" s="294"/>
      <c r="H24" s="294"/>
    </row>
    <row r="25" spans="1:8" s="290" customFormat="1" hidden="1" x14ac:dyDescent="0.2">
      <c r="B25" s="291"/>
      <c r="C25" s="291"/>
      <c r="D25" s="292"/>
      <c r="E25" s="293"/>
      <c r="F25" s="294"/>
      <c r="G25" s="294"/>
      <c r="H25" s="294"/>
    </row>
    <row r="26" spans="1:8" ht="18" x14ac:dyDescent="0.25">
      <c r="A26" s="261"/>
      <c r="B26" s="295"/>
      <c r="C26" s="295"/>
      <c r="D26" s="251"/>
      <c r="E26" s="251"/>
    </row>
    <row r="27" spans="1:8" ht="44.25" customHeight="1" x14ac:dyDescent="0.2">
      <c r="A27" s="430" t="s">
        <v>244</v>
      </c>
      <c r="B27" s="431"/>
      <c r="C27" s="432"/>
      <c r="D27" s="296"/>
      <c r="E27" s="296"/>
    </row>
    <row r="28" spans="1:8" x14ac:dyDescent="0.2">
      <c r="A28" s="426" t="s">
        <v>207</v>
      </c>
      <c r="B28" s="427"/>
      <c r="C28" s="428"/>
      <c r="D28" s="262"/>
    </row>
    <row r="29" spans="1:8" ht="34.5" customHeight="1" thickBot="1" x14ac:dyDescent="0.25">
      <c r="A29" s="419"/>
      <c r="B29" s="422"/>
      <c r="C29" s="423"/>
      <c r="D29" s="297"/>
    </row>
    <row r="30" spans="1:8" x14ac:dyDescent="0.2">
      <c r="A30" s="418" t="s">
        <v>209</v>
      </c>
      <c r="B30" s="420"/>
      <c r="C30" s="421"/>
    </row>
    <row r="31" spans="1:8" ht="41.25" customHeight="1" thickBot="1" x14ac:dyDescent="0.25">
      <c r="A31" s="419"/>
      <c r="B31" s="422"/>
      <c r="C31" s="423"/>
    </row>
    <row r="32" spans="1:8" x14ac:dyDescent="0.2">
      <c r="A32" s="418" t="s">
        <v>211</v>
      </c>
      <c r="B32" s="420"/>
      <c r="C32" s="421"/>
    </row>
    <row r="33" spans="1:5" s="298" customFormat="1" ht="45" customHeight="1" thickBot="1" x14ac:dyDescent="0.25">
      <c r="A33" s="419"/>
      <c r="B33" s="422"/>
      <c r="C33" s="423"/>
      <c r="D33" s="260"/>
      <c r="E33" s="260"/>
    </row>
    <row r="34" spans="1:5" s="298" customFormat="1" ht="108" customHeight="1" thickBot="1" x14ac:dyDescent="0.25">
      <c r="A34" s="299" t="s">
        <v>213</v>
      </c>
      <c r="B34" s="424"/>
      <c r="C34" s="425"/>
      <c r="D34" s="260"/>
      <c r="E34" s="260"/>
    </row>
    <row r="35" spans="1:5" s="298" customFormat="1" x14ac:dyDescent="0.2">
      <c r="C35" s="300"/>
    </row>
    <row r="36" spans="1:5" s="298" customFormat="1" x14ac:dyDescent="0.2">
      <c r="C36" s="300"/>
    </row>
    <row r="37" spans="1:5" s="298" customFormat="1" x14ac:dyDescent="0.2">
      <c r="C37" s="300"/>
    </row>
    <row r="38" spans="1:5" s="298" customFormat="1" x14ac:dyDescent="0.2">
      <c r="C38" s="300"/>
    </row>
    <row r="39" spans="1:5" s="298" customFormat="1" x14ac:dyDescent="0.2">
      <c r="C39" s="300"/>
    </row>
    <row r="40" spans="1:5" s="298" customFormat="1" x14ac:dyDescent="0.2">
      <c r="C40" s="300"/>
    </row>
    <row r="41" spans="1:5" s="298" customFormat="1" x14ac:dyDescent="0.2">
      <c r="C41" s="300"/>
    </row>
    <row r="42" spans="1:5" s="298" customFormat="1" x14ac:dyDescent="0.2">
      <c r="C42" s="300"/>
    </row>
    <row r="43" spans="1:5" s="298" customFormat="1" x14ac:dyDescent="0.2">
      <c r="C43" s="300"/>
    </row>
    <row r="44" spans="1:5" s="298" customFormat="1" x14ac:dyDescent="0.2">
      <c r="C44" s="300"/>
    </row>
    <row r="45" spans="1:5" s="298" customFormat="1" x14ac:dyDescent="0.2">
      <c r="C45" s="300"/>
    </row>
    <row r="46" spans="1:5" s="298" customFormat="1" x14ac:dyDescent="0.2">
      <c r="C46" s="300"/>
    </row>
    <row r="47" spans="1:5" x14ac:dyDescent="0.2">
      <c r="A47" s="298"/>
      <c r="B47" s="298"/>
      <c r="C47" s="300"/>
      <c r="D47" s="298"/>
      <c r="E47" s="298"/>
    </row>
    <row r="48" spans="1:5" x14ac:dyDescent="0.2">
      <c r="A48" s="298"/>
      <c r="B48" s="298"/>
      <c r="C48" s="300"/>
      <c r="D48" s="298"/>
      <c r="E48" s="298"/>
    </row>
  </sheetData>
  <sheetProtection algorithmName="SHA-512" hashValue="9DC9eHvOstdZe8wzSDdUMQMw6SoypWGZXiURVZu1RvbpWZJs/3ct1GbYrJhIHy9HO5O8o3TrWXe7h3B5wRm8XQ==" saltValue="f/gbFZuxYvPsCkOD0CYE5Q==" spinCount="100000" sheet="1" objects="1" scenarios="1"/>
  <mergeCells count="12">
    <mergeCell ref="A28:A29"/>
    <mergeCell ref="B28:C29"/>
    <mergeCell ref="A1:K1"/>
    <mergeCell ref="G3:K3"/>
    <mergeCell ref="D6:F6"/>
    <mergeCell ref="C15:G15"/>
    <mergeCell ref="A27:C27"/>
    <mergeCell ref="A30:A31"/>
    <mergeCell ref="B30:C31"/>
    <mergeCell ref="A32:A33"/>
    <mergeCell ref="B32:C33"/>
    <mergeCell ref="B34:C34"/>
  </mergeCells>
  <pageMargins left="0.70866141732283472" right="0.70866141732283472" top="0.74803149606299213" bottom="0.74803149606299213" header="0.31496062992125984" footer="0.31496062992125984"/>
  <pageSetup paperSize="8"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57" customWidth="1"/>
    <col min="2" max="2" width="32.140625" style="57" customWidth="1"/>
    <col min="3" max="3" width="38.42578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33.75" customHeight="1" x14ac:dyDescent="0.2">
      <c r="A1" s="436" t="s">
        <v>71</v>
      </c>
      <c r="B1" s="437"/>
      <c r="C1" s="437"/>
      <c r="D1" s="437"/>
      <c r="E1" s="437"/>
      <c r="F1" s="437"/>
      <c r="G1" s="438"/>
      <c r="H1" s="438"/>
      <c r="I1" s="438"/>
    </row>
    <row r="2" spans="1:11" s="60" customFormat="1" ht="19.5" customHeight="1" x14ac:dyDescent="0.2">
      <c r="A2" s="58" t="s">
        <v>72</v>
      </c>
      <c r="B2" s="58" t="s">
        <v>9</v>
      </c>
      <c r="C2" s="59"/>
      <c r="D2" s="59"/>
      <c r="E2" s="59"/>
      <c r="F2" s="59"/>
    </row>
    <row r="3" spans="1:11" s="60" customFormat="1" ht="31.5" customHeight="1" x14ac:dyDescent="0.2">
      <c r="B3" s="441" t="s">
        <v>0</v>
      </c>
      <c r="C3" s="442"/>
      <c r="D3" s="442"/>
      <c r="E3" s="442"/>
      <c r="F3" s="442"/>
      <c r="G3" s="442"/>
      <c r="H3" s="442"/>
    </row>
    <row r="4" spans="1:11" ht="33.75" customHeight="1" x14ac:dyDescent="0.2">
      <c r="A4" s="61" t="s">
        <v>73</v>
      </c>
      <c r="B4" s="60"/>
      <c r="C4" s="60"/>
      <c r="D4" s="436" t="s">
        <v>74</v>
      </c>
      <c r="E4" s="438"/>
      <c r="F4" s="438"/>
    </row>
    <row r="5" spans="1:11" ht="82.5" customHeight="1" x14ac:dyDescent="0.2">
      <c r="A5" s="441" t="s">
        <v>75</v>
      </c>
      <c r="B5" s="438"/>
      <c r="C5" s="438"/>
      <c r="D5" s="438"/>
      <c r="E5" s="438"/>
      <c r="F5" s="438"/>
      <c r="G5" s="438"/>
      <c r="H5" s="438"/>
      <c r="I5" s="438"/>
      <c r="J5" s="438"/>
    </row>
    <row r="6" spans="1:11" ht="18.75" customHeight="1" x14ac:dyDescent="0.25">
      <c r="A6" s="439"/>
      <c r="B6" s="440"/>
      <c r="C6" s="440"/>
      <c r="D6" s="440"/>
      <c r="E6" s="440"/>
      <c r="F6" s="440"/>
      <c r="G6" s="440"/>
      <c r="H6" s="440"/>
      <c r="I6" s="440"/>
    </row>
    <row r="7" spans="1:11" ht="27.75" customHeight="1" x14ac:dyDescent="0.2">
      <c r="B7" s="62" t="s">
        <v>11</v>
      </c>
      <c r="C7" s="63"/>
      <c r="I7" s="443" t="s">
        <v>12</v>
      </c>
      <c r="J7" s="444"/>
      <c r="K7" s="445"/>
    </row>
    <row r="8" spans="1:11" ht="32.25" customHeight="1" x14ac:dyDescent="0.2">
      <c r="A8" s="433" t="s">
        <v>76</v>
      </c>
      <c r="B8" s="434"/>
      <c r="C8" s="434"/>
      <c r="D8" s="434"/>
      <c r="E8" s="434"/>
      <c r="F8" s="434"/>
      <c r="G8" s="434"/>
      <c r="H8" s="434"/>
      <c r="I8" s="434"/>
      <c r="J8" s="434"/>
      <c r="K8" s="435"/>
    </row>
    <row r="9" spans="1:11" ht="42" customHeight="1" x14ac:dyDescent="0.2">
      <c r="A9" s="64" t="s">
        <v>13</v>
      </c>
      <c r="B9" s="64" t="s">
        <v>14</v>
      </c>
      <c r="C9" s="64"/>
      <c r="D9" s="64" t="s">
        <v>15</v>
      </c>
      <c r="E9" s="64"/>
      <c r="F9" s="64" t="s">
        <v>16</v>
      </c>
      <c r="G9" s="64" t="s">
        <v>17</v>
      </c>
      <c r="H9" s="64" t="s">
        <v>18</v>
      </c>
      <c r="I9" s="64" t="s">
        <v>19</v>
      </c>
      <c r="J9" s="454"/>
      <c r="K9" s="455"/>
    </row>
    <row r="10" spans="1:11" ht="25.5" x14ac:dyDescent="0.2">
      <c r="A10" s="65" t="s">
        <v>20</v>
      </c>
      <c r="B10" s="66" t="s">
        <v>21</v>
      </c>
      <c r="C10" s="67"/>
      <c r="D10" s="68">
        <v>1</v>
      </c>
      <c r="E10" s="69">
        <v>100</v>
      </c>
      <c r="F10" s="67" t="s">
        <v>22</v>
      </c>
      <c r="G10" s="69">
        <v>100</v>
      </c>
      <c r="H10" s="69">
        <v>100</v>
      </c>
      <c r="I10" s="70" t="s">
        <v>23</v>
      </c>
      <c r="J10" s="454" t="s">
        <v>24</v>
      </c>
      <c r="K10" s="455"/>
    </row>
    <row r="11" spans="1:11" ht="42" x14ac:dyDescent="0.2">
      <c r="A11" s="67"/>
      <c r="B11" s="65" t="s">
        <v>25</v>
      </c>
      <c r="C11" s="71"/>
      <c r="D11" s="72">
        <v>7.1000000000000004E-3</v>
      </c>
      <c r="E11" s="73">
        <v>100</v>
      </c>
      <c r="F11" s="71" t="s">
        <v>26</v>
      </c>
      <c r="G11" s="73">
        <f>D11*E11</f>
        <v>0.71000000000000008</v>
      </c>
      <c r="H11" s="73">
        <f>H10+G11</f>
        <v>100.71</v>
      </c>
      <c r="I11" s="74" t="s">
        <v>27</v>
      </c>
      <c r="J11" s="455"/>
      <c r="K11" s="455"/>
    </row>
    <row r="12" spans="1:11" ht="86.25" customHeight="1" x14ac:dyDescent="0.2">
      <c r="A12" s="65" t="s">
        <v>28</v>
      </c>
      <c r="B12" s="65" t="s">
        <v>29</v>
      </c>
      <c r="C12" s="56" t="s">
        <v>77</v>
      </c>
      <c r="D12" s="75">
        <v>0</v>
      </c>
      <c r="E12" s="73">
        <f>H11</f>
        <v>100.71</v>
      </c>
      <c r="F12" s="71" t="s">
        <v>26</v>
      </c>
      <c r="G12" s="73">
        <f>D12*E12</f>
        <v>0</v>
      </c>
      <c r="H12" s="73"/>
      <c r="I12" s="461" t="s">
        <v>78</v>
      </c>
      <c r="J12" s="455"/>
      <c r="K12" s="455"/>
    </row>
    <row r="13" spans="1:11" ht="204.75" customHeight="1" x14ac:dyDescent="0.2">
      <c r="A13" s="67"/>
      <c r="B13" s="67"/>
      <c r="C13" s="56" t="s">
        <v>79</v>
      </c>
      <c r="D13" s="76">
        <v>0</v>
      </c>
      <c r="E13" s="73">
        <f>H11</f>
        <v>100.71</v>
      </c>
      <c r="F13" s="71" t="s">
        <v>26</v>
      </c>
      <c r="G13" s="73">
        <f>D13*E13</f>
        <v>0</v>
      </c>
      <c r="H13" s="73"/>
      <c r="I13" s="462"/>
      <c r="J13" s="455"/>
      <c r="K13" s="455"/>
    </row>
    <row r="14" spans="1:11" ht="232.5" customHeight="1" x14ac:dyDescent="0.2">
      <c r="A14" s="67"/>
      <c r="B14" s="67"/>
      <c r="C14" s="71" t="s">
        <v>30</v>
      </c>
      <c r="D14" s="72">
        <v>6.0000000000000001E-3</v>
      </c>
      <c r="E14" s="73">
        <f>H11</f>
        <v>100.71</v>
      </c>
      <c r="F14" s="71" t="s">
        <v>26</v>
      </c>
      <c r="G14" s="73">
        <f>D14*E14</f>
        <v>0.60426000000000002</v>
      </c>
      <c r="H14" s="73"/>
      <c r="I14" s="462"/>
      <c r="J14" s="455"/>
      <c r="K14" s="455"/>
    </row>
    <row r="15" spans="1:11" ht="24.75" customHeight="1" x14ac:dyDescent="0.2">
      <c r="A15" s="67"/>
      <c r="B15" s="67"/>
      <c r="C15" s="64" t="s">
        <v>31</v>
      </c>
      <c r="D15" s="77">
        <f>SUM(D12:D14)</f>
        <v>6.0000000000000001E-3</v>
      </c>
      <c r="E15" s="78">
        <f>H11</f>
        <v>100.71</v>
      </c>
      <c r="F15" s="64" t="s">
        <v>26</v>
      </c>
      <c r="G15" s="78">
        <f>SUM(G12:G14)</f>
        <v>0.60426000000000002</v>
      </c>
      <c r="H15" s="78">
        <f>H11+G15</f>
        <v>101.31425999999999</v>
      </c>
      <c r="I15" s="69"/>
      <c r="J15" s="455"/>
      <c r="K15" s="455"/>
    </row>
    <row r="16" spans="1:11" ht="37.5" customHeight="1" x14ac:dyDescent="0.2">
      <c r="A16" s="64" t="s">
        <v>32</v>
      </c>
      <c r="B16" s="65" t="s">
        <v>33</v>
      </c>
      <c r="C16" s="71"/>
      <c r="D16" s="72">
        <v>0.08</v>
      </c>
      <c r="E16" s="73">
        <f>H11+G12+G13</f>
        <v>100.71</v>
      </c>
      <c r="F16" s="71" t="s">
        <v>34</v>
      </c>
      <c r="G16" s="73">
        <f t="shared" ref="G16:G20" si="0">D16*E16</f>
        <v>8.0567999999999991</v>
      </c>
      <c r="H16" s="73">
        <f>H15+G16</f>
        <v>109.37105999999999</v>
      </c>
      <c r="I16" s="74" t="s">
        <v>35</v>
      </c>
      <c r="J16" s="455"/>
      <c r="K16" s="455"/>
    </row>
    <row r="17" spans="1:13" ht="199.5" x14ac:dyDescent="0.2">
      <c r="A17" s="65" t="s">
        <v>36</v>
      </c>
      <c r="B17" s="66" t="s">
        <v>37</v>
      </c>
      <c r="C17" s="56" t="s">
        <v>80</v>
      </c>
      <c r="D17" s="75">
        <v>0</v>
      </c>
      <c r="E17" s="73">
        <f>H16</f>
        <v>109.37105999999999</v>
      </c>
      <c r="F17" s="71" t="s">
        <v>38</v>
      </c>
      <c r="G17" s="73">
        <f t="shared" si="0"/>
        <v>0</v>
      </c>
      <c r="H17" s="69"/>
      <c r="I17" s="74" t="s">
        <v>70</v>
      </c>
      <c r="J17" s="455"/>
      <c r="K17" s="455"/>
    </row>
    <row r="18" spans="1:13" ht="241.5" x14ac:dyDescent="0.2">
      <c r="A18" s="67"/>
      <c r="B18" s="67"/>
      <c r="C18" s="56" t="s">
        <v>66</v>
      </c>
      <c r="D18" s="79">
        <v>0</v>
      </c>
      <c r="E18" s="80">
        <f>H16</f>
        <v>109.37105999999999</v>
      </c>
      <c r="F18" s="56" t="s">
        <v>38</v>
      </c>
      <c r="G18" s="80">
        <f t="shared" si="0"/>
        <v>0</v>
      </c>
      <c r="H18" s="80"/>
      <c r="I18" s="74" t="s">
        <v>81</v>
      </c>
      <c r="J18" s="455"/>
      <c r="K18" s="455"/>
    </row>
    <row r="19" spans="1:13" ht="63" x14ac:dyDescent="0.2">
      <c r="A19" s="67"/>
      <c r="B19" s="67"/>
      <c r="C19" s="56" t="s">
        <v>82</v>
      </c>
      <c r="D19" s="81">
        <v>1E-3</v>
      </c>
      <c r="E19" s="80">
        <f>H16</f>
        <v>109.37105999999999</v>
      </c>
      <c r="F19" s="56" t="s">
        <v>38</v>
      </c>
      <c r="G19" s="80">
        <f t="shared" si="0"/>
        <v>0.10937105999999999</v>
      </c>
      <c r="H19" s="80"/>
      <c r="I19" s="74" t="s">
        <v>83</v>
      </c>
      <c r="J19" s="455"/>
      <c r="K19" s="455"/>
    </row>
    <row r="20" spans="1:13" ht="52.5" x14ac:dyDescent="0.2">
      <c r="A20" s="67"/>
      <c r="B20" s="67"/>
      <c r="C20" s="56" t="s">
        <v>69</v>
      </c>
      <c r="D20" s="82">
        <v>1.0200000000000001E-2</v>
      </c>
      <c r="E20" s="80">
        <f>H16</f>
        <v>109.37105999999999</v>
      </c>
      <c r="F20" s="56" t="s">
        <v>38</v>
      </c>
      <c r="G20" s="80">
        <f t="shared" si="0"/>
        <v>1.115584812</v>
      </c>
      <c r="H20" s="80"/>
      <c r="I20" s="74" t="s">
        <v>39</v>
      </c>
      <c r="J20" s="455"/>
      <c r="K20" s="455"/>
    </row>
    <row r="21" spans="1:13" ht="15" customHeight="1" x14ac:dyDescent="0.2">
      <c r="A21" s="67"/>
      <c r="B21" s="67"/>
      <c r="C21" s="64" t="s">
        <v>31</v>
      </c>
      <c r="D21" s="77">
        <f>SUM(D17:D20)</f>
        <v>1.1200000000000002E-2</v>
      </c>
      <c r="E21" s="78">
        <f>H16</f>
        <v>109.37105999999999</v>
      </c>
      <c r="F21" s="64" t="s">
        <v>38</v>
      </c>
      <c r="G21" s="78">
        <f>SUM(G17:G20)</f>
        <v>1.224955872</v>
      </c>
      <c r="H21" s="78">
        <f>H16+G21</f>
        <v>110.59601587199998</v>
      </c>
      <c r="I21" s="69"/>
      <c r="J21" s="455"/>
      <c r="K21" s="455"/>
    </row>
    <row r="22" spans="1:13" ht="231" x14ac:dyDescent="0.2">
      <c r="A22" s="67"/>
      <c r="B22" s="66" t="s">
        <v>40</v>
      </c>
      <c r="C22" s="56" t="s">
        <v>84</v>
      </c>
      <c r="D22" s="82">
        <v>2.5600000000000001E-2</v>
      </c>
      <c r="E22" s="80">
        <f>H16</f>
        <v>109.37105999999999</v>
      </c>
      <c r="F22" s="56" t="s">
        <v>38</v>
      </c>
      <c r="G22" s="80">
        <f t="shared" ref="G22:G28" si="1">D22*E22</f>
        <v>2.7998991359999996</v>
      </c>
      <c r="H22" s="80"/>
      <c r="I22" s="74" t="s">
        <v>85</v>
      </c>
      <c r="J22" s="455"/>
      <c r="K22" s="455"/>
    </row>
    <row r="23" spans="1:13" x14ac:dyDescent="0.2">
      <c r="A23" s="67"/>
      <c r="B23" s="56"/>
      <c r="C23" s="56" t="s">
        <v>42</v>
      </c>
      <c r="D23" s="82">
        <v>6.9599999999999995E-2</v>
      </c>
      <c r="E23" s="80">
        <f>H16</f>
        <v>109.37105999999999</v>
      </c>
      <c r="F23" s="56" t="s">
        <v>38</v>
      </c>
      <c r="G23" s="80">
        <f t="shared" si="1"/>
        <v>7.6122257759999981</v>
      </c>
      <c r="H23" s="80"/>
      <c r="I23" s="461" t="s">
        <v>43</v>
      </c>
      <c r="J23" s="455"/>
      <c r="K23" s="455"/>
    </row>
    <row r="24" spans="1:13" x14ac:dyDescent="0.2">
      <c r="A24" s="67"/>
      <c r="B24" s="56"/>
      <c r="C24" s="56" t="s">
        <v>44</v>
      </c>
      <c r="D24" s="82">
        <v>6.9500000000000006E-2</v>
      </c>
      <c r="E24" s="80">
        <f>H16</f>
        <v>109.37105999999999</v>
      </c>
      <c r="F24" s="56" t="s">
        <v>38</v>
      </c>
      <c r="G24" s="80">
        <f t="shared" si="1"/>
        <v>7.6012886699999997</v>
      </c>
      <c r="H24" s="80"/>
      <c r="I24" s="461"/>
      <c r="J24" s="455"/>
      <c r="K24" s="455"/>
    </row>
    <row r="25" spans="1:13" ht="39.75" customHeight="1" x14ac:dyDescent="0.2">
      <c r="A25" s="67"/>
      <c r="B25" s="56"/>
      <c r="C25" s="56" t="s">
        <v>45</v>
      </c>
      <c r="D25" s="82">
        <v>3.5999999999999997E-2</v>
      </c>
      <c r="E25" s="80">
        <f>H16</f>
        <v>109.37105999999999</v>
      </c>
      <c r="F25" s="56" t="s">
        <v>38</v>
      </c>
      <c r="G25" s="80">
        <f t="shared" si="1"/>
        <v>3.9373581599999992</v>
      </c>
      <c r="H25" s="80"/>
      <c r="I25" s="461"/>
      <c r="J25" s="455"/>
      <c r="K25" s="455"/>
    </row>
    <row r="26" spans="1:13" ht="184.5" customHeight="1" x14ac:dyDescent="0.2">
      <c r="A26" s="67"/>
      <c r="B26" s="56"/>
      <c r="C26" s="83" t="s">
        <v>46</v>
      </c>
      <c r="D26" s="79">
        <v>0</v>
      </c>
      <c r="E26" s="80">
        <f>H16</f>
        <v>109.37105999999999</v>
      </c>
      <c r="F26" s="56" t="s">
        <v>38</v>
      </c>
      <c r="G26" s="80">
        <f t="shared" si="1"/>
        <v>0</v>
      </c>
      <c r="H26" s="80"/>
      <c r="I26" s="461" t="s">
        <v>86</v>
      </c>
      <c r="J26" s="463" t="s">
        <v>87</v>
      </c>
      <c r="K26" s="464"/>
    </row>
    <row r="27" spans="1:13" ht="197.25" customHeight="1" x14ac:dyDescent="0.2">
      <c r="A27" s="67"/>
      <c r="B27" s="56"/>
      <c r="C27" s="56" t="s">
        <v>47</v>
      </c>
      <c r="D27" s="79">
        <v>0</v>
      </c>
      <c r="E27" s="80">
        <f>H16</f>
        <v>109.37105999999999</v>
      </c>
      <c r="F27" s="56" t="s">
        <v>38</v>
      </c>
      <c r="G27" s="80">
        <f t="shared" si="1"/>
        <v>0</v>
      </c>
      <c r="H27" s="80"/>
      <c r="I27" s="461"/>
      <c r="J27" s="465" t="s">
        <v>88</v>
      </c>
      <c r="K27" s="465"/>
    </row>
    <row r="28" spans="1:13" ht="111.75" customHeight="1" x14ac:dyDescent="0.2">
      <c r="A28" s="67"/>
      <c r="B28" s="56"/>
      <c r="C28" s="83" t="s">
        <v>89</v>
      </c>
      <c r="D28" s="79">
        <v>0</v>
      </c>
      <c r="E28" s="80">
        <f>H16</f>
        <v>109.37105999999999</v>
      </c>
      <c r="F28" s="56" t="s">
        <v>38</v>
      </c>
      <c r="G28" s="80">
        <f t="shared" si="1"/>
        <v>0</v>
      </c>
      <c r="H28" s="80"/>
      <c r="I28" s="74" t="s">
        <v>90</v>
      </c>
      <c r="J28" s="456"/>
      <c r="K28" s="455"/>
      <c r="L28" s="84"/>
      <c r="M28" s="84"/>
    </row>
    <row r="29" spans="1:13" x14ac:dyDescent="0.2">
      <c r="A29" s="67"/>
      <c r="B29" s="67"/>
      <c r="C29" s="64" t="s">
        <v>31</v>
      </c>
      <c r="D29" s="77">
        <f>SUM(D22:D28)</f>
        <v>0.20070000000000002</v>
      </c>
      <c r="E29" s="78">
        <f>H16</f>
        <v>109.37105999999999</v>
      </c>
      <c r="F29" s="64" t="s">
        <v>38</v>
      </c>
      <c r="G29" s="78">
        <f>SUM(G22:G28)</f>
        <v>21.950771741999997</v>
      </c>
      <c r="H29" s="78">
        <f>H21+G29</f>
        <v>132.54678761399998</v>
      </c>
      <c r="I29" s="69"/>
      <c r="J29" s="455"/>
      <c r="K29" s="455"/>
      <c r="L29" s="84"/>
    </row>
    <row r="30" spans="1:13" x14ac:dyDescent="0.2">
      <c r="A30" s="460" t="s">
        <v>49</v>
      </c>
      <c r="B30" s="457" t="s">
        <v>50</v>
      </c>
      <c r="C30" s="85"/>
      <c r="D30" s="86">
        <v>0</v>
      </c>
      <c r="E30" s="69">
        <f>H29</f>
        <v>132.54678761399998</v>
      </c>
      <c r="F30" s="67" t="s">
        <v>52</v>
      </c>
      <c r="G30" s="69">
        <f t="shared" ref="G30:G36" si="2">D30*E30</f>
        <v>0</v>
      </c>
      <c r="H30" s="69"/>
      <c r="I30" s="461" t="s">
        <v>91</v>
      </c>
      <c r="J30" s="455"/>
      <c r="K30" s="455"/>
    </row>
    <row r="31" spans="1:13" x14ac:dyDescent="0.2">
      <c r="A31" s="458"/>
      <c r="B31" s="458"/>
      <c r="C31" s="85" t="s">
        <v>56</v>
      </c>
      <c r="D31" s="86">
        <v>0</v>
      </c>
      <c r="E31" s="69">
        <f>H29</f>
        <v>132.54678761399998</v>
      </c>
      <c r="F31" s="67" t="s">
        <v>52</v>
      </c>
      <c r="G31" s="69">
        <f t="shared" si="2"/>
        <v>0</v>
      </c>
      <c r="H31" s="69"/>
      <c r="I31" s="461"/>
      <c r="J31" s="455"/>
      <c r="K31" s="455"/>
    </row>
    <row r="32" spans="1:13" x14ac:dyDescent="0.2">
      <c r="A32" s="458"/>
      <c r="B32" s="458"/>
      <c r="C32" s="85" t="s">
        <v>56</v>
      </c>
      <c r="D32" s="86">
        <v>0</v>
      </c>
      <c r="E32" s="69">
        <f>H29</f>
        <v>132.54678761399998</v>
      </c>
      <c r="F32" s="67" t="s">
        <v>52</v>
      </c>
      <c r="G32" s="69">
        <f t="shared" si="2"/>
        <v>0</v>
      </c>
      <c r="H32" s="69"/>
      <c r="I32" s="461"/>
      <c r="J32" s="455"/>
      <c r="K32" s="455"/>
    </row>
    <row r="33" spans="1:11" x14ac:dyDescent="0.2">
      <c r="A33" s="458"/>
      <c r="B33" s="458"/>
      <c r="C33" s="85" t="s">
        <v>56</v>
      </c>
      <c r="D33" s="86">
        <v>0</v>
      </c>
      <c r="E33" s="69">
        <f>H29</f>
        <v>132.54678761399998</v>
      </c>
      <c r="F33" s="67" t="s">
        <v>52</v>
      </c>
      <c r="G33" s="69">
        <f t="shared" si="2"/>
        <v>0</v>
      </c>
      <c r="H33" s="69"/>
      <c r="I33" s="461"/>
      <c r="J33" s="455"/>
      <c r="K33" s="455"/>
    </row>
    <row r="34" spans="1:11" x14ac:dyDescent="0.2">
      <c r="A34" s="458"/>
      <c r="B34" s="458"/>
      <c r="C34" s="85" t="s">
        <v>56</v>
      </c>
      <c r="D34" s="86">
        <v>0</v>
      </c>
      <c r="E34" s="69">
        <f>H29</f>
        <v>132.54678761399998</v>
      </c>
      <c r="F34" s="67" t="s">
        <v>52</v>
      </c>
      <c r="G34" s="69">
        <f t="shared" si="2"/>
        <v>0</v>
      </c>
      <c r="H34" s="69"/>
      <c r="I34" s="461"/>
      <c r="J34" s="455"/>
      <c r="K34" s="455"/>
    </row>
    <row r="35" spans="1:11" x14ac:dyDescent="0.2">
      <c r="A35" s="458"/>
      <c r="B35" s="458"/>
      <c r="C35" s="85" t="s">
        <v>56</v>
      </c>
      <c r="D35" s="86">
        <v>0</v>
      </c>
      <c r="E35" s="69">
        <f>H29</f>
        <v>132.54678761399998</v>
      </c>
      <c r="F35" s="67" t="s">
        <v>52</v>
      </c>
      <c r="G35" s="69">
        <f t="shared" si="2"/>
        <v>0</v>
      </c>
      <c r="H35" s="69"/>
      <c r="I35" s="461"/>
      <c r="J35" s="455"/>
      <c r="K35" s="455"/>
    </row>
    <row r="36" spans="1:11" ht="57.75" customHeight="1" x14ac:dyDescent="0.2">
      <c r="A36" s="458"/>
      <c r="B36" s="458"/>
      <c r="C36" s="85" t="s">
        <v>56</v>
      </c>
      <c r="D36" s="86">
        <v>0</v>
      </c>
      <c r="E36" s="69">
        <f>H29</f>
        <v>132.54678761399998</v>
      </c>
      <c r="F36" s="67" t="s">
        <v>52</v>
      </c>
      <c r="G36" s="69">
        <f t="shared" si="2"/>
        <v>0</v>
      </c>
      <c r="H36" s="69"/>
      <c r="I36" s="461"/>
      <c r="J36" s="455"/>
      <c r="K36" s="455"/>
    </row>
    <row r="37" spans="1:11" ht="23.25" customHeight="1" x14ac:dyDescent="0.2">
      <c r="A37" s="459"/>
      <c r="B37" s="459"/>
      <c r="C37" s="64" t="s">
        <v>57</v>
      </c>
      <c r="D37" s="77">
        <f>SUM(D30:D36)</f>
        <v>0</v>
      </c>
      <c r="E37" s="78">
        <f>H29</f>
        <v>132.54678761399998</v>
      </c>
      <c r="F37" s="64" t="s">
        <v>52</v>
      </c>
      <c r="G37" s="78">
        <f>SUM(G30:G36)</f>
        <v>0</v>
      </c>
      <c r="H37" s="78">
        <f>H29+G37</f>
        <v>132.54678761399998</v>
      </c>
      <c r="I37" s="69"/>
      <c r="J37" s="69"/>
      <c r="K37" s="64"/>
    </row>
    <row r="38" spans="1:11" ht="127.5" customHeight="1" x14ac:dyDescent="0.2">
      <c r="A38" s="87"/>
      <c r="B38" s="87"/>
      <c r="C38" s="87"/>
      <c r="D38" s="87"/>
      <c r="E38" s="87"/>
      <c r="F38" s="87" t="s">
        <v>92</v>
      </c>
      <c r="G38" s="87"/>
      <c r="H38" s="88">
        <f>H37</f>
        <v>132.54678761399998</v>
      </c>
      <c r="I38" s="88" t="s">
        <v>58</v>
      </c>
      <c r="J38" s="89">
        <f>ROUND(H38/100,4)</f>
        <v>1.3254999999999999</v>
      </c>
      <c r="K38" s="67"/>
    </row>
    <row r="39" spans="1:11" ht="69.75" customHeight="1" x14ac:dyDescent="0.2">
      <c r="A39" s="87"/>
      <c r="B39" s="83" t="s">
        <v>93</v>
      </c>
      <c r="C39" s="87"/>
      <c r="D39" s="87"/>
      <c r="E39" s="87"/>
      <c r="F39" s="87" t="s">
        <v>94</v>
      </c>
      <c r="G39" s="87"/>
      <c r="H39" s="90">
        <v>1</v>
      </c>
      <c r="I39" s="88" t="s">
        <v>59</v>
      </c>
      <c r="J39" s="67"/>
      <c r="K39" s="67"/>
    </row>
    <row r="40" spans="1:11" ht="127.5" x14ac:dyDescent="0.2">
      <c r="A40" s="87"/>
      <c r="B40" s="87"/>
      <c r="C40" s="87"/>
      <c r="D40" s="87"/>
      <c r="E40" s="87"/>
      <c r="F40" s="87" t="s">
        <v>95</v>
      </c>
      <c r="G40" s="87"/>
      <c r="H40" s="88">
        <f>J38*H39</f>
        <v>1.3254999999999999</v>
      </c>
      <c r="I40" s="88" t="s">
        <v>96</v>
      </c>
      <c r="J40" s="91">
        <f>ROUND(J38*H39,4)</f>
        <v>1.3254999999999999</v>
      </c>
      <c r="K40" s="67"/>
    </row>
    <row r="41" spans="1:11" x14ac:dyDescent="0.2">
      <c r="B41" s="92" t="s">
        <v>11</v>
      </c>
      <c r="C41" s="93"/>
    </row>
    <row r="42" spans="1:11" ht="12.75" customHeight="1" x14ac:dyDescent="0.2">
      <c r="B42" s="94"/>
      <c r="C42" s="95"/>
    </row>
    <row r="44" spans="1:11" ht="25.5" customHeight="1" x14ac:dyDescent="0.2">
      <c r="A44" s="446" t="s">
        <v>97</v>
      </c>
      <c r="B44" s="447"/>
      <c r="C44" s="447"/>
      <c r="D44" s="447"/>
      <c r="E44" s="447"/>
      <c r="F44" s="447"/>
      <c r="G44" s="447"/>
      <c r="H44" s="447"/>
      <c r="I44" s="447"/>
      <c r="J44" s="448"/>
    </row>
    <row r="45" spans="1:11" ht="91.5" customHeight="1" x14ac:dyDescent="0.2">
      <c r="A45" s="449"/>
      <c r="B45" s="437"/>
      <c r="C45" s="437"/>
      <c r="D45" s="437"/>
      <c r="E45" s="437"/>
      <c r="F45" s="437"/>
      <c r="G45" s="437"/>
      <c r="H45" s="437"/>
      <c r="I45" s="437"/>
      <c r="J45" s="450"/>
    </row>
    <row r="46" spans="1:11" x14ac:dyDescent="0.2">
      <c r="A46" s="449"/>
      <c r="B46" s="437"/>
      <c r="C46" s="437"/>
      <c r="D46" s="437"/>
      <c r="E46" s="437"/>
      <c r="F46" s="437"/>
      <c r="G46" s="437"/>
      <c r="H46" s="437"/>
      <c r="I46" s="437"/>
      <c r="J46" s="450"/>
    </row>
    <row r="47" spans="1:11" ht="7.5" customHeight="1" x14ac:dyDescent="0.2">
      <c r="A47" s="451"/>
      <c r="B47" s="452"/>
      <c r="C47" s="452"/>
      <c r="D47" s="452"/>
      <c r="E47" s="452"/>
      <c r="F47" s="452"/>
      <c r="G47" s="452"/>
      <c r="H47" s="452"/>
      <c r="I47" s="452"/>
      <c r="J47" s="453"/>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17" customWidth="1"/>
    <col min="2" max="2" width="30.5703125" style="117" customWidth="1"/>
    <col min="3" max="3" width="38.140625" style="117" customWidth="1"/>
    <col min="4" max="4" width="15" style="117" customWidth="1"/>
    <col min="5" max="5" width="14.42578125" style="117" customWidth="1"/>
    <col min="6" max="6" width="32.28515625" style="117" customWidth="1"/>
    <col min="7" max="7" width="10.5703125" style="117" customWidth="1"/>
    <col min="8" max="8" width="12.140625" style="117" customWidth="1"/>
    <col min="9" max="9" width="58.28515625" style="206" customWidth="1"/>
    <col min="10" max="10" width="24" style="117" bestFit="1" customWidth="1"/>
    <col min="11" max="11" width="13.140625" style="117" bestFit="1" customWidth="1"/>
    <col min="12" max="12" width="9.140625" style="117"/>
    <col min="13" max="13" width="27" style="117" customWidth="1"/>
    <col min="14" max="14" width="6.85546875" style="117" customWidth="1"/>
    <col min="15" max="15" width="11.7109375" style="117" customWidth="1"/>
    <col min="16" max="16" width="22.140625" style="117" customWidth="1"/>
    <col min="17" max="17" width="21.28515625" style="117" customWidth="1"/>
    <col min="18" max="16384" width="9.140625" style="117"/>
  </cols>
  <sheetData>
    <row r="1" spans="1:11" ht="30" customHeight="1" x14ac:dyDescent="0.2">
      <c r="A1" s="481" t="s">
        <v>98</v>
      </c>
      <c r="B1" s="482"/>
      <c r="C1" s="482"/>
      <c r="D1" s="482"/>
      <c r="E1" s="482"/>
      <c r="F1" s="482"/>
    </row>
    <row r="2" spans="1:11" s="120" customFormat="1" ht="19.5" customHeight="1" x14ac:dyDescent="0.2">
      <c r="A2" s="118" t="s">
        <v>72</v>
      </c>
      <c r="B2" s="118" t="s">
        <v>9</v>
      </c>
      <c r="C2" s="119"/>
      <c r="D2" s="119"/>
      <c r="E2" s="119"/>
      <c r="F2" s="119"/>
    </row>
    <row r="3" spans="1:11" s="120" customFormat="1" ht="31.5" customHeight="1" x14ac:dyDescent="0.2">
      <c r="B3" s="492" t="s">
        <v>0</v>
      </c>
      <c r="C3" s="493"/>
      <c r="D3" s="493"/>
      <c r="E3" s="493"/>
      <c r="F3" s="493"/>
      <c r="G3" s="493"/>
      <c r="H3" s="493"/>
    </row>
    <row r="4" spans="1:11" s="115" customFormat="1" ht="36.75" customHeight="1" x14ac:dyDescent="0.2">
      <c r="A4" s="121" t="s">
        <v>99</v>
      </c>
      <c r="B4" s="120"/>
      <c r="C4" s="120"/>
      <c r="D4" s="481" t="s">
        <v>74</v>
      </c>
      <c r="E4" s="499"/>
      <c r="F4" s="499"/>
    </row>
    <row r="5" spans="1:11" s="115" customFormat="1" ht="62.25" customHeight="1" x14ac:dyDescent="0.2">
      <c r="A5" s="492" t="s">
        <v>75</v>
      </c>
      <c r="B5" s="499"/>
      <c r="C5" s="499"/>
      <c r="D5" s="499"/>
      <c r="E5" s="499"/>
      <c r="F5" s="499"/>
      <c r="G5" s="499"/>
      <c r="H5" s="499"/>
      <c r="I5" s="499"/>
      <c r="J5" s="499"/>
    </row>
    <row r="6" spans="1:11" ht="31.5" customHeight="1" x14ac:dyDescent="0.25">
      <c r="A6" s="494"/>
      <c r="B6" s="495"/>
      <c r="C6" s="495"/>
      <c r="D6" s="495"/>
      <c r="E6" s="495"/>
      <c r="F6" s="495"/>
      <c r="G6" s="495"/>
      <c r="H6" s="495"/>
      <c r="I6" s="495"/>
    </row>
    <row r="7" spans="1:11" ht="30" customHeight="1" x14ac:dyDescent="0.25">
      <c r="A7" s="116"/>
      <c r="B7" s="207" t="s">
        <v>11</v>
      </c>
      <c r="C7" s="208"/>
      <c r="I7" s="496" t="s">
        <v>12</v>
      </c>
      <c r="J7" s="497"/>
      <c r="K7" s="498"/>
    </row>
    <row r="8" spans="1:11" ht="24.75" customHeight="1" x14ac:dyDescent="0.2">
      <c r="A8" s="484" t="s">
        <v>100</v>
      </c>
      <c r="B8" s="485"/>
      <c r="C8" s="485"/>
      <c r="D8" s="485"/>
      <c r="E8" s="485"/>
      <c r="F8" s="485"/>
      <c r="G8" s="485"/>
      <c r="H8" s="485"/>
      <c r="I8" s="485"/>
      <c r="J8" s="485"/>
      <c r="K8" s="479"/>
    </row>
    <row r="9" spans="1:11" x14ac:dyDescent="0.2">
      <c r="A9" s="209" t="s">
        <v>13</v>
      </c>
      <c r="B9" s="209" t="s">
        <v>14</v>
      </c>
      <c r="C9" s="209"/>
      <c r="D9" s="209" t="s">
        <v>15</v>
      </c>
      <c r="E9" s="209"/>
      <c r="F9" s="209" t="s">
        <v>16</v>
      </c>
      <c r="G9" s="209" t="s">
        <v>17</v>
      </c>
      <c r="H9" s="209" t="s">
        <v>18</v>
      </c>
      <c r="I9" s="210" t="s">
        <v>19</v>
      </c>
      <c r="J9" s="477"/>
      <c r="K9" s="479"/>
    </row>
    <row r="10" spans="1:11" ht="26.25" customHeight="1" x14ac:dyDescent="0.2">
      <c r="A10" s="210" t="s">
        <v>20</v>
      </c>
      <c r="B10" s="211" t="s">
        <v>21</v>
      </c>
      <c r="C10" s="212"/>
      <c r="D10" s="213">
        <v>1</v>
      </c>
      <c r="E10" s="214">
        <v>100</v>
      </c>
      <c r="F10" s="212" t="s">
        <v>22</v>
      </c>
      <c r="G10" s="214">
        <v>100</v>
      </c>
      <c r="H10" s="214">
        <v>100</v>
      </c>
      <c r="I10" s="215" t="s">
        <v>23</v>
      </c>
      <c r="J10" s="477" t="s">
        <v>24</v>
      </c>
      <c r="K10" s="478"/>
    </row>
    <row r="11" spans="1:11" ht="86.25" customHeight="1" x14ac:dyDescent="0.2">
      <c r="A11" s="212"/>
      <c r="B11" s="210" t="s">
        <v>25</v>
      </c>
      <c r="C11" s="216"/>
      <c r="D11" s="217">
        <v>0</v>
      </c>
      <c r="E11" s="218">
        <v>100</v>
      </c>
      <c r="F11" s="216" t="s">
        <v>26</v>
      </c>
      <c r="G11" s="218">
        <f>D11*E11</f>
        <v>0</v>
      </c>
      <c r="H11" s="218">
        <f>H10+G11</f>
        <v>100</v>
      </c>
      <c r="I11" s="219" t="s">
        <v>61</v>
      </c>
      <c r="J11" s="478"/>
      <c r="K11" s="478"/>
    </row>
    <row r="12" spans="1:11" ht="69.75" customHeight="1" x14ac:dyDescent="0.2">
      <c r="A12" s="210" t="s">
        <v>28</v>
      </c>
      <c r="B12" s="210" t="s">
        <v>29</v>
      </c>
      <c r="C12" s="220" t="s">
        <v>77</v>
      </c>
      <c r="D12" s="217">
        <v>0.1087</v>
      </c>
      <c r="E12" s="218">
        <f>H11</f>
        <v>100</v>
      </c>
      <c r="F12" s="216" t="s">
        <v>26</v>
      </c>
      <c r="G12" s="218">
        <f>D12*E12</f>
        <v>10.870000000000001</v>
      </c>
      <c r="H12" s="218"/>
      <c r="I12" s="476" t="s">
        <v>101</v>
      </c>
      <c r="J12" s="478"/>
      <c r="K12" s="478"/>
    </row>
    <row r="13" spans="1:11" ht="69" customHeight="1" x14ac:dyDescent="0.2">
      <c r="A13" s="212"/>
      <c r="B13" s="212"/>
      <c r="C13" s="220" t="s">
        <v>79</v>
      </c>
      <c r="D13" s="221">
        <v>2.6100000000000002E-2</v>
      </c>
      <c r="E13" s="218">
        <f>H11</f>
        <v>100</v>
      </c>
      <c r="F13" s="216" t="s">
        <v>26</v>
      </c>
      <c r="G13" s="218">
        <f>D13*E13</f>
        <v>2.6100000000000003</v>
      </c>
      <c r="H13" s="218"/>
      <c r="I13" s="476"/>
      <c r="J13" s="478"/>
      <c r="K13" s="478"/>
    </row>
    <row r="14" spans="1:11" ht="358.5" customHeight="1" x14ac:dyDescent="0.2">
      <c r="A14" s="212"/>
      <c r="B14" s="212"/>
      <c r="C14" s="216" t="s">
        <v>30</v>
      </c>
      <c r="D14" s="222">
        <v>6.0000000000000001E-3</v>
      </c>
      <c r="E14" s="218">
        <f>H11</f>
        <v>100</v>
      </c>
      <c r="F14" s="216" t="s">
        <v>26</v>
      </c>
      <c r="G14" s="218">
        <f>D14*E14</f>
        <v>0.6</v>
      </c>
      <c r="H14" s="218"/>
      <c r="I14" s="476"/>
      <c r="J14" s="478"/>
      <c r="K14" s="478"/>
    </row>
    <row r="15" spans="1:11" ht="33.75" customHeight="1" x14ac:dyDescent="0.2">
      <c r="A15" s="212"/>
      <c r="B15" s="212"/>
      <c r="C15" s="209" t="s">
        <v>31</v>
      </c>
      <c r="D15" s="223">
        <f>SUM(D12:D14)</f>
        <v>0.14080000000000001</v>
      </c>
      <c r="E15" s="182">
        <f>H11</f>
        <v>100</v>
      </c>
      <c r="F15" s="209" t="s">
        <v>26</v>
      </c>
      <c r="G15" s="182">
        <f>SUM(G12:G14)</f>
        <v>14.08</v>
      </c>
      <c r="H15" s="182">
        <f>H11+G15</f>
        <v>114.08</v>
      </c>
      <c r="I15" s="218"/>
      <c r="J15" s="478"/>
      <c r="K15" s="478"/>
    </row>
    <row r="16" spans="1:11" ht="48.75" customHeight="1" x14ac:dyDescent="0.2">
      <c r="A16" s="210" t="s">
        <v>32</v>
      </c>
      <c r="B16" s="210" t="s">
        <v>33</v>
      </c>
      <c r="C16" s="216"/>
      <c r="D16" s="222">
        <v>0.08</v>
      </c>
      <c r="E16" s="218">
        <f>H11+G12+G13</f>
        <v>113.48</v>
      </c>
      <c r="F16" s="216" t="s">
        <v>34</v>
      </c>
      <c r="G16" s="218">
        <f t="shared" ref="G16:G20" si="0">D16*E16</f>
        <v>9.0784000000000002</v>
      </c>
      <c r="H16" s="218">
        <f>H15+G16</f>
        <v>123.1584</v>
      </c>
      <c r="I16" s="219" t="s">
        <v>35</v>
      </c>
      <c r="J16" s="478"/>
      <c r="K16" s="478"/>
    </row>
    <row r="17" spans="1:13" ht="52.5" customHeight="1" x14ac:dyDescent="0.2">
      <c r="A17" s="210" t="s">
        <v>36</v>
      </c>
      <c r="B17" s="211" t="s">
        <v>37</v>
      </c>
      <c r="C17" s="224" t="s">
        <v>64</v>
      </c>
      <c r="D17" s="225">
        <v>0</v>
      </c>
      <c r="E17" s="218">
        <f>H16</f>
        <v>123.1584</v>
      </c>
      <c r="F17" s="216" t="s">
        <v>38</v>
      </c>
      <c r="G17" s="218">
        <f t="shared" si="0"/>
        <v>0</v>
      </c>
      <c r="H17" s="214"/>
      <c r="I17" s="219" t="s">
        <v>102</v>
      </c>
      <c r="J17" s="478"/>
      <c r="K17" s="478"/>
    </row>
    <row r="18" spans="1:13" ht="237.75" customHeight="1" x14ac:dyDescent="0.2">
      <c r="A18" s="212"/>
      <c r="B18" s="212"/>
      <c r="C18" s="220" t="s">
        <v>66</v>
      </c>
      <c r="D18" s="217">
        <v>1.9199999999999998E-2</v>
      </c>
      <c r="E18" s="226">
        <f>H16</f>
        <v>123.1584</v>
      </c>
      <c r="F18" s="220" t="s">
        <v>38</v>
      </c>
      <c r="G18" s="226">
        <f t="shared" si="0"/>
        <v>2.3646412799999998</v>
      </c>
      <c r="H18" s="226"/>
      <c r="I18" s="219" t="s">
        <v>103</v>
      </c>
      <c r="J18" s="478"/>
      <c r="K18" s="478"/>
    </row>
    <row r="19" spans="1:13" ht="63" x14ac:dyDescent="0.2">
      <c r="A19" s="212"/>
      <c r="B19" s="212"/>
      <c r="C19" s="220" t="s">
        <v>104</v>
      </c>
      <c r="D19" s="227">
        <v>1E-3</v>
      </c>
      <c r="E19" s="226">
        <f>H16</f>
        <v>123.1584</v>
      </c>
      <c r="F19" s="220" t="s">
        <v>38</v>
      </c>
      <c r="G19" s="226">
        <f t="shared" si="0"/>
        <v>0.1231584</v>
      </c>
      <c r="H19" s="226"/>
      <c r="I19" s="219" t="s">
        <v>105</v>
      </c>
      <c r="J19" s="478"/>
      <c r="K19" s="478"/>
    </row>
    <row r="20" spans="1:13" ht="56.25" customHeight="1" x14ac:dyDescent="0.2">
      <c r="A20" s="212"/>
      <c r="B20" s="212"/>
      <c r="C20" s="220" t="s">
        <v>69</v>
      </c>
      <c r="D20" s="227">
        <v>1.0200000000000001E-2</v>
      </c>
      <c r="E20" s="226">
        <f>H16</f>
        <v>123.1584</v>
      </c>
      <c r="F20" s="220" t="s">
        <v>38</v>
      </c>
      <c r="G20" s="226">
        <f t="shared" si="0"/>
        <v>1.2562156800000002</v>
      </c>
      <c r="H20" s="226"/>
      <c r="I20" s="219" t="s">
        <v>39</v>
      </c>
      <c r="J20" s="478"/>
      <c r="K20" s="478"/>
    </row>
    <row r="21" spans="1:13" ht="21" customHeight="1" x14ac:dyDescent="0.2">
      <c r="A21" s="212"/>
      <c r="B21" s="212"/>
      <c r="C21" s="209" t="s">
        <v>31</v>
      </c>
      <c r="D21" s="223">
        <f>SUM(D17:D20)</f>
        <v>3.04E-2</v>
      </c>
      <c r="E21" s="182">
        <f>H16</f>
        <v>123.1584</v>
      </c>
      <c r="F21" s="209" t="s">
        <v>38</v>
      </c>
      <c r="G21" s="182">
        <f>SUM(G17:G20)</f>
        <v>3.7440153599999997</v>
      </c>
      <c r="H21" s="182">
        <f>H16+G21</f>
        <v>126.90241536000001</v>
      </c>
      <c r="I21" s="218"/>
      <c r="J21" s="478"/>
      <c r="K21" s="478"/>
    </row>
    <row r="22" spans="1:13" ht="229.5" customHeight="1" x14ac:dyDescent="0.2">
      <c r="A22" s="212"/>
      <c r="B22" s="211" t="s">
        <v>40</v>
      </c>
      <c r="C22" s="220" t="s">
        <v>106</v>
      </c>
      <c r="D22" s="228">
        <v>1.09E-2</v>
      </c>
      <c r="E22" s="226">
        <f>H16</f>
        <v>123.1584</v>
      </c>
      <c r="F22" s="220" t="s">
        <v>38</v>
      </c>
      <c r="G22" s="226">
        <f t="shared" ref="G22:G28" si="1">D22*E22</f>
        <v>1.34242656</v>
      </c>
      <c r="H22" s="226"/>
      <c r="I22" s="219" t="s">
        <v>107</v>
      </c>
      <c r="J22" s="478"/>
      <c r="K22" s="478"/>
    </row>
    <row r="23" spans="1:13" ht="12.75" customHeight="1" x14ac:dyDescent="0.2">
      <c r="A23" s="212"/>
      <c r="B23" s="220"/>
      <c r="C23" s="220" t="s">
        <v>42</v>
      </c>
      <c r="D23" s="227">
        <v>6.9599999999999995E-2</v>
      </c>
      <c r="E23" s="226">
        <f>H16</f>
        <v>123.1584</v>
      </c>
      <c r="F23" s="220" t="s">
        <v>38</v>
      </c>
      <c r="G23" s="226">
        <f t="shared" si="1"/>
        <v>8.5718246399999991</v>
      </c>
      <c r="H23" s="226"/>
      <c r="I23" s="476" t="s">
        <v>43</v>
      </c>
      <c r="J23" s="478"/>
      <c r="K23" s="478"/>
    </row>
    <row r="24" spans="1:13" x14ac:dyDescent="0.2">
      <c r="A24" s="212"/>
      <c r="B24" s="220"/>
      <c r="C24" s="220" t="s">
        <v>44</v>
      </c>
      <c r="D24" s="227">
        <v>6.9500000000000006E-2</v>
      </c>
      <c r="E24" s="226">
        <f>H16</f>
        <v>123.1584</v>
      </c>
      <c r="F24" s="220" t="s">
        <v>38</v>
      </c>
      <c r="G24" s="226">
        <f t="shared" si="1"/>
        <v>8.5595088000000015</v>
      </c>
      <c r="H24" s="226"/>
      <c r="I24" s="476"/>
      <c r="J24" s="478"/>
      <c r="K24" s="478"/>
    </row>
    <row r="25" spans="1:13" ht="47.25" customHeight="1" x14ac:dyDescent="0.2">
      <c r="A25" s="212"/>
      <c r="B25" s="220"/>
      <c r="C25" s="220" t="s">
        <v>45</v>
      </c>
      <c r="D25" s="227">
        <v>3.5999999999999997E-2</v>
      </c>
      <c r="E25" s="226">
        <f>H16</f>
        <v>123.1584</v>
      </c>
      <c r="F25" s="220" t="s">
        <v>38</v>
      </c>
      <c r="G25" s="226">
        <f t="shared" si="1"/>
        <v>4.4337023999999996</v>
      </c>
      <c r="H25" s="226"/>
      <c r="I25" s="476"/>
      <c r="J25" s="478"/>
      <c r="K25" s="478"/>
    </row>
    <row r="26" spans="1:13" ht="153" customHeight="1" x14ac:dyDescent="0.2">
      <c r="A26" s="212"/>
      <c r="B26" s="220"/>
      <c r="C26" s="229" t="s">
        <v>46</v>
      </c>
      <c r="D26" s="228">
        <f>2.25%/2</f>
        <v>1.125E-2</v>
      </c>
      <c r="E26" s="226">
        <f>H16</f>
        <v>123.1584</v>
      </c>
      <c r="F26" s="220" t="s">
        <v>38</v>
      </c>
      <c r="G26" s="226">
        <f t="shared" si="1"/>
        <v>1.385532</v>
      </c>
      <c r="H26" s="226"/>
      <c r="I26" s="476" t="s">
        <v>108</v>
      </c>
      <c r="J26" s="483" t="s">
        <v>109</v>
      </c>
      <c r="K26" s="483"/>
    </row>
    <row r="27" spans="1:13" ht="228.75" customHeight="1" x14ac:dyDescent="0.2">
      <c r="A27" s="212"/>
      <c r="B27" s="220"/>
      <c r="C27" s="220" t="s">
        <v>47</v>
      </c>
      <c r="D27" s="228">
        <v>1.72E-2</v>
      </c>
      <c r="E27" s="226">
        <f>H16</f>
        <v>123.1584</v>
      </c>
      <c r="F27" s="220" t="s">
        <v>38</v>
      </c>
      <c r="G27" s="226">
        <f t="shared" si="1"/>
        <v>2.1183244800000001</v>
      </c>
      <c r="H27" s="226"/>
      <c r="I27" s="476"/>
      <c r="J27" s="483" t="s">
        <v>48</v>
      </c>
      <c r="K27" s="483"/>
    </row>
    <row r="28" spans="1:13" ht="134.25" customHeight="1" x14ac:dyDescent="0.2">
      <c r="A28" s="212"/>
      <c r="B28" s="220"/>
      <c r="C28" s="229" t="s">
        <v>89</v>
      </c>
      <c r="D28" s="228">
        <v>8.0000000000000002E-3</v>
      </c>
      <c r="E28" s="226">
        <f>H16</f>
        <v>123.1584</v>
      </c>
      <c r="F28" s="220" t="s">
        <v>38</v>
      </c>
      <c r="G28" s="226">
        <f t="shared" si="1"/>
        <v>0.98526720000000001</v>
      </c>
      <c r="H28" s="226"/>
      <c r="I28" s="219" t="s">
        <v>110</v>
      </c>
      <c r="J28" s="480"/>
      <c r="K28" s="479"/>
    </row>
    <row r="29" spans="1:13" x14ac:dyDescent="0.2">
      <c r="A29" s="212"/>
      <c r="B29" s="212"/>
      <c r="C29" s="209" t="s">
        <v>31</v>
      </c>
      <c r="D29" s="223">
        <f>SUM(D22:D28)</f>
        <v>0.22245000000000001</v>
      </c>
      <c r="E29" s="182">
        <f>H16</f>
        <v>123.1584</v>
      </c>
      <c r="F29" s="209" t="s">
        <v>38</v>
      </c>
      <c r="G29" s="182">
        <f>SUM(G22:G28)</f>
        <v>27.396586080000002</v>
      </c>
      <c r="H29" s="182">
        <f>H21+G29</f>
        <v>154.29900144000001</v>
      </c>
      <c r="I29" s="218"/>
      <c r="J29" s="479"/>
      <c r="K29" s="479"/>
    </row>
    <row r="30" spans="1:13" ht="25.5" customHeight="1" x14ac:dyDescent="0.2">
      <c r="A30" s="489" t="s">
        <v>49</v>
      </c>
      <c r="B30" s="486" t="s">
        <v>50</v>
      </c>
      <c r="C30" s="230" t="s">
        <v>51</v>
      </c>
      <c r="D30" s="231">
        <v>4.02E-2</v>
      </c>
      <c r="E30" s="214">
        <f>H29</f>
        <v>154.29900144000001</v>
      </c>
      <c r="F30" s="212" t="s">
        <v>52</v>
      </c>
      <c r="G30" s="214">
        <f t="shared" ref="G30:G36" si="2">D30*E30</f>
        <v>6.2028198578880005</v>
      </c>
      <c r="H30" s="214"/>
      <c r="I30" s="476" t="s">
        <v>111</v>
      </c>
      <c r="J30" s="479"/>
      <c r="K30" s="479"/>
      <c r="L30" s="232"/>
      <c r="M30" s="232"/>
    </row>
    <row r="31" spans="1:13" ht="12.75" customHeight="1" x14ac:dyDescent="0.2">
      <c r="A31" s="490"/>
      <c r="B31" s="487"/>
      <c r="C31" s="230" t="s">
        <v>53</v>
      </c>
      <c r="D31" s="231">
        <v>0</v>
      </c>
      <c r="E31" s="214">
        <f>H29</f>
        <v>154.29900144000001</v>
      </c>
      <c r="F31" s="212" t="s">
        <v>52</v>
      </c>
      <c r="G31" s="214">
        <f t="shared" si="2"/>
        <v>0</v>
      </c>
      <c r="H31" s="214"/>
      <c r="I31" s="476"/>
      <c r="J31" s="479"/>
      <c r="K31" s="479"/>
      <c r="L31" s="232"/>
    </row>
    <row r="32" spans="1:13" ht="12.75" customHeight="1" x14ac:dyDescent="0.2">
      <c r="A32" s="490"/>
      <c r="B32" s="487"/>
      <c r="C32" s="230" t="s">
        <v>54</v>
      </c>
      <c r="D32" s="231">
        <v>3.0000000000000001E-3</v>
      </c>
      <c r="E32" s="214">
        <f>H29</f>
        <v>154.29900144000001</v>
      </c>
      <c r="F32" s="212" t="s">
        <v>52</v>
      </c>
      <c r="G32" s="214">
        <f t="shared" si="2"/>
        <v>0.46289700432000003</v>
      </c>
      <c r="H32" s="214"/>
      <c r="I32" s="476"/>
      <c r="J32" s="479"/>
      <c r="K32" s="479"/>
    </row>
    <row r="33" spans="1:11" x14ac:dyDescent="0.2">
      <c r="A33" s="490"/>
      <c r="B33" s="487"/>
      <c r="C33" s="230" t="s">
        <v>55</v>
      </c>
      <c r="D33" s="231">
        <v>0</v>
      </c>
      <c r="E33" s="214">
        <f>H29</f>
        <v>154.29900144000001</v>
      </c>
      <c r="F33" s="212" t="s">
        <v>52</v>
      </c>
      <c r="G33" s="214">
        <f t="shared" si="2"/>
        <v>0</v>
      </c>
      <c r="H33" s="214"/>
      <c r="I33" s="476"/>
      <c r="J33" s="479"/>
      <c r="K33" s="479"/>
    </row>
    <row r="34" spans="1:11" x14ac:dyDescent="0.2">
      <c r="A34" s="490"/>
      <c r="B34" s="487"/>
      <c r="C34" s="230" t="s">
        <v>56</v>
      </c>
      <c r="D34" s="231">
        <v>0</v>
      </c>
      <c r="E34" s="214">
        <f>H29</f>
        <v>154.29900144000001</v>
      </c>
      <c r="F34" s="212" t="s">
        <v>52</v>
      </c>
      <c r="G34" s="214">
        <f t="shared" si="2"/>
        <v>0</v>
      </c>
      <c r="H34" s="214"/>
      <c r="I34" s="476"/>
      <c r="J34" s="479"/>
      <c r="K34" s="479"/>
    </row>
    <row r="35" spans="1:11" x14ac:dyDescent="0.2">
      <c r="A35" s="490"/>
      <c r="B35" s="487"/>
      <c r="C35" s="230" t="s">
        <v>56</v>
      </c>
      <c r="D35" s="231">
        <v>0</v>
      </c>
      <c r="E35" s="214">
        <f>H29</f>
        <v>154.29900144000001</v>
      </c>
      <c r="F35" s="212" t="s">
        <v>52</v>
      </c>
      <c r="G35" s="214">
        <f t="shared" si="2"/>
        <v>0</v>
      </c>
      <c r="H35" s="214"/>
      <c r="I35" s="476"/>
      <c r="J35" s="479"/>
      <c r="K35" s="479"/>
    </row>
    <row r="36" spans="1:11" ht="61.5" customHeight="1" x14ac:dyDescent="0.2">
      <c r="A36" s="490"/>
      <c r="B36" s="487"/>
      <c r="C36" s="230" t="s">
        <v>56</v>
      </c>
      <c r="D36" s="231">
        <v>0</v>
      </c>
      <c r="E36" s="214">
        <f>H29</f>
        <v>154.29900144000001</v>
      </c>
      <c r="F36" s="212" t="s">
        <v>52</v>
      </c>
      <c r="G36" s="214">
        <f t="shared" si="2"/>
        <v>0</v>
      </c>
      <c r="H36" s="214"/>
      <c r="I36" s="476"/>
      <c r="J36" s="479"/>
      <c r="K36" s="479"/>
    </row>
    <row r="37" spans="1:11" x14ac:dyDescent="0.2">
      <c r="A37" s="491"/>
      <c r="B37" s="488"/>
      <c r="C37" s="209" t="s">
        <v>57</v>
      </c>
      <c r="D37" s="223">
        <f>SUM(D30:D36)</f>
        <v>4.3200000000000002E-2</v>
      </c>
      <c r="E37" s="182">
        <f>H29</f>
        <v>154.29900144000001</v>
      </c>
      <c r="F37" s="209" t="s">
        <v>52</v>
      </c>
      <c r="G37" s="182">
        <f>SUM(G30:G36)</f>
        <v>6.6657168622080007</v>
      </c>
      <c r="H37" s="182">
        <f>H29+G37</f>
        <v>160.96471830220801</v>
      </c>
      <c r="I37" s="218"/>
      <c r="J37" s="214"/>
      <c r="K37" s="233"/>
    </row>
    <row r="38" spans="1:11" ht="101.25" customHeight="1" x14ac:dyDescent="0.2">
      <c r="A38" s="234"/>
      <c r="B38" s="234"/>
      <c r="C38" s="234"/>
      <c r="D38" s="234"/>
      <c r="E38" s="234"/>
      <c r="F38" s="234" t="s">
        <v>112</v>
      </c>
      <c r="G38" s="234"/>
      <c r="H38" s="235">
        <f>H37</f>
        <v>160.96471830220801</v>
      </c>
      <c r="I38" s="235" t="s">
        <v>58</v>
      </c>
      <c r="J38" s="236">
        <f>ROUND(H38/100,4)</f>
        <v>1.6095999999999999</v>
      </c>
      <c r="K38" s="237"/>
    </row>
    <row r="39" spans="1:11" ht="63.75" x14ac:dyDescent="0.2">
      <c r="A39" s="234"/>
      <c r="B39" s="229" t="s">
        <v>113</v>
      </c>
      <c r="C39" s="234"/>
      <c r="D39" s="234"/>
      <c r="E39" s="234"/>
      <c r="F39" s="234" t="s">
        <v>114</v>
      </c>
      <c r="G39" s="234"/>
      <c r="H39" s="238">
        <v>1.1183000000000001</v>
      </c>
      <c r="I39" s="235" t="s">
        <v>59</v>
      </c>
      <c r="J39" s="239"/>
      <c r="K39" s="237"/>
    </row>
    <row r="40" spans="1:11" ht="99.75" customHeight="1" x14ac:dyDescent="0.2">
      <c r="A40" s="234"/>
      <c r="B40" s="234"/>
      <c r="C40" s="234"/>
      <c r="D40" s="234"/>
      <c r="E40" s="234"/>
      <c r="F40" s="234" t="s">
        <v>115</v>
      </c>
      <c r="G40" s="234"/>
      <c r="H40" s="235">
        <f>J38*H39</f>
        <v>1.80001568</v>
      </c>
      <c r="I40" s="235" t="s">
        <v>96</v>
      </c>
      <c r="J40" s="240">
        <f>ROUND(J38*H39,4)</f>
        <v>1.8</v>
      </c>
      <c r="K40" s="237"/>
    </row>
    <row r="41" spans="1:11" x14ac:dyDescent="0.2">
      <c r="A41" s="115"/>
      <c r="B41" s="241" t="s">
        <v>11</v>
      </c>
      <c r="C41" s="242"/>
      <c r="D41" s="115"/>
      <c r="E41" s="115"/>
      <c r="F41" s="115"/>
      <c r="G41" s="115"/>
      <c r="H41" s="115"/>
      <c r="I41" s="120"/>
      <c r="J41" s="115"/>
    </row>
    <row r="42" spans="1:11" x14ac:dyDescent="0.2">
      <c r="A42" s="115"/>
      <c r="B42" s="243"/>
      <c r="C42" s="244"/>
      <c r="D42" s="115"/>
      <c r="E42" s="115"/>
      <c r="F42" s="115"/>
      <c r="G42" s="115"/>
      <c r="H42" s="115"/>
      <c r="I42" s="120"/>
      <c r="J42" s="115"/>
    </row>
    <row r="43" spans="1:11" ht="12.75" customHeight="1" x14ac:dyDescent="0.2">
      <c r="A43" s="115"/>
      <c r="B43" s="115"/>
      <c r="C43" s="115"/>
      <c r="D43" s="115"/>
      <c r="E43" s="115"/>
      <c r="F43" s="115"/>
      <c r="G43" s="115"/>
      <c r="H43" s="115"/>
      <c r="I43" s="120"/>
      <c r="J43" s="115"/>
    </row>
    <row r="44" spans="1:11" ht="89.25" customHeight="1" x14ac:dyDescent="0.2">
      <c r="A44" s="466" t="s">
        <v>116</v>
      </c>
      <c r="B44" s="467"/>
      <c r="C44" s="467"/>
      <c r="D44" s="467"/>
      <c r="E44" s="468"/>
      <c r="F44" s="468"/>
      <c r="G44" s="468"/>
      <c r="H44" s="468"/>
      <c r="I44" s="468"/>
      <c r="J44" s="469"/>
    </row>
    <row r="45" spans="1:11" ht="29.25" customHeight="1" x14ac:dyDescent="0.2">
      <c r="A45" s="470"/>
      <c r="B45" s="471"/>
      <c r="C45" s="471"/>
      <c r="D45" s="471"/>
      <c r="E45" s="471"/>
      <c r="F45" s="471"/>
      <c r="G45" s="471"/>
      <c r="H45" s="471"/>
      <c r="I45" s="471"/>
      <c r="J45" s="472"/>
    </row>
    <row r="46" spans="1:11" ht="13.5" customHeight="1" x14ac:dyDescent="0.2">
      <c r="A46" s="470"/>
      <c r="B46" s="471"/>
      <c r="C46" s="471"/>
      <c r="D46" s="471"/>
      <c r="E46" s="471"/>
      <c r="F46" s="471"/>
      <c r="G46" s="471"/>
      <c r="H46" s="471"/>
      <c r="I46" s="471"/>
      <c r="J46" s="472"/>
    </row>
    <row r="47" spans="1:11" ht="21" customHeight="1" x14ac:dyDescent="0.2">
      <c r="A47" s="473"/>
      <c r="B47" s="474"/>
      <c r="C47" s="474"/>
      <c r="D47" s="474"/>
      <c r="E47" s="474"/>
      <c r="F47" s="474"/>
      <c r="G47" s="474"/>
      <c r="H47" s="474"/>
      <c r="I47" s="474"/>
      <c r="J47" s="475"/>
    </row>
    <row r="48" spans="1:11" x14ac:dyDescent="0.2">
      <c r="A48" s="115"/>
      <c r="B48" s="115"/>
      <c r="C48" s="115"/>
      <c r="D48" s="115"/>
      <c r="E48" s="115"/>
      <c r="F48" s="115"/>
      <c r="G48" s="115"/>
      <c r="H48" s="115"/>
      <c r="I48" s="120"/>
      <c r="J48" s="115"/>
    </row>
    <row r="49" spans="1:10" ht="19.5" customHeight="1" x14ac:dyDescent="0.2">
      <c r="A49" s="115"/>
      <c r="B49" s="115"/>
      <c r="C49" s="115"/>
      <c r="D49" s="115"/>
      <c r="E49" s="115"/>
      <c r="F49" s="115"/>
      <c r="G49" s="115"/>
      <c r="H49" s="115"/>
      <c r="I49" s="120"/>
      <c r="J49" s="115"/>
    </row>
    <row r="50" spans="1:10" x14ac:dyDescent="0.2">
      <c r="A50" s="115"/>
      <c r="B50" s="115"/>
      <c r="C50" s="115"/>
      <c r="D50" s="115"/>
      <c r="E50" s="115"/>
      <c r="F50" s="115"/>
      <c r="G50" s="115"/>
      <c r="H50" s="115"/>
      <c r="I50" s="120"/>
      <c r="J50" s="115"/>
    </row>
    <row r="51" spans="1:10" x14ac:dyDescent="0.2">
      <c r="A51" s="115"/>
      <c r="B51" s="115"/>
      <c r="C51" s="115"/>
      <c r="D51" s="115"/>
      <c r="E51" s="115"/>
      <c r="F51" s="115"/>
      <c r="G51" s="115"/>
      <c r="H51" s="115"/>
      <c r="I51" s="120"/>
      <c r="J51" s="11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57" customWidth="1"/>
    <col min="2" max="2" width="30.5703125" style="57" customWidth="1"/>
    <col min="3" max="3" width="38.5703125" style="57" customWidth="1"/>
    <col min="4" max="4" width="13" style="57" customWidth="1"/>
    <col min="5" max="5" width="12.85546875" style="57" customWidth="1"/>
    <col min="6" max="6" width="32.28515625" style="57" customWidth="1"/>
    <col min="7" max="7" width="10.5703125" style="57" customWidth="1"/>
    <col min="8" max="8" width="12.140625" style="57" customWidth="1"/>
    <col min="9" max="9" width="55.7109375" style="57" customWidth="1"/>
    <col min="10" max="10" width="19.85546875" style="57" customWidth="1"/>
    <col min="11" max="11" width="23.140625" style="57" customWidth="1"/>
    <col min="12" max="12" width="27" style="57" customWidth="1"/>
    <col min="13" max="13" width="6.85546875" style="57" customWidth="1"/>
    <col min="14" max="14" width="11.7109375" style="57" customWidth="1"/>
    <col min="15" max="15" width="22.140625" style="57" customWidth="1"/>
    <col min="16" max="16" width="21.28515625" style="57" customWidth="1"/>
    <col min="17" max="16384" width="9.140625" style="57"/>
  </cols>
  <sheetData>
    <row r="1" spans="1:11" ht="32.25" customHeight="1" x14ac:dyDescent="0.2">
      <c r="A1" s="436" t="s">
        <v>117</v>
      </c>
      <c r="B1" s="437"/>
      <c r="C1" s="437"/>
      <c r="D1" s="437"/>
      <c r="E1" s="437"/>
      <c r="F1" s="437"/>
      <c r="G1" s="442"/>
    </row>
    <row r="2" spans="1:11" s="60" customFormat="1" ht="19.5" customHeight="1" x14ac:dyDescent="0.2">
      <c r="A2" s="58" t="s">
        <v>72</v>
      </c>
      <c r="B2" s="58" t="s">
        <v>9</v>
      </c>
      <c r="C2" s="59"/>
      <c r="D2" s="59"/>
      <c r="E2" s="59"/>
      <c r="F2" s="59"/>
    </row>
    <row r="3" spans="1:11" s="60" customFormat="1" ht="24" customHeight="1" x14ac:dyDescent="0.2">
      <c r="B3" s="441" t="s">
        <v>0</v>
      </c>
      <c r="C3" s="442"/>
      <c r="D3" s="442"/>
      <c r="E3" s="442"/>
      <c r="F3" s="442"/>
      <c r="G3" s="442"/>
      <c r="H3" s="442"/>
    </row>
    <row r="4" spans="1:11" ht="21" customHeight="1" x14ac:dyDescent="0.2">
      <c r="A4" s="61" t="s">
        <v>73</v>
      </c>
      <c r="B4" s="60"/>
      <c r="C4" s="60"/>
      <c r="D4" s="436" t="s">
        <v>74</v>
      </c>
      <c r="E4" s="438"/>
      <c r="F4" s="438"/>
    </row>
    <row r="5" spans="1:11" ht="15.75" customHeight="1" x14ac:dyDescent="0.2">
      <c r="A5" s="61"/>
      <c r="B5" s="60"/>
      <c r="C5" s="60"/>
      <c r="D5" s="108"/>
      <c r="E5" s="108"/>
    </row>
    <row r="6" spans="1:11" ht="63" customHeight="1" x14ac:dyDescent="0.2">
      <c r="A6" s="441" t="s">
        <v>118</v>
      </c>
      <c r="B6" s="438"/>
      <c r="C6" s="438"/>
      <c r="D6" s="438"/>
      <c r="E6" s="438"/>
      <c r="F6" s="438"/>
      <c r="G6" s="438"/>
      <c r="H6" s="438"/>
      <c r="I6" s="438"/>
      <c r="J6" s="438"/>
    </row>
    <row r="7" spans="1:11" ht="21" customHeight="1" x14ac:dyDescent="0.25">
      <c r="A7" s="439"/>
      <c r="B7" s="440"/>
      <c r="C7" s="440"/>
      <c r="D7" s="440"/>
      <c r="E7" s="440"/>
      <c r="F7" s="440"/>
      <c r="G7" s="440"/>
      <c r="H7" s="440"/>
      <c r="I7" s="440"/>
    </row>
    <row r="8" spans="1:11" ht="30.75" customHeight="1" x14ac:dyDescent="0.2">
      <c r="B8" s="99" t="s">
        <v>11</v>
      </c>
      <c r="C8" s="100"/>
      <c r="I8" s="443" t="s">
        <v>12</v>
      </c>
      <c r="J8" s="444"/>
      <c r="K8" s="445"/>
    </row>
    <row r="9" spans="1:11" ht="18.75" customHeight="1" x14ac:dyDescent="0.2">
      <c r="A9" s="500" t="s">
        <v>119</v>
      </c>
      <c r="B9" s="501"/>
      <c r="C9" s="501"/>
      <c r="D9" s="501"/>
      <c r="E9" s="501"/>
      <c r="F9" s="501"/>
      <c r="G9" s="501"/>
      <c r="H9" s="501"/>
      <c r="I9" s="455"/>
      <c r="J9" s="455"/>
      <c r="K9" s="455"/>
    </row>
    <row r="10" spans="1:11" x14ac:dyDescent="0.2">
      <c r="A10" s="64" t="s">
        <v>13</v>
      </c>
      <c r="B10" s="64" t="s">
        <v>14</v>
      </c>
      <c r="C10" s="64"/>
      <c r="D10" s="64" t="s">
        <v>15</v>
      </c>
      <c r="E10" s="64"/>
      <c r="F10" s="64" t="s">
        <v>16</v>
      </c>
      <c r="G10" s="64" t="s">
        <v>17</v>
      </c>
      <c r="H10" s="64" t="s">
        <v>18</v>
      </c>
      <c r="I10" s="64" t="s">
        <v>19</v>
      </c>
      <c r="J10" s="64"/>
      <c r="K10" s="67"/>
    </row>
    <row r="11" spans="1:11" ht="33" customHeight="1" x14ac:dyDescent="0.2">
      <c r="A11" s="65" t="s">
        <v>20</v>
      </c>
      <c r="B11" s="66" t="s">
        <v>21</v>
      </c>
      <c r="C11" s="67"/>
      <c r="D11" s="68">
        <v>1</v>
      </c>
      <c r="E11" s="69">
        <v>100</v>
      </c>
      <c r="F11" s="67" t="s">
        <v>22</v>
      </c>
      <c r="G11" s="69">
        <v>100</v>
      </c>
      <c r="H11" s="69">
        <v>100</v>
      </c>
      <c r="I11" s="70" t="s">
        <v>23</v>
      </c>
      <c r="J11" s="454" t="s">
        <v>24</v>
      </c>
      <c r="K11" s="455"/>
    </row>
    <row r="12" spans="1:11" ht="95.25" customHeight="1" x14ac:dyDescent="0.2">
      <c r="A12" s="67"/>
      <c r="B12" s="65" t="s">
        <v>25</v>
      </c>
      <c r="C12" s="71"/>
      <c r="D12" s="76">
        <v>0</v>
      </c>
      <c r="E12" s="73">
        <v>100</v>
      </c>
      <c r="F12" s="71" t="s">
        <v>26</v>
      </c>
      <c r="G12" s="73">
        <f>D12*E12</f>
        <v>0</v>
      </c>
      <c r="H12" s="73">
        <f>H11+G12</f>
        <v>100</v>
      </c>
      <c r="I12" s="74" t="s">
        <v>61</v>
      </c>
      <c r="J12" s="455"/>
      <c r="K12" s="455"/>
    </row>
    <row r="13" spans="1:11" ht="71.25" customHeight="1" x14ac:dyDescent="0.2">
      <c r="A13" s="65" t="s">
        <v>28</v>
      </c>
      <c r="B13" s="65" t="s">
        <v>29</v>
      </c>
      <c r="C13" s="71" t="s">
        <v>62</v>
      </c>
      <c r="D13" s="76">
        <v>0.1087</v>
      </c>
      <c r="E13" s="73">
        <f>H12</f>
        <v>100</v>
      </c>
      <c r="F13" s="71" t="s">
        <v>26</v>
      </c>
      <c r="G13" s="73">
        <f>D13*E13</f>
        <v>10.870000000000001</v>
      </c>
      <c r="H13" s="73"/>
      <c r="I13" s="461" t="s">
        <v>120</v>
      </c>
      <c r="J13" s="455"/>
      <c r="K13" s="455"/>
    </row>
    <row r="14" spans="1:11" ht="83.25" customHeight="1" x14ac:dyDescent="0.2">
      <c r="A14" s="67"/>
      <c r="B14" s="67"/>
      <c r="C14" s="56" t="s">
        <v>121</v>
      </c>
      <c r="D14" s="76">
        <v>2.6100000000000002E-2</v>
      </c>
      <c r="E14" s="73">
        <f>H12</f>
        <v>100</v>
      </c>
      <c r="F14" s="71" t="s">
        <v>26</v>
      </c>
      <c r="G14" s="73">
        <f>D14*E14</f>
        <v>2.6100000000000003</v>
      </c>
      <c r="H14" s="73"/>
      <c r="I14" s="461"/>
      <c r="J14" s="455"/>
      <c r="K14" s="455"/>
    </row>
    <row r="15" spans="1:11" ht="408.75" customHeight="1" x14ac:dyDescent="0.2">
      <c r="A15" s="67"/>
      <c r="B15" s="67"/>
      <c r="C15" s="71" t="s">
        <v>30</v>
      </c>
      <c r="D15" s="109">
        <v>6.0000000000000001E-3</v>
      </c>
      <c r="E15" s="73">
        <f>H12</f>
        <v>100</v>
      </c>
      <c r="F15" s="71" t="s">
        <v>26</v>
      </c>
      <c r="G15" s="73">
        <f>D15*E15</f>
        <v>0.6</v>
      </c>
      <c r="H15" s="73"/>
      <c r="I15" s="461"/>
      <c r="J15" s="455"/>
      <c r="K15" s="455"/>
    </row>
    <row r="16" spans="1:11" ht="29.25" customHeight="1" x14ac:dyDescent="0.2">
      <c r="A16" s="67"/>
      <c r="B16" s="67"/>
      <c r="C16" s="64" t="s">
        <v>31</v>
      </c>
      <c r="D16" s="77">
        <f>SUM(D13:D15)</f>
        <v>0.14080000000000001</v>
      </c>
      <c r="E16" s="78">
        <f>H12</f>
        <v>100</v>
      </c>
      <c r="F16" s="64" t="s">
        <v>26</v>
      </c>
      <c r="G16" s="78">
        <f>SUM(G13:G15)</f>
        <v>14.08</v>
      </c>
      <c r="H16" s="78">
        <f>H12+G16</f>
        <v>114.08</v>
      </c>
      <c r="I16" s="69"/>
      <c r="J16" s="455"/>
      <c r="K16" s="455"/>
    </row>
    <row r="17" spans="1:12" ht="31.5" x14ac:dyDescent="0.2">
      <c r="A17" s="65" t="s">
        <v>32</v>
      </c>
      <c r="B17" s="65" t="s">
        <v>33</v>
      </c>
      <c r="C17" s="71"/>
      <c r="D17" s="72">
        <v>0.08</v>
      </c>
      <c r="E17" s="73">
        <f>H12+G13+G14</f>
        <v>113.48</v>
      </c>
      <c r="F17" s="71" t="s">
        <v>34</v>
      </c>
      <c r="G17" s="73">
        <f t="shared" ref="G17:G21" si="0">D17*E17</f>
        <v>9.0784000000000002</v>
      </c>
      <c r="H17" s="73">
        <f>H16+G17</f>
        <v>123.1584</v>
      </c>
      <c r="I17" s="74" t="s">
        <v>35</v>
      </c>
      <c r="J17" s="455"/>
      <c r="K17" s="455"/>
    </row>
    <row r="18" spans="1:12" ht="39.75" customHeight="1" x14ac:dyDescent="0.2">
      <c r="A18" s="65" t="s">
        <v>36</v>
      </c>
      <c r="B18" s="66" t="s">
        <v>63</v>
      </c>
      <c r="C18" s="102" t="s">
        <v>64</v>
      </c>
      <c r="D18" s="103">
        <v>0</v>
      </c>
      <c r="E18" s="73">
        <f>H17</f>
        <v>123.1584</v>
      </c>
      <c r="F18" s="71" t="s">
        <v>38</v>
      </c>
      <c r="G18" s="73">
        <f t="shared" si="0"/>
        <v>0</v>
      </c>
      <c r="H18" s="73"/>
      <c r="I18" s="74" t="s">
        <v>65</v>
      </c>
      <c r="J18" s="455"/>
      <c r="K18" s="455"/>
    </row>
    <row r="19" spans="1:12" ht="136.5" customHeight="1" x14ac:dyDescent="0.2">
      <c r="A19" s="67"/>
      <c r="B19" s="67"/>
      <c r="C19" s="56" t="s">
        <v>66</v>
      </c>
      <c r="D19" s="79">
        <v>5.8999999999999997E-2</v>
      </c>
      <c r="E19" s="80">
        <f>H17</f>
        <v>123.1584</v>
      </c>
      <c r="F19" s="56" t="s">
        <v>38</v>
      </c>
      <c r="G19" s="80">
        <f t="shared" si="0"/>
        <v>7.2663455999999993</v>
      </c>
      <c r="H19" s="80"/>
      <c r="I19" s="74" t="s">
        <v>67</v>
      </c>
      <c r="J19" s="455"/>
      <c r="K19" s="455"/>
    </row>
    <row r="20" spans="1:12" ht="28.5" customHeight="1" x14ac:dyDescent="0.2">
      <c r="A20" s="67"/>
      <c r="B20" s="67"/>
      <c r="C20" s="102" t="s">
        <v>68</v>
      </c>
      <c r="D20" s="110">
        <v>0</v>
      </c>
      <c r="E20" s="80">
        <f>H17</f>
        <v>123.1584</v>
      </c>
      <c r="F20" s="56" t="s">
        <v>38</v>
      </c>
      <c r="G20" s="80">
        <f t="shared" si="0"/>
        <v>0</v>
      </c>
      <c r="H20" s="80"/>
      <c r="I20" s="74" t="s">
        <v>122</v>
      </c>
      <c r="J20" s="455"/>
      <c r="K20" s="455"/>
    </row>
    <row r="21" spans="1:12" ht="28.5" customHeight="1" x14ac:dyDescent="0.2">
      <c r="A21" s="67"/>
      <c r="B21" s="67"/>
      <c r="C21" s="102" t="s">
        <v>69</v>
      </c>
      <c r="D21" s="110">
        <v>0</v>
      </c>
      <c r="E21" s="80">
        <f>H17</f>
        <v>123.1584</v>
      </c>
      <c r="F21" s="56" t="s">
        <v>38</v>
      </c>
      <c r="G21" s="80">
        <f t="shared" si="0"/>
        <v>0</v>
      </c>
      <c r="H21" s="80"/>
      <c r="I21" s="74" t="s">
        <v>122</v>
      </c>
      <c r="J21" s="455"/>
      <c r="K21" s="455"/>
    </row>
    <row r="22" spans="1:12" x14ac:dyDescent="0.2">
      <c r="A22" s="67"/>
      <c r="B22" s="67"/>
      <c r="C22" s="64" t="s">
        <v>31</v>
      </c>
      <c r="D22" s="77">
        <f>SUM(D18:D21)</f>
        <v>5.8999999999999997E-2</v>
      </c>
      <c r="E22" s="78">
        <f>H17</f>
        <v>123.1584</v>
      </c>
      <c r="F22" s="64" t="s">
        <v>38</v>
      </c>
      <c r="G22" s="78">
        <f>SUM(G18:G21)</f>
        <v>7.2663455999999993</v>
      </c>
      <c r="H22" s="78">
        <f>H17+G22</f>
        <v>130.42474559999999</v>
      </c>
      <c r="I22" s="69"/>
      <c r="J22" s="455"/>
      <c r="K22" s="455"/>
    </row>
    <row r="23" spans="1:12" ht="235.5" customHeight="1" x14ac:dyDescent="0.2">
      <c r="A23" s="67"/>
      <c r="B23" s="66" t="s">
        <v>40</v>
      </c>
      <c r="C23" s="56" t="s">
        <v>106</v>
      </c>
      <c r="D23" s="79">
        <v>1.09E-2</v>
      </c>
      <c r="E23" s="80">
        <f>H17</f>
        <v>123.1584</v>
      </c>
      <c r="F23" s="56" t="s">
        <v>38</v>
      </c>
      <c r="G23" s="80">
        <f t="shared" ref="G23:G29" si="1">D23*E23</f>
        <v>1.34242656</v>
      </c>
      <c r="H23" s="80"/>
      <c r="I23" s="74" t="s">
        <v>123</v>
      </c>
      <c r="J23" s="455"/>
      <c r="K23" s="455"/>
    </row>
    <row r="24" spans="1:12" ht="12.75" customHeight="1" x14ac:dyDescent="0.2">
      <c r="A24" s="67"/>
      <c r="B24" s="56"/>
      <c r="C24" s="56" t="s">
        <v>42</v>
      </c>
      <c r="D24" s="82">
        <v>6.9599999999999995E-2</v>
      </c>
      <c r="E24" s="80">
        <f>H17</f>
        <v>123.1584</v>
      </c>
      <c r="F24" s="56" t="s">
        <v>38</v>
      </c>
      <c r="G24" s="80">
        <f t="shared" si="1"/>
        <v>8.5718246399999991</v>
      </c>
      <c r="H24" s="80"/>
      <c r="I24" s="461" t="s">
        <v>43</v>
      </c>
      <c r="J24" s="455"/>
      <c r="K24" s="455"/>
    </row>
    <row r="25" spans="1:12" x14ac:dyDescent="0.2">
      <c r="A25" s="67"/>
      <c r="B25" s="56"/>
      <c r="C25" s="56" t="s">
        <v>44</v>
      </c>
      <c r="D25" s="82">
        <v>6.9500000000000006E-2</v>
      </c>
      <c r="E25" s="80">
        <f>H17</f>
        <v>123.1584</v>
      </c>
      <c r="F25" s="56" t="s">
        <v>38</v>
      </c>
      <c r="G25" s="80">
        <f t="shared" si="1"/>
        <v>8.5595088000000015</v>
      </c>
      <c r="H25" s="80"/>
      <c r="I25" s="461"/>
      <c r="J25" s="455"/>
      <c r="K25" s="455"/>
    </row>
    <row r="26" spans="1:12" ht="42.75" customHeight="1" x14ac:dyDescent="0.2">
      <c r="A26" s="67"/>
      <c r="B26" s="56"/>
      <c r="C26" s="56" t="s">
        <v>45</v>
      </c>
      <c r="D26" s="82">
        <v>3.5999999999999997E-2</v>
      </c>
      <c r="E26" s="80">
        <f>H17</f>
        <v>123.1584</v>
      </c>
      <c r="F26" s="56" t="s">
        <v>38</v>
      </c>
      <c r="G26" s="80">
        <f t="shared" si="1"/>
        <v>4.4337023999999996</v>
      </c>
      <c r="H26" s="80"/>
      <c r="I26" s="461"/>
      <c r="J26" s="455"/>
      <c r="K26" s="455"/>
    </row>
    <row r="27" spans="1:12" ht="155.25" customHeight="1" x14ac:dyDescent="0.2">
      <c r="A27" s="67"/>
      <c r="B27" s="56"/>
      <c r="C27" s="83" t="s">
        <v>46</v>
      </c>
      <c r="D27" s="76">
        <f>'2b NVT Detacheren fase A - Rg I'!D26</f>
        <v>1.125E-2</v>
      </c>
      <c r="E27" s="80">
        <f>H17</f>
        <v>123.1584</v>
      </c>
      <c r="F27" s="56" t="s">
        <v>38</v>
      </c>
      <c r="G27" s="80">
        <f t="shared" si="1"/>
        <v>1.385532</v>
      </c>
      <c r="H27" s="80"/>
      <c r="I27" s="461" t="s">
        <v>86</v>
      </c>
      <c r="J27" s="465" t="s">
        <v>109</v>
      </c>
      <c r="K27" s="465"/>
    </row>
    <row r="28" spans="1:12" ht="231" customHeight="1" x14ac:dyDescent="0.2">
      <c r="A28" s="67"/>
      <c r="B28" s="56"/>
      <c r="C28" s="56" t="s">
        <v>47</v>
      </c>
      <c r="D28" s="76">
        <f>'2b NVT Detacheren fase A - Rg I'!D27</f>
        <v>1.72E-2</v>
      </c>
      <c r="E28" s="80">
        <f>H17</f>
        <v>123.1584</v>
      </c>
      <c r="F28" s="56" t="s">
        <v>38</v>
      </c>
      <c r="G28" s="80">
        <f t="shared" si="1"/>
        <v>2.1183244800000001</v>
      </c>
      <c r="H28" s="80"/>
      <c r="I28" s="461"/>
      <c r="J28" s="465" t="s">
        <v>48</v>
      </c>
      <c r="K28" s="465"/>
    </row>
    <row r="29" spans="1:12" ht="144" customHeight="1" x14ac:dyDescent="0.2">
      <c r="A29" s="67"/>
      <c r="B29" s="56"/>
      <c r="C29" s="83" t="s">
        <v>89</v>
      </c>
      <c r="D29" s="79">
        <v>8.2000000000000007E-3</v>
      </c>
      <c r="E29" s="80">
        <f>H17</f>
        <v>123.1584</v>
      </c>
      <c r="F29" s="56" t="s">
        <v>38</v>
      </c>
      <c r="G29" s="80">
        <f t="shared" si="1"/>
        <v>1.0098988800000002</v>
      </c>
      <c r="H29" s="80"/>
      <c r="I29" s="74" t="s">
        <v>124</v>
      </c>
      <c r="J29" s="456"/>
      <c r="K29" s="455"/>
    </row>
    <row r="30" spans="1:12" x14ac:dyDescent="0.2">
      <c r="A30" s="67"/>
      <c r="B30" s="67"/>
      <c r="C30" s="64" t="s">
        <v>31</v>
      </c>
      <c r="D30" s="77">
        <f>SUM(D23:D29)</f>
        <v>0.22265000000000001</v>
      </c>
      <c r="E30" s="78">
        <f>H17</f>
        <v>123.1584</v>
      </c>
      <c r="F30" s="64" t="s">
        <v>38</v>
      </c>
      <c r="G30" s="78">
        <f>SUM(G23:G29)</f>
        <v>27.421217760000005</v>
      </c>
      <c r="H30" s="78">
        <f>H22+G30</f>
        <v>157.84596335999998</v>
      </c>
      <c r="I30" s="69"/>
      <c r="J30" s="455"/>
      <c r="K30" s="455"/>
    </row>
    <row r="31" spans="1:12" ht="25.5" customHeight="1" x14ac:dyDescent="0.2">
      <c r="A31" s="460" t="s">
        <v>49</v>
      </c>
      <c r="B31" s="457" t="s">
        <v>50</v>
      </c>
      <c r="C31" s="85" t="s">
        <v>51</v>
      </c>
      <c r="D31" s="86">
        <v>4.02E-2</v>
      </c>
      <c r="E31" s="69">
        <f>H30</f>
        <v>157.84596335999998</v>
      </c>
      <c r="F31" s="67" t="s">
        <v>52</v>
      </c>
      <c r="G31" s="69">
        <f t="shared" ref="G31:G37" si="2">D31*E31</f>
        <v>6.3454077270719997</v>
      </c>
      <c r="H31" s="69"/>
      <c r="I31" s="461" t="s">
        <v>91</v>
      </c>
      <c r="J31" s="455"/>
      <c r="K31" s="455"/>
      <c r="L31" s="84"/>
    </row>
    <row r="32" spans="1:12" ht="12.75" customHeight="1" x14ac:dyDescent="0.2">
      <c r="A32" s="458"/>
      <c r="B32" s="511"/>
      <c r="C32" s="85" t="s">
        <v>53</v>
      </c>
      <c r="D32" s="86">
        <v>1.18E-2</v>
      </c>
      <c r="E32" s="69">
        <f>H30</f>
        <v>157.84596335999998</v>
      </c>
      <c r="F32" s="67" t="s">
        <v>52</v>
      </c>
      <c r="G32" s="69">
        <f t="shared" si="2"/>
        <v>1.8625823676479998</v>
      </c>
      <c r="H32" s="69"/>
      <c r="I32" s="461"/>
      <c r="J32" s="455"/>
      <c r="K32" s="455"/>
    </row>
    <row r="33" spans="1:11" ht="12.75" customHeight="1" x14ac:dyDescent="0.2">
      <c r="A33" s="458"/>
      <c r="B33" s="511"/>
      <c r="C33" s="85" t="s">
        <v>54</v>
      </c>
      <c r="D33" s="86">
        <v>3.0000000000000001E-3</v>
      </c>
      <c r="E33" s="69">
        <f>H30</f>
        <v>157.84596335999998</v>
      </c>
      <c r="F33" s="67" t="s">
        <v>52</v>
      </c>
      <c r="G33" s="69">
        <f t="shared" si="2"/>
        <v>0.47353789007999997</v>
      </c>
      <c r="H33" s="69"/>
      <c r="I33" s="461"/>
      <c r="J33" s="455"/>
      <c r="K33" s="455"/>
    </row>
    <row r="34" spans="1:11" x14ac:dyDescent="0.2">
      <c r="A34" s="458"/>
      <c r="B34" s="511"/>
      <c r="C34" s="85" t="s">
        <v>55</v>
      </c>
      <c r="D34" s="86">
        <v>0</v>
      </c>
      <c r="E34" s="69">
        <f>H30</f>
        <v>157.84596335999998</v>
      </c>
      <c r="F34" s="67" t="s">
        <v>52</v>
      </c>
      <c r="G34" s="69">
        <f t="shared" si="2"/>
        <v>0</v>
      </c>
      <c r="H34" s="69"/>
      <c r="I34" s="461"/>
      <c r="J34" s="455"/>
      <c r="K34" s="455"/>
    </row>
    <row r="35" spans="1:11" x14ac:dyDescent="0.2">
      <c r="A35" s="458"/>
      <c r="B35" s="511"/>
      <c r="C35" s="85" t="s">
        <v>56</v>
      </c>
      <c r="D35" s="86">
        <v>0</v>
      </c>
      <c r="E35" s="69">
        <f>H30</f>
        <v>157.84596335999998</v>
      </c>
      <c r="F35" s="67" t="s">
        <v>52</v>
      </c>
      <c r="G35" s="69">
        <f t="shared" si="2"/>
        <v>0</v>
      </c>
      <c r="H35" s="69"/>
      <c r="I35" s="461"/>
      <c r="J35" s="455"/>
      <c r="K35" s="455"/>
    </row>
    <row r="36" spans="1:11" x14ac:dyDescent="0.2">
      <c r="A36" s="458"/>
      <c r="B36" s="511"/>
      <c r="C36" s="85" t="s">
        <v>56</v>
      </c>
      <c r="D36" s="86">
        <v>0</v>
      </c>
      <c r="E36" s="69">
        <f>H30</f>
        <v>157.84596335999998</v>
      </c>
      <c r="F36" s="67" t="s">
        <v>52</v>
      </c>
      <c r="G36" s="69">
        <f t="shared" si="2"/>
        <v>0</v>
      </c>
      <c r="H36" s="69"/>
      <c r="I36" s="461"/>
      <c r="J36" s="455"/>
      <c r="K36" s="455"/>
    </row>
    <row r="37" spans="1:11" ht="44.25" customHeight="1" x14ac:dyDescent="0.2">
      <c r="A37" s="458"/>
      <c r="B37" s="511"/>
      <c r="C37" s="85" t="s">
        <v>56</v>
      </c>
      <c r="D37" s="86">
        <v>0</v>
      </c>
      <c r="E37" s="69">
        <f>H30</f>
        <v>157.84596335999998</v>
      </c>
      <c r="F37" s="67" t="s">
        <v>52</v>
      </c>
      <c r="G37" s="69">
        <f t="shared" si="2"/>
        <v>0</v>
      </c>
      <c r="H37" s="69"/>
      <c r="I37" s="461"/>
      <c r="J37" s="455"/>
      <c r="K37" s="455"/>
    </row>
    <row r="38" spans="1:11" x14ac:dyDescent="0.2">
      <c r="A38" s="459"/>
      <c r="B38" s="512"/>
      <c r="C38" s="64" t="s">
        <v>57</v>
      </c>
      <c r="D38" s="77">
        <f>SUM(D31:D37)</f>
        <v>5.5E-2</v>
      </c>
      <c r="E38" s="78">
        <f>H30</f>
        <v>157.84596335999998</v>
      </c>
      <c r="F38" s="64" t="s">
        <v>52</v>
      </c>
      <c r="G38" s="78">
        <f>SUM(G31:G37)</f>
        <v>8.6815279847999989</v>
      </c>
      <c r="H38" s="78">
        <f>H30+G38</f>
        <v>166.52749134479998</v>
      </c>
      <c r="I38" s="69"/>
      <c r="J38" s="69"/>
      <c r="K38" s="64"/>
    </row>
    <row r="39" spans="1:11" ht="117" customHeight="1" x14ac:dyDescent="0.2">
      <c r="A39" s="87"/>
      <c r="B39" s="87"/>
      <c r="C39" s="87"/>
      <c r="D39" s="87"/>
      <c r="E39" s="87"/>
      <c r="F39" s="87" t="s">
        <v>125</v>
      </c>
      <c r="G39" s="87"/>
      <c r="H39" s="88">
        <f>H38</f>
        <v>166.52749134479998</v>
      </c>
      <c r="I39" s="88" t="s">
        <v>58</v>
      </c>
      <c r="J39" s="89">
        <f>ROUND(H39/100,4)</f>
        <v>1.6653</v>
      </c>
      <c r="K39" s="67"/>
    </row>
    <row r="40" spans="1:11" ht="72.75" customHeight="1" x14ac:dyDescent="0.2">
      <c r="A40" s="87"/>
      <c r="B40" s="83" t="s">
        <v>126</v>
      </c>
      <c r="C40" s="87"/>
      <c r="D40" s="87"/>
      <c r="E40" s="87"/>
      <c r="F40" s="87" t="s">
        <v>127</v>
      </c>
      <c r="G40" s="87"/>
      <c r="H40" s="90">
        <v>1.0809</v>
      </c>
      <c r="I40" s="88" t="s">
        <v>59</v>
      </c>
      <c r="J40" s="107"/>
      <c r="K40" s="67"/>
    </row>
    <row r="41" spans="1:11" ht="114.75" customHeight="1" x14ac:dyDescent="0.2">
      <c r="A41" s="87"/>
      <c r="B41" s="87"/>
      <c r="C41" s="87"/>
      <c r="D41" s="87"/>
      <c r="E41" s="87"/>
      <c r="F41" s="87" t="s">
        <v>128</v>
      </c>
      <c r="G41" s="87"/>
      <c r="H41" s="88">
        <f>J39*H40</f>
        <v>1.80002277</v>
      </c>
      <c r="I41" s="88" t="s">
        <v>96</v>
      </c>
      <c r="J41" s="91">
        <f>ROUND(J39*H40,4)</f>
        <v>1.8</v>
      </c>
      <c r="K41" s="67"/>
    </row>
    <row r="42" spans="1:11" x14ac:dyDescent="0.2">
      <c r="B42" s="92" t="s">
        <v>11</v>
      </c>
      <c r="C42" s="93"/>
    </row>
    <row r="43" spans="1:11" x14ac:dyDescent="0.2">
      <c r="B43" s="94"/>
      <c r="C43" s="95"/>
    </row>
    <row r="44" spans="1:11" ht="12.75" customHeight="1" x14ac:dyDescent="0.2"/>
    <row r="45" spans="1:11" ht="93" customHeight="1" x14ac:dyDescent="0.2">
      <c r="A45" s="446" t="s">
        <v>129</v>
      </c>
      <c r="B45" s="502"/>
      <c r="C45" s="502"/>
      <c r="D45" s="502"/>
      <c r="E45" s="503"/>
      <c r="F45" s="503"/>
      <c r="G45" s="503"/>
      <c r="H45" s="503"/>
      <c r="I45" s="504"/>
    </row>
    <row r="46" spans="1:11" ht="33" customHeight="1" x14ac:dyDescent="0.2">
      <c r="A46" s="505"/>
      <c r="B46" s="506"/>
      <c r="C46" s="506"/>
      <c r="D46" s="506"/>
      <c r="E46" s="506"/>
      <c r="F46" s="506"/>
      <c r="G46" s="506"/>
      <c r="H46" s="506"/>
      <c r="I46" s="507"/>
    </row>
    <row r="47" spans="1:11" ht="11.25" customHeight="1" x14ac:dyDescent="0.2">
      <c r="A47" s="505"/>
      <c r="B47" s="506"/>
      <c r="C47" s="506"/>
      <c r="D47" s="506"/>
      <c r="E47" s="506"/>
      <c r="F47" s="506"/>
      <c r="G47" s="506"/>
      <c r="H47" s="506"/>
      <c r="I47" s="507"/>
    </row>
    <row r="48" spans="1:11" ht="23.25" hidden="1" customHeight="1" x14ac:dyDescent="0.2">
      <c r="A48" s="508"/>
      <c r="B48" s="509"/>
      <c r="C48" s="509"/>
      <c r="D48" s="509"/>
      <c r="E48" s="509"/>
      <c r="F48" s="509"/>
      <c r="G48" s="509"/>
      <c r="H48" s="509"/>
      <c r="I48" s="510"/>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57" customWidth="1"/>
    <col min="2" max="2" width="32.140625" style="57" customWidth="1"/>
    <col min="3" max="3" width="37.5703125" style="57" customWidth="1"/>
    <col min="4" max="4" width="13.28515625" style="57" customWidth="1"/>
    <col min="5" max="5" width="14.28515625" style="57" customWidth="1"/>
    <col min="6" max="6" width="30.42578125" style="57" customWidth="1"/>
    <col min="7" max="7" width="10.5703125" style="57" customWidth="1"/>
    <col min="8" max="8" width="12.140625" style="57" customWidth="1"/>
    <col min="9" max="9" width="56.42578125" style="57" customWidth="1"/>
    <col min="10" max="10" width="23.140625" style="57" customWidth="1"/>
    <col min="11" max="11" width="20" style="57" customWidth="1"/>
    <col min="12" max="12" width="9.140625" style="57"/>
    <col min="13" max="13" width="27" style="57" customWidth="1"/>
    <col min="14" max="14" width="6.85546875" style="57" customWidth="1"/>
    <col min="15" max="15" width="11.7109375" style="57" customWidth="1"/>
    <col min="16" max="16" width="22.140625" style="57" customWidth="1"/>
    <col min="17" max="17" width="21.28515625" style="57" customWidth="1"/>
    <col min="18" max="16384" width="9.140625" style="57"/>
  </cols>
  <sheetData>
    <row r="1" spans="1:11" ht="27" customHeight="1" x14ac:dyDescent="0.2">
      <c r="A1" s="436" t="s">
        <v>130</v>
      </c>
      <c r="B1" s="437"/>
      <c r="C1" s="437"/>
      <c r="D1" s="437"/>
      <c r="E1" s="437"/>
      <c r="F1" s="437"/>
      <c r="G1" s="438"/>
      <c r="H1" s="438"/>
      <c r="I1" s="438"/>
    </row>
    <row r="2" spans="1:11" s="60" customFormat="1" ht="19.5" customHeight="1" x14ac:dyDescent="0.2">
      <c r="A2" s="58" t="s">
        <v>72</v>
      </c>
      <c r="B2" s="58" t="s">
        <v>9</v>
      </c>
      <c r="C2" s="59"/>
      <c r="D2" s="59"/>
      <c r="E2" s="59"/>
      <c r="F2" s="59"/>
    </row>
    <row r="3" spans="1:11" s="60" customFormat="1" ht="23.25" customHeight="1" x14ac:dyDescent="0.2">
      <c r="A3" s="111"/>
      <c r="B3" s="441" t="s">
        <v>0</v>
      </c>
      <c r="C3" s="442"/>
      <c r="D3" s="442"/>
      <c r="E3" s="442"/>
      <c r="F3" s="442"/>
      <c r="G3" s="442"/>
      <c r="H3" s="442"/>
    </row>
    <row r="4" spans="1:11" ht="21" customHeight="1" x14ac:dyDescent="0.2">
      <c r="A4" s="61" t="s">
        <v>73</v>
      </c>
      <c r="B4" s="60"/>
      <c r="C4" s="60"/>
      <c r="D4" s="436" t="s">
        <v>74</v>
      </c>
      <c r="E4" s="438"/>
      <c r="F4" s="438"/>
    </row>
    <row r="5" spans="1:11" ht="12" customHeight="1" x14ac:dyDescent="0.2">
      <c r="A5" s="61"/>
      <c r="B5" s="60"/>
      <c r="C5" s="60"/>
      <c r="D5" s="108"/>
      <c r="E5" s="108"/>
    </row>
    <row r="6" spans="1:11" ht="73.5" customHeight="1" x14ac:dyDescent="0.2">
      <c r="A6" s="441" t="s">
        <v>75</v>
      </c>
      <c r="B6" s="438"/>
      <c r="C6" s="438"/>
      <c r="D6" s="438"/>
      <c r="E6" s="438"/>
      <c r="F6" s="438"/>
      <c r="G6" s="438"/>
      <c r="H6" s="438"/>
      <c r="I6" s="438"/>
      <c r="J6" s="438"/>
    </row>
    <row r="7" spans="1:11" ht="21.75" customHeight="1" x14ac:dyDescent="0.2">
      <c r="A7" s="439"/>
      <c r="B7" s="439"/>
      <c r="C7" s="439"/>
      <c r="D7" s="439"/>
      <c r="E7" s="439"/>
      <c r="F7" s="439"/>
      <c r="G7" s="439"/>
      <c r="H7" s="439"/>
      <c r="I7" s="439"/>
    </row>
    <row r="8" spans="1:11" ht="24.75" customHeight="1" x14ac:dyDescent="0.2">
      <c r="B8" s="62" t="s">
        <v>11</v>
      </c>
      <c r="C8" s="63"/>
      <c r="I8" s="443" t="s">
        <v>12</v>
      </c>
      <c r="J8" s="444"/>
      <c r="K8" s="445"/>
    </row>
    <row r="9" spans="1:11" ht="32.25" customHeight="1" x14ac:dyDescent="0.2">
      <c r="A9" s="433" t="s">
        <v>131</v>
      </c>
      <c r="B9" s="513"/>
      <c r="C9" s="513"/>
      <c r="D9" s="513"/>
      <c r="E9" s="513"/>
      <c r="F9" s="513"/>
      <c r="G9" s="513"/>
      <c r="H9" s="513"/>
      <c r="I9" s="513"/>
      <c r="J9" s="513"/>
      <c r="K9" s="514"/>
    </row>
    <row r="10" spans="1:11" ht="42" customHeight="1" x14ac:dyDescent="0.2">
      <c r="A10" s="64" t="s">
        <v>13</v>
      </c>
      <c r="B10" s="64" t="s">
        <v>14</v>
      </c>
      <c r="C10" s="64"/>
      <c r="D10" s="64" t="s">
        <v>15</v>
      </c>
      <c r="E10" s="64"/>
      <c r="F10" s="64" t="s">
        <v>16</v>
      </c>
      <c r="G10" s="64" t="s">
        <v>17</v>
      </c>
      <c r="H10" s="64" t="s">
        <v>18</v>
      </c>
      <c r="I10" s="64" t="s">
        <v>19</v>
      </c>
      <c r="J10" s="454"/>
      <c r="K10" s="455"/>
    </row>
    <row r="11" spans="1:11" ht="25.5" x14ac:dyDescent="0.2">
      <c r="A11" s="65" t="s">
        <v>20</v>
      </c>
      <c r="B11" s="66" t="s">
        <v>21</v>
      </c>
      <c r="C11" s="67"/>
      <c r="D11" s="68">
        <v>1</v>
      </c>
      <c r="E11" s="69">
        <v>100</v>
      </c>
      <c r="F11" s="67" t="s">
        <v>22</v>
      </c>
      <c r="G11" s="69">
        <v>100</v>
      </c>
      <c r="H11" s="69">
        <v>100</v>
      </c>
      <c r="I11" s="70" t="s">
        <v>23</v>
      </c>
      <c r="J11" s="454" t="s">
        <v>24</v>
      </c>
      <c r="K11" s="455"/>
    </row>
    <row r="12" spans="1:11" ht="42" x14ac:dyDescent="0.2">
      <c r="A12" s="67"/>
      <c r="B12" s="65" t="s">
        <v>25</v>
      </c>
      <c r="C12" s="71"/>
      <c r="D12" s="72">
        <v>1.1599999999999999E-2</v>
      </c>
      <c r="E12" s="73">
        <v>100</v>
      </c>
      <c r="F12" s="71" t="s">
        <v>26</v>
      </c>
      <c r="G12" s="73">
        <f>D12*E12</f>
        <v>1.1599999999999999</v>
      </c>
      <c r="H12" s="73">
        <f>H11+G12</f>
        <v>101.16</v>
      </c>
      <c r="I12" s="74" t="s">
        <v>27</v>
      </c>
      <c r="J12" s="455"/>
      <c r="K12" s="455"/>
    </row>
    <row r="13" spans="1:11" ht="85.5" customHeight="1" x14ac:dyDescent="0.2">
      <c r="A13" s="65" t="s">
        <v>28</v>
      </c>
      <c r="B13" s="65" t="s">
        <v>29</v>
      </c>
      <c r="C13" s="56" t="s">
        <v>77</v>
      </c>
      <c r="D13" s="75">
        <v>0</v>
      </c>
      <c r="E13" s="73">
        <f>H12</f>
        <v>101.16</v>
      </c>
      <c r="F13" s="71" t="s">
        <v>26</v>
      </c>
      <c r="G13" s="73">
        <f>D13*E13</f>
        <v>0</v>
      </c>
      <c r="H13" s="73"/>
      <c r="I13" s="461" t="s">
        <v>78</v>
      </c>
      <c r="J13" s="455"/>
      <c r="K13" s="455"/>
    </row>
    <row r="14" spans="1:11" ht="204.75" customHeight="1" x14ac:dyDescent="0.2">
      <c r="A14" s="67"/>
      <c r="B14" s="67"/>
      <c r="C14" s="56" t="s">
        <v>132</v>
      </c>
      <c r="D14" s="76">
        <v>0</v>
      </c>
      <c r="E14" s="73">
        <f>H12</f>
        <v>101.16</v>
      </c>
      <c r="F14" s="71" t="s">
        <v>26</v>
      </c>
      <c r="G14" s="73">
        <f>D14*E14</f>
        <v>0</v>
      </c>
      <c r="H14" s="73"/>
      <c r="I14" s="461"/>
      <c r="J14" s="455"/>
      <c r="K14" s="455"/>
    </row>
    <row r="15" spans="1:11" ht="230.25" customHeight="1" x14ac:dyDescent="0.2">
      <c r="A15" s="67"/>
      <c r="B15" s="67"/>
      <c r="C15" s="71" t="s">
        <v>30</v>
      </c>
      <c r="D15" s="72">
        <v>6.0000000000000001E-3</v>
      </c>
      <c r="E15" s="73">
        <f>H12</f>
        <v>101.16</v>
      </c>
      <c r="F15" s="71" t="s">
        <v>26</v>
      </c>
      <c r="G15" s="73">
        <f>D15*E15</f>
        <v>0.60695999999999994</v>
      </c>
      <c r="H15" s="73"/>
      <c r="I15" s="461"/>
      <c r="J15" s="455"/>
      <c r="K15" s="455"/>
    </row>
    <row r="16" spans="1:11" ht="24.75" customHeight="1" x14ac:dyDescent="0.2">
      <c r="A16" s="67"/>
      <c r="B16" s="67"/>
      <c r="C16" s="64" t="s">
        <v>31</v>
      </c>
      <c r="D16" s="77">
        <f>SUM(D13:D15)</f>
        <v>6.0000000000000001E-3</v>
      </c>
      <c r="E16" s="78">
        <f>H12</f>
        <v>101.16</v>
      </c>
      <c r="F16" s="64" t="s">
        <v>26</v>
      </c>
      <c r="G16" s="78">
        <f>SUM(G13:G15)</f>
        <v>0.60695999999999994</v>
      </c>
      <c r="H16" s="78">
        <f>H12+G16</f>
        <v>101.76696</v>
      </c>
      <c r="I16" s="69"/>
      <c r="J16" s="455"/>
      <c r="K16" s="455"/>
    </row>
    <row r="17" spans="1:13" ht="37.5" customHeight="1" x14ac:dyDescent="0.2">
      <c r="A17" s="64" t="s">
        <v>32</v>
      </c>
      <c r="B17" s="65" t="s">
        <v>33</v>
      </c>
      <c r="C17" s="71"/>
      <c r="D17" s="72">
        <v>0.08</v>
      </c>
      <c r="E17" s="73">
        <f>H12+G13+G14</f>
        <v>101.16</v>
      </c>
      <c r="F17" s="71" t="s">
        <v>34</v>
      </c>
      <c r="G17" s="73">
        <f t="shared" ref="G17:G21" si="0">D17*E17</f>
        <v>8.0928000000000004</v>
      </c>
      <c r="H17" s="73">
        <f>H16+G17</f>
        <v>109.85975999999999</v>
      </c>
      <c r="I17" s="74" t="s">
        <v>35</v>
      </c>
      <c r="J17" s="455"/>
      <c r="K17" s="455"/>
    </row>
    <row r="18" spans="1:13" ht="193.5" customHeight="1" x14ac:dyDescent="0.2">
      <c r="A18" s="65" t="s">
        <v>36</v>
      </c>
      <c r="B18" s="66" t="s">
        <v>37</v>
      </c>
      <c r="C18" s="56" t="s">
        <v>133</v>
      </c>
      <c r="D18" s="75">
        <v>0</v>
      </c>
      <c r="E18" s="73">
        <f>H17</f>
        <v>109.85975999999999</v>
      </c>
      <c r="F18" s="71" t="s">
        <v>38</v>
      </c>
      <c r="G18" s="73">
        <f t="shared" si="0"/>
        <v>0</v>
      </c>
      <c r="H18" s="69"/>
      <c r="I18" s="74" t="s">
        <v>134</v>
      </c>
      <c r="J18" s="455"/>
      <c r="K18" s="455"/>
    </row>
    <row r="19" spans="1:13" ht="241.5" x14ac:dyDescent="0.2">
      <c r="A19" s="67"/>
      <c r="B19" s="67"/>
      <c r="C19" s="56" t="s">
        <v>66</v>
      </c>
      <c r="D19" s="79">
        <v>0</v>
      </c>
      <c r="E19" s="80">
        <f>H17</f>
        <v>109.85975999999999</v>
      </c>
      <c r="F19" s="56" t="s">
        <v>38</v>
      </c>
      <c r="G19" s="80">
        <f t="shared" si="0"/>
        <v>0</v>
      </c>
      <c r="H19" s="80"/>
      <c r="I19" s="74" t="s">
        <v>81</v>
      </c>
      <c r="J19" s="455"/>
      <c r="K19" s="455"/>
    </row>
    <row r="20" spans="1:13" ht="63" x14ac:dyDescent="0.2">
      <c r="A20" s="67"/>
      <c r="B20" s="67"/>
      <c r="C20" s="56" t="s">
        <v>82</v>
      </c>
      <c r="D20" s="82">
        <v>1E-3</v>
      </c>
      <c r="E20" s="80">
        <f>H17</f>
        <v>109.85975999999999</v>
      </c>
      <c r="F20" s="56" t="s">
        <v>38</v>
      </c>
      <c r="G20" s="80">
        <f t="shared" si="0"/>
        <v>0.10985976</v>
      </c>
      <c r="H20" s="80"/>
      <c r="I20" s="74" t="s">
        <v>83</v>
      </c>
      <c r="J20" s="455"/>
      <c r="K20" s="455"/>
    </row>
    <row r="21" spans="1:13" ht="52.5" x14ac:dyDescent="0.2">
      <c r="A21" s="67"/>
      <c r="B21" s="67"/>
      <c r="C21" s="56" t="s">
        <v>69</v>
      </c>
      <c r="D21" s="82">
        <v>1.0200000000000001E-2</v>
      </c>
      <c r="E21" s="80">
        <f>H17</f>
        <v>109.85975999999999</v>
      </c>
      <c r="F21" s="56" t="s">
        <v>38</v>
      </c>
      <c r="G21" s="80">
        <f t="shared" si="0"/>
        <v>1.1205695520000001</v>
      </c>
      <c r="H21" s="80"/>
      <c r="I21" s="74" t="s">
        <v>39</v>
      </c>
      <c r="J21" s="455"/>
      <c r="K21" s="455"/>
    </row>
    <row r="22" spans="1:13" ht="15" customHeight="1" x14ac:dyDescent="0.2">
      <c r="A22" s="67"/>
      <c r="B22" s="67"/>
      <c r="C22" s="64" t="s">
        <v>31</v>
      </c>
      <c r="D22" s="77">
        <f>SUM(D18:D21)</f>
        <v>1.1200000000000002E-2</v>
      </c>
      <c r="E22" s="78">
        <f>H17</f>
        <v>109.85975999999999</v>
      </c>
      <c r="F22" s="64" t="s">
        <v>38</v>
      </c>
      <c r="G22" s="78">
        <f>SUM(G18:G21)</f>
        <v>1.2304293120000001</v>
      </c>
      <c r="H22" s="78">
        <f>H17+G22</f>
        <v>111.09018931199999</v>
      </c>
      <c r="I22" s="69"/>
      <c r="J22" s="455"/>
      <c r="K22" s="455"/>
    </row>
    <row r="23" spans="1:13" ht="231" x14ac:dyDescent="0.2">
      <c r="A23" s="67"/>
      <c r="B23" s="66" t="s">
        <v>40</v>
      </c>
      <c r="C23" s="56" t="s">
        <v>135</v>
      </c>
      <c r="D23" s="82">
        <v>2.69E-2</v>
      </c>
      <c r="E23" s="80">
        <f>H17</f>
        <v>109.85975999999999</v>
      </c>
      <c r="F23" s="56" t="s">
        <v>38</v>
      </c>
      <c r="G23" s="80">
        <f t="shared" ref="G23:G29" si="1">D23*E23</f>
        <v>2.955227544</v>
      </c>
      <c r="H23" s="80"/>
      <c r="I23" s="74" t="s">
        <v>85</v>
      </c>
      <c r="J23" s="455"/>
      <c r="K23" s="455"/>
    </row>
    <row r="24" spans="1:13" x14ac:dyDescent="0.2">
      <c r="A24" s="67"/>
      <c r="B24" s="56"/>
      <c r="C24" s="56" t="s">
        <v>42</v>
      </c>
      <c r="D24" s="82">
        <v>6.9599999999999995E-2</v>
      </c>
      <c r="E24" s="80">
        <f>H17</f>
        <v>109.85975999999999</v>
      </c>
      <c r="F24" s="56" t="s">
        <v>38</v>
      </c>
      <c r="G24" s="80">
        <f t="shared" si="1"/>
        <v>7.6462392959999992</v>
      </c>
      <c r="H24" s="80"/>
      <c r="I24" s="461" t="s">
        <v>43</v>
      </c>
      <c r="J24" s="455"/>
      <c r="K24" s="455"/>
    </row>
    <row r="25" spans="1:13" x14ac:dyDescent="0.2">
      <c r="A25" s="67"/>
      <c r="B25" s="56"/>
      <c r="C25" s="56" t="s">
        <v>44</v>
      </c>
      <c r="D25" s="82">
        <v>6.9500000000000006E-2</v>
      </c>
      <c r="E25" s="80">
        <f>H17</f>
        <v>109.85975999999999</v>
      </c>
      <c r="F25" s="56" t="s">
        <v>38</v>
      </c>
      <c r="G25" s="80">
        <f t="shared" si="1"/>
        <v>7.6352533200000003</v>
      </c>
      <c r="H25" s="80"/>
      <c r="I25" s="461"/>
      <c r="J25" s="455"/>
      <c r="K25" s="455"/>
    </row>
    <row r="26" spans="1:13" ht="39.75" customHeight="1" x14ac:dyDescent="0.2">
      <c r="A26" s="67"/>
      <c r="B26" s="56"/>
      <c r="C26" s="56" t="s">
        <v>45</v>
      </c>
      <c r="D26" s="82">
        <v>3.5999999999999997E-2</v>
      </c>
      <c r="E26" s="80">
        <f>H17</f>
        <v>109.85975999999999</v>
      </c>
      <c r="F26" s="56" t="s">
        <v>38</v>
      </c>
      <c r="G26" s="80">
        <f t="shared" si="1"/>
        <v>3.9549513599999995</v>
      </c>
      <c r="H26" s="80"/>
      <c r="I26" s="461"/>
      <c r="J26" s="455"/>
      <c r="K26" s="455"/>
    </row>
    <row r="27" spans="1:13" ht="184.5" customHeight="1" x14ac:dyDescent="0.2">
      <c r="A27" s="67"/>
      <c r="B27" s="56"/>
      <c r="C27" s="83" t="s">
        <v>46</v>
      </c>
      <c r="D27" s="79">
        <v>0</v>
      </c>
      <c r="E27" s="80">
        <f>H17</f>
        <v>109.85975999999999</v>
      </c>
      <c r="F27" s="56" t="s">
        <v>38</v>
      </c>
      <c r="G27" s="80">
        <f t="shared" si="1"/>
        <v>0</v>
      </c>
      <c r="H27" s="80"/>
      <c r="I27" s="461" t="s">
        <v>86</v>
      </c>
      <c r="J27" s="463" t="s">
        <v>87</v>
      </c>
      <c r="K27" s="464"/>
    </row>
    <row r="28" spans="1:13" ht="197.25" customHeight="1" x14ac:dyDescent="0.2">
      <c r="A28" s="67"/>
      <c r="B28" s="56"/>
      <c r="C28" s="56" t="s">
        <v>47</v>
      </c>
      <c r="D28" s="79">
        <v>0</v>
      </c>
      <c r="E28" s="80">
        <f>H17</f>
        <v>109.85975999999999</v>
      </c>
      <c r="F28" s="56" t="s">
        <v>38</v>
      </c>
      <c r="G28" s="80">
        <f t="shared" si="1"/>
        <v>0</v>
      </c>
      <c r="H28" s="80"/>
      <c r="I28" s="461"/>
      <c r="J28" s="465" t="s">
        <v>88</v>
      </c>
      <c r="K28" s="465"/>
    </row>
    <row r="29" spans="1:13" ht="142.5" customHeight="1" x14ac:dyDescent="0.2">
      <c r="A29" s="67"/>
      <c r="B29" s="56"/>
      <c r="C29" s="83" t="s">
        <v>89</v>
      </c>
      <c r="D29" s="79">
        <v>0</v>
      </c>
      <c r="E29" s="80">
        <f>H17</f>
        <v>109.85975999999999</v>
      </c>
      <c r="F29" s="56" t="s">
        <v>38</v>
      </c>
      <c r="G29" s="80">
        <f t="shared" si="1"/>
        <v>0</v>
      </c>
      <c r="H29" s="80"/>
      <c r="I29" s="74" t="s">
        <v>124</v>
      </c>
      <c r="J29" s="456"/>
      <c r="K29" s="455"/>
      <c r="L29" s="84"/>
      <c r="M29" s="84"/>
    </row>
    <row r="30" spans="1:13" x14ac:dyDescent="0.2">
      <c r="A30" s="67"/>
      <c r="B30" s="67"/>
      <c r="C30" s="64" t="s">
        <v>31</v>
      </c>
      <c r="D30" s="77">
        <f>SUM(D23:D29)</f>
        <v>0.20200000000000001</v>
      </c>
      <c r="E30" s="78">
        <f>H17</f>
        <v>109.85975999999999</v>
      </c>
      <c r="F30" s="64" t="s">
        <v>38</v>
      </c>
      <c r="G30" s="78">
        <f>SUM(G23:G29)</f>
        <v>22.191671519999996</v>
      </c>
      <c r="H30" s="78">
        <f>H22+G30</f>
        <v>133.28186083199998</v>
      </c>
      <c r="I30" s="69"/>
      <c r="J30" s="455"/>
      <c r="K30" s="455"/>
      <c r="L30" s="84"/>
    </row>
    <row r="31" spans="1:13" ht="18" customHeight="1" x14ac:dyDescent="0.2">
      <c r="A31" s="460" t="s">
        <v>49</v>
      </c>
      <c r="B31" s="457" t="s">
        <v>50</v>
      </c>
      <c r="C31" s="85"/>
      <c r="D31" s="86">
        <v>0</v>
      </c>
      <c r="E31" s="69">
        <f>H30</f>
        <v>133.28186083199998</v>
      </c>
      <c r="F31" s="67" t="s">
        <v>52</v>
      </c>
      <c r="G31" s="69">
        <f t="shared" ref="G31:G37" si="2">D31*E31</f>
        <v>0</v>
      </c>
      <c r="H31" s="69"/>
      <c r="I31" s="461" t="s">
        <v>91</v>
      </c>
      <c r="J31" s="455"/>
      <c r="K31" s="455"/>
    </row>
    <row r="32" spans="1:13" x14ac:dyDescent="0.2">
      <c r="A32" s="458"/>
      <c r="B32" s="458"/>
      <c r="C32" s="85" t="s">
        <v>56</v>
      </c>
      <c r="D32" s="86">
        <v>0</v>
      </c>
      <c r="E32" s="69">
        <f>H30</f>
        <v>133.28186083199998</v>
      </c>
      <c r="F32" s="67" t="s">
        <v>52</v>
      </c>
      <c r="G32" s="69">
        <f t="shared" si="2"/>
        <v>0</v>
      </c>
      <c r="H32" s="69"/>
      <c r="I32" s="461"/>
      <c r="J32" s="455"/>
      <c r="K32" s="455"/>
    </row>
    <row r="33" spans="1:11" x14ac:dyDescent="0.2">
      <c r="A33" s="458"/>
      <c r="B33" s="458"/>
      <c r="C33" s="85" t="s">
        <v>56</v>
      </c>
      <c r="D33" s="86">
        <v>0</v>
      </c>
      <c r="E33" s="69">
        <f>H30</f>
        <v>133.28186083199998</v>
      </c>
      <c r="F33" s="67" t="s">
        <v>52</v>
      </c>
      <c r="G33" s="69">
        <f t="shared" si="2"/>
        <v>0</v>
      </c>
      <c r="H33" s="69"/>
      <c r="I33" s="461"/>
      <c r="J33" s="455"/>
      <c r="K33" s="455"/>
    </row>
    <row r="34" spans="1:11" x14ac:dyDescent="0.2">
      <c r="A34" s="458"/>
      <c r="B34" s="458"/>
      <c r="C34" s="85" t="s">
        <v>56</v>
      </c>
      <c r="D34" s="86">
        <v>0</v>
      </c>
      <c r="E34" s="69">
        <f>H30</f>
        <v>133.28186083199998</v>
      </c>
      <c r="F34" s="67" t="s">
        <v>52</v>
      </c>
      <c r="G34" s="69">
        <f t="shared" si="2"/>
        <v>0</v>
      </c>
      <c r="H34" s="69"/>
      <c r="I34" s="461"/>
      <c r="J34" s="455"/>
      <c r="K34" s="455"/>
    </row>
    <row r="35" spans="1:11" x14ac:dyDescent="0.2">
      <c r="A35" s="458"/>
      <c r="B35" s="458"/>
      <c r="C35" s="85" t="s">
        <v>56</v>
      </c>
      <c r="D35" s="86">
        <v>0</v>
      </c>
      <c r="E35" s="69">
        <f>H30</f>
        <v>133.28186083199998</v>
      </c>
      <c r="F35" s="67" t="s">
        <v>52</v>
      </c>
      <c r="G35" s="69">
        <f t="shared" si="2"/>
        <v>0</v>
      </c>
      <c r="H35" s="69"/>
      <c r="I35" s="461"/>
      <c r="J35" s="455"/>
      <c r="K35" s="455"/>
    </row>
    <row r="36" spans="1:11" x14ac:dyDescent="0.2">
      <c r="A36" s="458"/>
      <c r="B36" s="458"/>
      <c r="C36" s="85" t="s">
        <v>56</v>
      </c>
      <c r="D36" s="86">
        <v>0</v>
      </c>
      <c r="E36" s="69">
        <f>H30</f>
        <v>133.28186083199998</v>
      </c>
      <c r="F36" s="67" t="s">
        <v>52</v>
      </c>
      <c r="G36" s="69">
        <f t="shared" si="2"/>
        <v>0</v>
      </c>
      <c r="H36" s="69"/>
      <c r="I36" s="461"/>
      <c r="J36" s="455"/>
      <c r="K36" s="455"/>
    </row>
    <row r="37" spans="1:11" ht="57.75" customHeight="1" x14ac:dyDescent="0.2">
      <c r="A37" s="458"/>
      <c r="B37" s="458"/>
      <c r="C37" s="85" t="s">
        <v>56</v>
      </c>
      <c r="D37" s="86">
        <v>0</v>
      </c>
      <c r="E37" s="69">
        <f>H30</f>
        <v>133.28186083199998</v>
      </c>
      <c r="F37" s="67" t="s">
        <v>52</v>
      </c>
      <c r="G37" s="69">
        <f t="shared" si="2"/>
        <v>0</v>
      </c>
      <c r="H37" s="69"/>
      <c r="I37" s="461"/>
      <c r="J37" s="455"/>
      <c r="K37" s="455"/>
    </row>
    <row r="38" spans="1:11" ht="23.25" customHeight="1" x14ac:dyDescent="0.2">
      <c r="A38" s="459"/>
      <c r="B38" s="459"/>
      <c r="C38" s="64" t="s">
        <v>57</v>
      </c>
      <c r="D38" s="77">
        <f>SUM(D31:D37)</f>
        <v>0</v>
      </c>
      <c r="E38" s="78">
        <f>H30</f>
        <v>133.28186083199998</v>
      </c>
      <c r="F38" s="64" t="s">
        <v>52</v>
      </c>
      <c r="G38" s="78">
        <f>SUM(G31:G37)</f>
        <v>0</v>
      </c>
      <c r="H38" s="78">
        <f>H30+G38</f>
        <v>133.28186083199998</v>
      </c>
      <c r="I38" s="69"/>
      <c r="J38" s="69"/>
      <c r="K38" s="64"/>
    </row>
    <row r="39" spans="1:11" ht="114.75" x14ac:dyDescent="0.2">
      <c r="A39" s="87"/>
      <c r="B39" s="87"/>
      <c r="C39" s="87"/>
      <c r="D39" s="87"/>
      <c r="E39" s="87"/>
      <c r="F39" s="87" t="s">
        <v>136</v>
      </c>
      <c r="G39" s="87"/>
      <c r="H39" s="88">
        <f>H38</f>
        <v>133.28186083199998</v>
      </c>
      <c r="I39" s="88" t="s">
        <v>58</v>
      </c>
      <c r="J39" s="89">
        <f>ROUND(H39/100,4)</f>
        <v>1.3328</v>
      </c>
      <c r="K39" s="67"/>
    </row>
    <row r="40" spans="1:11" ht="76.5" x14ac:dyDescent="0.2">
      <c r="A40" s="87"/>
      <c r="B40" s="83" t="s">
        <v>93</v>
      </c>
      <c r="C40" s="87"/>
      <c r="D40" s="87"/>
      <c r="E40" s="87"/>
      <c r="F40" s="87" t="s">
        <v>137</v>
      </c>
      <c r="G40" s="87"/>
      <c r="H40" s="90">
        <v>1</v>
      </c>
      <c r="I40" s="88" t="s">
        <v>59</v>
      </c>
      <c r="J40" s="67"/>
      <c r="K40" s="67"/>
    </row>
    <row r="41" spans="1:11" ht="127.5" x14ac:dyDescent="0.2">
      <c r="A41" s="87"/>
      <c r="B41" s="87"/>
      <c r="C41" s="87"/>
      <c r="D41" s="87"/>
      <c r="E41" s="87"/>
      <c r="F41" s="87" t="s">
        <v>138</v>
      </c>
      <c r="G41" s="87"/>
      <c r="H41" s="88">
        <f>J39*H40</f>
        <v>1.3328</v>
      </c>
      <c r="I41" s="88" t="s">
        <v>96</v>
      </c>
      <c r="J41" s="91">
        <f>ROUND(J39*H40,4)</f>
        <v>1.3328</v>
      </c>
      <c r="K41" s="67"/>
    </row>
    <row r="42" spans="1:11" x14ac:dyDescent="0.2">
      <c r="B42" s="92" t="s">
        <v>11</v>
      </c>
      <c r="C42" s="93"/>
    </row>
    <row r="43" spans="1:11" ht="12.75" customHeight="1" x14ac:dyDescent="0.2">
      <c r="B43" s="94"/>
      <c r="C43" s="95"/>
    </row>
    <row r="45" spans="1:11" ht="25.5" customHeight="1" x14ac:dyDescent="0.2">
      <c r="A45" s="446" t="s">
        <v>139</v>
      </c>
      <c r="B45" s="447"/>
      <c r="C45" s="447"/>
      <c r="D45" s="447"/>
      <c r="E45" s="447"/>
      <c r="F45" s="447"/>
      <c r="G45" s="447"/>
      <c r="H45" s="447"/>
      <c r="I45" s="447"/>
      <c r="J45" s="448"/>
    </row>
    <row r="46" spans="1:11" ht="91.5" customHeight="1" x14ac:dyDescent="0.2">
      <c r="A46" s="449"/>
      <c r="B46" s="437"/>
      <c r="C46" s="437"/>
      <c r="D46" s="437"/>
      <c r="E46" s="437"/>
      <c r="F46" s="437"/>
      <c r="G46" s="437"/>
      <c r="H46" s="437"/>
      <c r="I46" s="437"/>
      <c r="J46" s="450"/>
    </row>
    <row r="47" spans="1:11" x14ac:dyDescent="0.2">
      <c r="A47" s="449"/>
      <c r="B47" s="437"/>
      <c r="C47" s="437"/>
      <c r="D47" s="437"/>
      <c r="E47" s="437"/>
      <c r="F47" s="437"/>
      <c r="G47" s="437"/>
      <c r="H47" s="437"/>
      <c r="I47" s="437"/>
      <c r="J47" s="450"/>
    </row>
    <row r="48" spans="1:11" ht="7.5" customHeight="1" x14ac:dyDescent="0.2">
      <c r="A48" s="451"/>
      <c r="B48" s="452"/>
      <c r="C48" s="452"/>
      <c r="D48" s="452"/>
      <c r="E48" s="452"/>
      <c r="F48" s="452"/>
      <c r="G48" s="452"/>
      <c r="H48" s="452"/>
      <c r="I48" s="452"/>
      <c r="J48" s="453"/>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71A39-8744-411A-AD08-1446EB6D5695}">
  <ds:schemaRefs>
    <ds:schemaRef ds:uri="http://schemas.microsoft.com/office/2006/metadata/properties"/>
    <ds:schemaRef ds:uri="586d9e74-91af-427c-b321-d04c74341d15"/>
    <ds:schemaRef ds:uri="http://purl.org/dc/terms/"/>
    <ds:schemaRef ds:uri="dc5dceac-8e71-43a2-a130-7571f4da97b3"/>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0 Leeswijzer</vt:lpstr>
      <vt:lpstr>1 cao Rijk bruto Uurloon</vt:lpstr>
      <vt:lpstr>2a Fase A</vt:lpstr>
      <vt:lpstr>2b Fase B en C</vt:lpstr>
      <vt:lpstr>3. Gewogen gemiddelde ORF </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Molenaar, Jolanda</cp:lastModifiedBy>
  <cp:revision/>
  <cp:lastPrinted>2023-10-17T14:06:26Z</cp:lastPrinted>
  <dcterms:created xsi:type="dcterms:W3CDTF">2012-02-07T16:40:05Z</dcterms:created>
  <dcterms:modified xsi:type="dcterms:W3CDTF">2023-12-12T18:20:20Z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