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P2PS2CProcesenApplicatie/Gedeelde documenten/General/6_Aanbesteding/03. Aanbestedingsdocumenten/Publicatie/bijlagen/"/>
    </mc:Choice>
  </mc:AlternateContent>
  <xr:revisionPtr revIDLastSave="128" documentId="8_{0E6DD87C-C345-44C6-8F66-1D71411B59CD}" xr6:coauthVersionLast="47" xr6:coauthVersionMax="47" xr10:uidLastSave="{E374F380-0DC6-4598-9F89-6DB4EFD122A9}"/>
  <bookViews>
    <workbookView xWindow="2268" yWindow="1152" windowWidth="35508" windowHeight="13512" xr2:uid="{B14A573D-4BAE-4B11-826F-76F4072EC509}"/>
  </bookViews>
  <sheets>
    <sheet name="Beoordelaar 1" sheetId="3" r:id="rId1"/>
    <sheet name="Beoordelaar 2" sheetId="4" r:id="rId2"/>
    <sheet name="enz" sheetId="6" r:id="rId3"/>
    <sheet name="TOTAAL NA" sheetId="2" r:id="rId4"/>
    <sheet name="Prijs" sheetId="7" r:id="rId5"/>
  </sheets>
  <externalReferences>
    <externalReference r:id="rId6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2" l="1"/>
  <c r="E70" i="6"/>
  <c r="H70" i="6" s="1"/>
  <c r="B70" i="6"/>
  <c r="E69" i="6"/>
  <c r="H69" i="6" s="1"/>
  <c r="B69" i="6"/>
  <c r="E68" i="6"/>
  <c r="H68" i="6" s="1"/>
  <c r="B68" i="6"/>
  <c r="E67" i="6"/>
  <c r="H67" i="6" s="1"/>
  <c r="L67" i="6" s="1"/>
  <c r="B67" i="6"/>
  <c r="E62" i="6"/>
  <c r="E60" i="6"/>
  <c r="E63" i="6" s="1"/>
  <c r="B60" i="6"/>
  <c r="K57" i="6"/>
  <c r="E52" i="6"/>
  <c r="F52" i="6" s="1"/>
  <c r="B52" i="6"/>
  <c r="E51" i="6"/>
  <c r="F51" i="6" s="1"/>
  <c r="B51" i="6"/>
  <c r="E50" i="6"/>
  <c r="F50" i="6" s="1"/>
  <c r="B50" i="6"/>
  <c r="E49" i="6"/>
  <c r="F49" i="6" s="1"/>
  <c r="B49" i="6"/>
  <c r="E42" i="6"/>
  <c r="E46" i="6" s="1"/>
  <c r="B42" i="6"/>
  <c r="K39" i="6"/>
  <c r="G34" i="6"/>
  <c r="L34" i="6" s="1"/>
  <c r="E34" i="6"/>
  <c r="F34" i="6" s="1"/>
  <c r="B34" i="6"/>
  <c r="J33" i="6"/>
  <c r="E33" i="6"/>
  <c r="F33" i="6" s="1"/>
  <c r="B33" i="6"/>
  <c r="I32" i="6"/>
  <c r="L32" i="6" s="1"/>
  <c r="G32" i="6"/>
  <c r="E32" i="6"/>
  <c r="F32" i="6" s="1"/>
  <c r="B32" i="6"/>
  <c r="G31" i="6"/>
  <c r="E31" i="6"/>
  <c r="F31" i="6" s="1"/>
  <c r="B31" i="6"/>
  <c r="E28" i="6"/>
  <c r="E24" i="6"/>
  <c r="E29" i="6" s="1"/>
  <c r="B24" i="6"/>
  <c r="K21" i="6"/>
  <c r="J16" i="6"/>
  <c r="L16" i="6" s="1"/>
  <c r="I16" i="6"/>
  <c r="F16" i="6"/>
  <c r="E16" i="6"/>
  <c r="G52" i="6" s="1"/>
  <c r="L52" i="6" s="1"/>
  <c r="E15" i="6"/>
  <c r="G51" i="6" s="1"/>
  <c r="L51" i="6" s="1"/>
  <c r="P54" i="6" s="1"/>
  <c r="I14" i="6"/>
  <c r="H14" i="6"/>
  <c r="F14" i="6"/>
  <c r="L14" i="6" s="1"/>
  <c r="E14" i="6"/>
  <c r="G50" i="6" s="1"/>
  <c r="E13" i="6"/>
  <c r="G49" i="6" s="1"/>
  <c r="E6" i="6"/>
  <c r="I60" i="6" s="1"/>
  <c r="K3" i="6"/>
  <c r="G1" i="6"/>
  <c r="A1" i="6"/>
  <c r="E70" i="4"/>
  <c r="F70" i="4" s="1"/>
  <c r="B70" i="4"/>
  <c r="E69" i="4"/>
  <c r="F69" i="4" s="1"/>
  <c r="B69" i="4"/>
  <c r="E68" i="4"/>
  <c r="F68" i="4" s="1"/>
  <c r="B68" i="4"/>
  <c r="E67" i="4"/>
  <c r="F67" i="4" s="1"/>
  <c r="B67" i="4"/>
  <c r="E60" i="4"/>
  <c r="E64" i="4" s="1"/>
  <c r="B60" i="4"/>
  <c r="K57" i="4"/>
  <c r="E52" i="4"/>
  <c r="H52" i="4" s="1"/>
  <c r="B52" i="4"/>
  <c r="J51" i="4"/>
  <c r="F51" i="4"/>
  <c r="E51" i="4"/>
  <c r="H51" i="4" s="1"/>
  <c r="B51" i="4"/>
  <c r="E50" i="4"/>
  <c r="H50" i="4" s="1"/>
  <c r="B50" i="4"/>
  <c r="E49" i="4"/>
  <c r="H49" i="4" s="1"/>
  <c r="L49" i="4" s="1"/>
  <c r="B49" i="4"/>
  <c r="E42" i="4"/>
  <c r="E48" i="4" s="1"/>
  <c r="B42" i="4"/>
  <c r="K39" i="4"/>
  <c r="E34" i="4"/>
  <c r="F34" i="4" s="1"/>
  <c r="B34" i="4"/>
  <c r="E33" i="4"/>
  <c r="F33" i="4" s="1"/>
  <c r="B33" i="4"/>
  <c r="E32" i="4"/>
  <c r="F32" i="4" s="1"/>
  <c r="B32" i="4"/>
  <c r="E31" i="4"/>
  <c r="F31" i="4" s="1"/>
  <c r="B31" i="4"/>
  <c r="E24" i="4"/>
  <c r="E27" i="4" s="1"/>
  <c r="B24" i="4"/>
  <c r="K21" i="4"/>
  <c r="E16" i="4"/>
  <c r="G52" i="4" s="1"/>
  <c r="L52" i="4" s="1"/>
  <c r="E15" i="4"/>
  <c r="G69" i="4" s="1"/>
  <c r="L69" i="4" s="1"/>
  <c r="E14" i="4"/>
  <c r="G68" i="4" s="1"/>
  <c r="E13" i="4"/>
  <c r="G49" i="4" s="1"/>
  <c r="E6" i="4"/>
  <c r="I60" i="4" s="1"/>
  <c r="K3" i="4"/>
  <c r="G1" i="4"/>
  <c r="A1" i="4"/>
  <c r="I46" i="2"/>
  <c r="H46" i="2"/>
  <c r="G46" i="2"/>
  <c r="I45" i="2"/>
  <c r="H45" i="2"/>
  <c r="G45" i="2"/>
  <c r="I44" i="2"/>
  <c r="H44" i="2"/>
  <c r="G44" i="2"/>
  <c r="I43" i="2"/>
  <c r="H43" i="2"/>
  <c r="G43" i="2"/>
  <c r="I42" i="2"/>
  <c r="H42" i="2"/>
  <c r="G42" i="2"/>
  <c r="I34" i="2"/>
  <c r="H34" i="2"/>
  <c r="G34" i="2"/>
  <c r="I33" i="2"/>
  <c r="H33" i="2"/>
  <c r="G33" i="2"/>
  <c r="I32" i="2"/>
  <c r="H32" i="2"/>
  <c r="G32" i="2"/>
  <c r="I31" i="2"/>
  <c r="H31" i="2"/>
  <c r="G31" i="2"/>
  <c r="I30" i="2"/>
  <c r="H30" i="2"/>
  <c r="G30" i="2"/>
  <c r="I22" i="2"/>
  <c r="H22" i="2"/>
  <c r="G22" i="2"/>
  <c r="I21" i="2"/>
  <c r="H21" i="2"/>
  <c r="G21" i="2"/>
  <c r="I20" i="2"/>
  <c r="H20" i="2"/>
  <c r="G20" i="2"/>
  <c r="I19" i="2"/>
  <c r="H19" i="2"/>
  <c r="G19" i="2"/>
  <c r="I18" i="2"/>
  <c r="H18" i="2"/>
  <c r="G18" i="2"/>
  <c r="E70" i="3"/>
  <c r="H70" i="3" s="1"/>
  <c r="E69" i="3"/>
  <c r="H69" i="3" s="1"/>
  <c r="E68" i="3"/>
  <c r="H68" i="3" s="1"/>
  <c r="E67" i="3"/>
  <c r="H67" i="3" s="1"/>
  <c r="L67" i="3" s="1"/>
  <c r="E60" i="3"/>
  <c r="E63" i="3" s="1"/>
  <c r="K57" i="3"/>
  <c r="E52" i="3"/>
  <c r="F52" i="3" s="1"/>
  <c r="E51" i="3"/>
  <c r="F51" i="3" s="1"/>
  <c r="E50" i="3"/>
  <c r="F50" i="3" s="1"/>
  <c r="E49" i="3"/>
  <c r="F49" i="3" s="1"/>
  <c r="E43" i="3"/>
  <c r="E42" i="3"/>
  <c r="E46" i="3" s="1"/>
  <c r="K39" i="3"/>
  <c r="E34" i="3"/>
  <c r="F34" i="3" s="1"/>
  <c r="E33" i="3"/>
  <c r="F33" i="3" s="1"/>
  <c r="E32" i="3"/>
  <c r="F32" i="3" s="1"/>
  <c r="E31" i="3"/>
  <c r="F31" i="3" s="1"/>
  <c r="B31" i="3"/>
  <c r="E24" i="3"/>
  <c r="E29" i="3" s="1"/>
  <c r="K21" i="3"/>
  <c r="E16" i="3"/>
  <c r="G52" i="3" s="1"/>
  <c r="L52" i="3" s="1"/>
  <c r="B52" i="3"/>
  <c r="E15" i="3"/>
  <c r="G51" i="3" s="1"/>
  <c r="L51" i="3" s="1"/>
  <c r="B51" i="3"/>
  <c r="E14" i="3"/>
  <c r="G50" i="3" s="1"/>
  <c r="B50" i="3"/>
  <c r="E13" i="3"/>
  <c r="G49" i="3" s="1"/>
  <c r="B49" i="3"/>
  <c r="E6" i="3"/>
  <c r="I60" i="3" s="1"/>
  <c r="B24" i="3"/>
  <c r="K3" i="3"/>
  <c r="G1" i="3"/>
  <c r="A1" i="3"/>
  <c r="F49" i="4" l="1"/>
  <c r="H32" i="6"/>
  <c r="G14" i="4"/>
  <c r="J49" i="4"/>
  <c r="E45" i="6"/>
  <c r="I52" i="6"/>
  <c r="I70" i="6"/>
  <c r="I34" i="4"/>
  <c r="F52" i="4"/>
  <c r="H31" i="6"/>
  <c r="L31" i="6" s="1"/>
  <c r="J32" i="6"/>
  <c r="H34" i="6"/>
  <c r="J52" i="6"/>
  <c r="G15" i="4"/>
  <c r="L15" i="4" s="1"/>
  <c r="I52" i="4"/>
  <c r="E7" i="6"/>
  <c r="J31" i="6"/>
  <c r="I34" i="6"/>
  <c r="I68" i="6"/>
  <c r="L68" i="6" s="1"/>
  <c r="I15" i="4"/>
  <c r="G16" i="6"/>
  <c r="H24" i="6"/>
  <c r="J34" i="6"/>
  <c r="H49" i="6"/>
  <c r="L49" i="6" s="1"/>
  <c r="H51" i="6"/>
  <c r="E43" i="6"/>
  <c r="H50" i="6"/>
  <c r="H52" i="6"/>
  <c r="H16" i="3"/>
  <c r="E26" i="4"/>
  <c r="J50" i="6"/>
  <c r="H16" i="6"/>
  <c r="E26" i="6"/>
  <c r="H33" i="6"/>
  <c r="J49" i="6"/>
  <c r="J51" i="6"/>
  <c r="G33" i="6"/>
  <c r="L33" i="6" s="1"/>
  <c r="P36" i="6" s="1"/>
  <c r="I42" i="6"/>
  <c r="J60" i="6"/>
  <c r="I67" i="6"/>
  <c r="I69" i="6"/>
  <c r="F15" i="6"/>
  <c r="I24" i="6"/>
  <c r="E27" i="6"/>
  <c r="J42" i="6"/>
  <c r="E44" i="6"/>
  <c r="I49" i="6"/>
  <c r="I50" i="6"/>
  <c r="L50" i="6" s="1"/>
  <c r="I51" i="6"/>
  <c r="E61" i="6"/>
  <c r="J67" i="6"/>
  <c r="J68" i="6"/>
  <c r="J69" i="6"/>
  <c r="J70" i="6"/>
  <c r="F6" i="6"/>
  <c r="E12" i="6"/>
  <c r="F13" i="6"/>
  <c r="G14" i="6"/>
  <c r="H15" i="6"/>
  <c r="E25" i="6"/>
  <c r="G15" i="6"/>
  <c r="L15" i="6" s="1"/>
  <c r="P18" i="6" s="1"/>
  <c r="J24" i="6"/>
  <c r="G6" i="6"/>
  <c r="E11" i="6"/>
  <c r="G13" i="6"/>
  <c r="I15" i="6"/>
  <c r="F60" i="6"/>
  <c r="E66" i="6"/>
  <c r="I31" i="6"/>
  <c r="I33" i="6"/>
  <c r="H6" i="6"/>
  <c r="E10" i="6"/>
  <c r="H13" i="6"/>
  <c r="L13" i="6" s="1"/>
  <c r="J15" i="6"/>
  <c r="F42" i="6"/>
  <c r="E48" i="6"/>
  <c r="G60" i="6"/>
  <c r="E65" i="6"/>
  <c r="F67" i="6"/>
  <c r="F68" i="6"/>
  <c r="F69" i="6"/>
  <c r="F70" i="6"/>
  <c r="I6" i="6"/>
  <c r="E9" i="6"/>
  <c r="I13" i="6"/>
  <c r="J14" i="6"/>
  <c r="F24" i="6"/>
  <c r="E30" i="6"/>
  <c r="G42" i="6"/>
  <c r="E47" i="6"/>
  <c r="H60" i="6"/>
  <c r="E64" i="6"/>
  <c r="G67" i="6"/>
  <c r="G68" i="6"/>
  <c r="G69" i="6"/>
  <c r="L69" i="6" s="1"/>
  <c r="G70" i="6"/>
  <c r="L70" i="6" s="1"/>
  <c r="J6" i="6"/>
  <c r="E8" i="6"/>
  <c r="J13" i="6"/>
  <c r="G24" i="6"/>
  <c r="H42" i="6"/>
  <c r="I14" i="4"/>
  <c r="E30" i="4"/>
  <c r="I33" i="4"/>
  <c r="E43" i="4"/>
  <c r="J14" i="4"/>
  <c r="H16" i="4"/>
  <c r="E46" i="4"/>
  <c r="F50" i="4"/>
  <c r="H60" i="4"/>
  <c r="H68" i="4"/>
  <c r="P54" i="3"/>
  <c r="E47" i="3"/>
  <c r="E47" i="4"/>
  <c r="G50" i="4"/>
  <c r="E63" i="4"/>
  <c r="F15" i="4"/>
  <c r="J50" i="4"/>
  <c r="H69" i="4"/>
  <c r="F14" i="4"/>
  <c r="L14" i="4" s="1"/>
  <c r="H15" i="4"/>
  <c r="E25" i="4"/>
  <c r="I32" i="4"/>
  <c r="L32" i="4" s="1"/>
  <c r="J52" i="4"/>
  <c r="H67" i="4"/>
  <c r="L67" i="4" s="1"/>
  <c r="J16" i="3"/>
  <c r="G34" i="3"/>
  <c r="L34" i="3" s="1"/>
  <c r="H14" i="4"/>
  <c r="J15" i="4"/>
  <c r="E29" i="4"/>
  <c r="H42" i="4"/>
  <c r="G51" i="4"/>
  <c r="L51" i="4" s="1"/>
  <c r="P54" i="4" s="1"/>
  <c r="H70" i="4"/>
  <c r="E7" i="4"/>
  <c r="F16" i="4"/>
  <c r="H24" i="4"/>
  <c r="E28" i="4"/>
  <c r="G31" i="4"/>
  <c r="G32" i="4"/>
  <c r="G33" i="4"/>
  <c r="L33" i="4" s="1"/>
  <c r="G34" i="4"/>
  <c r="L34" i="4" s="1"/>
  <c r="I42" i="4"/>
  <c r="E45" i="4"/>
  <c r="J60" i="4"/>
  <c r="E62" i="4"/>
  <c r="I67" i="4"/>
  <c r="I68" i="4"/>
  <c r="L68" i="4" s="1"/>
  <c r="I69" i="4"/>
  <c r="I70" i="4"/>
  <c r="J6" i="4"/>
  <c r="G16" i="4"/>
  <c r="I24" i="4"/>
  <c r="H31" i="4"/>
  <c r="L31" i="4" s="1"/>
  <c r="H32" i="4"/>
  <c r="H33" i="4"/>
  <c r="H34" i="4"/>
  <c r="J42" i="4"/>
  <c r="E44" i="4"/>
  <c r="I49" i="4"/>
  <c r="I50" i="4"/>
  <c r="L50" i="4" s="1"/>
  <c r="I51" i="4"/>
  <c r="E61" i="4"/>
  <c r="J67" i="4"/>
  <c r="J68" i="4"/>
  <c r="J69" i="4"/>
  <c r="J70" i="4"/>
  <c r="F6" i="4"/>
  <c r="E12" i="4"/>
  <c r="F13" i="4"/>
  <c r="I16" i="4"/>
  <c r="J31" i="4"/>
  <c r="J32" i="4"/>
  <c r="J33" i="4"/>
  <c r="J34" i="4"/>
  <c r="I31" i="4"/>
  <c r="G6" i="4"/>
  <c r="E11" i="4"/>
  <c r="G13" i="4"/>
  <c r="J16" i="4"/>
  <c r="L16" i="4" s="1"/>
  <c r="F60" i="4"/>
  <c r="E66" i="4"/>
  <c r="H6" i="4"/>
  <c r="E10" i="4"/>
  <c r="H13" i="4"/>
  <c r="L13" i="4" s="1"/>
  <c r="F42" i="4"/>
  <c r="G60" i="4"/>
  <c r="E65" i="4"/>
  <c r="J24" i="4"/>
  <c r="I6" i="4"/>
  <c r="E9" i="4"/>
  <c r="I13" i="4"/>
  <c r="F24" i="4"/>
  <c r="G42" i="4"/>
  <c r="G67" i="4"/>
  <c r="G70" i="4"/>
  <c r="L70" i="4" s="1"/>
  <c r="P72" i="4" s="1"/>
  <c r="E8" i="4"/>
  <c r="J13" i="4"/>
  <c r="G24" i="4"/>
  <c r="E11" i="3"/>
  <c r="F70" i="3"/>
  <c r="F16" i="3"/>
  <c r="G31" i="3"/>
  <c r="I70" i="3"/>
  <c r="I16" i="3"/>
  <c r="I32" i="3"/>
  <c r="L32" i="3" s="1"/>
  <c r="E45" i="3"/>
  <c r="J32" i="3"/>
  <c r="G67" i="3"/>
  <c r="F67" i="3"/>
  <c r="I34" i="3"/>
  <c r="E9" i="3"/>
  <c r="J13" i="3"/>
  <c r="G32" i="3"/>
  <c r="B34" i="3"/>
  <c r="I42" i="3"/>
  <c r="E65" i="3"/>
  <c r="I68" i="3"/>
  <c r="L68" i="3" s="1"/>
  <c r="G70" i="3"/>
  <c r="L70" i="3" s="1"/>
  <c r="F15" i="3"/>
  <c r="B33" i="3"/>
  <c r="G6" i="3"/>
  <c r="G45" i="3" s="1"/>
  <c r="H15" i="3"/>
  <c r="I69" i="3"/>
  <c r="I6" i="3"/>
  <c r="I46" i="3" s="1"/>
  <c r="L46" i="3" s="1"/>
  <c r="F13" i="3"/>
  <c r="H14" i="3"/>
  <c r="I15" i="3"/>
  <c r="J31" i="3"/>
  <c r="G33" i="3"/>
  <c r="L33" i="3" s="1"/>
  <c r="E48" i="3"/>
  <c r="J60" i="3"/>
  <c r="F69" i="3"/>
  <c r="G69" i="3"/>
  <c r="L69" i="3" s="1"/>
  <c r="F14" i="3"/>
  <c r="L14" i="3" s="1"/>
  <c r="I31" i="3"/>
  <c r="J34" i="3"/>
  <c r="G60" i="3"/>
  <c r="I67" i="3"/>
  <c r="H13" i="3"/>
  <c r="L13" i="3" s="1"/>
  <c r="I14" i="3"/>
  <c r="J15" i="3"/>
  <c r="B32" i="3"/>
  <c r="I33" i="3"/>
  <c r="F68" i="3"/>
  <c r="I13" i="3"/>
  <c r="J14" i="3"/>
  <c r="J33" i="3"/>
  <c r="F42" i="3"/>
  <c r="F43" i="3" s="1"/>
  <c r="E62" i="3"/>
  <c r="G68" i="3"/>
  <c r="H24" i="3"/>
  <c r="E28" i="3"/>
  <c r="G30" i="3"/>
  <c r="G47" i="3"/>
  <c r="H49" i="3"/>
  <c r="L49" i="3" s="1"/>
  <c r="H50" i="3"/>
  <c r="H51" i="3"/>
  <c r="H52" i="3"/>
  <c r="H6" i="3"/>
  <c r="E10" i="3"/>
  <c r="G12" i="3"/>
  <c r="G13" i="3"/>
  <c r="G14" i="3"/>
  <c r="G15" i="3"/>
  <c r="L15" i="3" s="1"/>
  <c r="G16" i="3"/>
  <c r="I24" i="3"/>
  <c r="E27" i="3"/>
  <c r="H31" i="3"/>
  <c r="L31" i="3" s="1"/>
  <c r="H32" i="3"/>
  <c r="H33" i="3"/>
  <c r="H34" i="3"/>
  <c r="J42" i="3"/>
  <c r="E44" i="3"/>
  <c r="I49" i="3"/>
  <c r="I50" i="3"/>
  <c r="L50" i="3" s="1"/>
  <c r="I51" i="3"/>
  <c r="I52" i="3"/>
  <c r="E61" i="3"/>
  <c r="J67" i="3"/>
  <c r="J68" i="3"/>
  <c r="J69" i="3"/>
  <c r="J70" i="3"/>
  <c r="J24" i="3"/>
  <c r="E26" i="3"/>
  <c r="G28" i="3"/>
  <c r="J49" i="3"/>
  <c r="J50" i="3"/>
  <c r="J51" i="3"/>
  <c r="J52" i="3"/>
  <c r="B60" i="3"/>
  <c r="G62" i="3"/>
  <c r="L62" i="3" s="1"/>
  <c r="J6" i="3"/>
  <c r="B42" i="3"/>
  <c r="G44" i="3"/>
  <c r="G61" i="3"/>
  <c r="B67" i="3"/>
  <c r="B68" i="3"/>
  <c r="B69" i="3"/>
  <c r="B70" i="3"/>
  <c r="E8" i="3"/>
  <c r="E25" i="3"/>
  <c r="E7" i="3"/>
  <c r="I11" i="3"/>
  <c r="F60" i="3"/>
  <c r="E66" i="3"/>
  <c r="I43" i="3"/>
  <c r="H60" i="3"/>
  <c r="E64" i="3"/>
  <c r="F24" i="3"/>
  <c r="E30" i="3"/>
  <c r="G42" i="3"/>
  <c r="F6" i="3"/>
  <c r="E12" i="3"/>
  <c r="G24" i="3"/>
  <c r="H42" i="3"/>
  <c r="I9" i="3" l="1"/>
  <c r="L9" i="3" s="1"/>
  <c r="P36" i="3"/>
  <c r="E17" i="6"/>
  <c r="E53" i="6"/>
  <c r="E35" i="6"/>
  <c r="I8" i="3"/>
  <c r="E53" i="4"/>
  <c r="I45" i="3"/>
  <c r="L45" i="3" s="1"/>
  <c r="P18" i="4"/>
  <c r="I62" i="3"/>
  <c r="G10" i="3"/>
  <c r="G29" i="3"/>
  <c r="I29" i="3"/>
  <c r="G46" i="3"/>
  <c r="G43" i="3"/>
  <c r="I47" i="3"/>
  <c r="I12" i="3"/>
  <c r="I48" i="3"/>
  <c r="I28" i="3"/>
  <c r="L28" i="3" s="1"/>
  <c r="I64" i="3"/>
  <c r="L64" i="3" s="1"/>
  <c r="F44" i="3"/>
  <c r="L44" i="3" s="1"/>
  <c r="L16" i="3"/>
  <c r="E35" i="4"/>
  <c r="I25" i="6"/>
  <c r="I12" i="6"/>
  <c r="L12" i="6" s="1"/>
  <c r="I43" i="6"/>
  <c r="I26" i="6"/>
  <c r="I61" i="6"/>
  <c r="I44" i="6"/>
  <c r="I27" i="6"/>
  <c r="L27" i="6" s="1"/>
  <c r="I62" i="6"/>
  <c r="I45" i="6"/>
  <c r="L45" i="6" s="1"/>
  <c r="I28" i="6"/>
  <c r="L28" i="6" s="1"/>
  <c r="I7" i="6"/>
  <c r="L7" i="6" s="1"/>
  <c r="I64" i="6"/>
  <c r="L64" i="6" s="1"/>
  <c r="I47" i="6"/>
  <c r="I30" i="6"/>
  <c r="I9" i="6"/>
  <c r="L9" i="6" s="1"/>
  <c r="I63" i="6"/>
  <c r="I46" i="6"/>
  <c r="L46" i="6" s="1"/>
  <c r="I29" i="6"/>
  <c r="I8" i="6"/>
  <c r="L8" i="6" s="1"/>
  <c r="I65" i="6"/>
  <c r="I48" i="6"/>
  <c r="I10" i="6"/>
  <c r="L10" i="6" s="1"/>
  <c r="I66" i="6"/>
  <c r="I11" i="6"/>
  <c r="L11" i="6" s="1"/>
  <c r="F44" i="6"/>
  <c r="L44" i="6" s="1"/>
  <c r="F43" i="6"/>
  <c r="F61" i="6"/>
  <c r="F62" i="6"/>
  <c r="E71" i="6"/>
  <c r="J43" i="6"/>
  <c r="L43" i="6" s="1"/>
  <c r="J26" i="6"/>
  <c r="J61" i="6"/>
  <c r="L61" i="6" s="1"/>
  <c r="J44" i="6"/>
  <c r="J27" i="6"/>
  <c r="J62" i="6"/>
  <c r="J45" i="6"/>
  <c r="J28" i="6"/>
  <c r="J7" i="6"/>
  <c r="J48" i="6"/>
  <c r="L48" i="6" s="1"/>
  <c r="J12" i="6"/>
  <c r="J63" i="6"/>
  <c r="J46" i="6"/>
  <c r="J29" i="6"/>
  <c r="J8" i="6"/>
  <c r="J65" i="6"/>
  <c r="J10" i="6"/>
  <c r="J64" i="6"/>
  <c r="J47" i="6"/>
  <c r="J30" i="6"/>
  <c r="L30" i="6" s="1"/>
  <c r="J9" i="6"/>
  <c r="J66" i="6"/>
  <c r="J11" i="6"/>
  <c r="J25" i="6"/>
  <c r="P72" i="6"/>
  <c r="F25" i="6"/>
  <c r="F26" i="6"/>
  <c r="H66" i="6"/>
  <c r="L66" i="6" s="1"/>
  <c r="H11" i="6"/>
  <c r="H25" i="6"/>
  <c r="H12" i="6"/>
  <c r="H43" i="6"/>
  <c r="H26" i="6"/>
  <c r="H46" i="6"/>
  <c r="H29" i="6"/>
  <c r="L29" i="6" s="1"/>
  <c r="H10" i="6"/>
  <c r="H61" i="6"/>
  <c r="H44" i="6"/>
  <c r="H27" i="6"/>
  <c r="H63" i="6"/>
  <c r="H8" i="6"/>
  <c r="H62" i="6"/>
  <c r="H45" i="6"/>
  <c r="H28" i="6"/>
  <c r="H7" i="6"/>
  <c r="H64" i="6"/>
  <c r="H47" i="6"/>
  <c r="L47" i="6" s="1"/>
  <c r="H30" i="6"/>
  <c r="H9" i="6"/>
  <c r="H65" i="6"/>
  <c r="L65" i="6" s="1"/>
  <c r="H48" i="6"/>
  <c r="G65" i="6"/>
  <c r="G48" i="6"/>
  <c r="G10" i="6"/>
  <c r="G66" i="6"/>
  <c r="G11" i="6"/>
  <c r="G25" i="6"/>
  <c r="L25" i="6" s="1"/>
  <c r="G12" i="6"/>
  <c r="G62" i="6"/>
  <c r="L62" i="6" s="1"/>
  <c r="G43" i="6"/>
  <c r="G26" i="6"/>
  <c r="L26" i="6" s="1"/>
  <c r="G45" i="6"/>
  <c r="G28" i="6"/>
  <c r="G7" i="6"/>
  <c r="G61" i="6"/>
  <c r="G44" i="6"/>
  <c r="G27" i="6"/>
  <c r="G63" i="6"/>
  <c r="L63" i="6" s="1"/>
  <c r="G46" i="6"/>
  <c r="G29" i="6"/>
  <c r="G8" i="6"/>
  <c r="G64" i="6"/>
  <c r="G47" i="6"/>
  <c r="G30" i="6"/>
  <c r="G9" i="6"/>
  <c r="F64" i="6"/>
  <c r="F47" i="6"/>
  <c r="F30" i="6"/>
  <c r="F9" i="6"/>
  <c r="F65" i="6"/>
  <c r="F48" i="6"/>
  <c r="F10" i="6"/>
  <c r="F66" i="6"/>
  <c r="F11" i="6"/>
  <c r="F12" i="6"/>
  <c r="F27" i="6"/>
  <c r="F29" i="6"/>
  <c r="F8" i="6"/>
  <c r="F45" i="6"/>
  <c r="F28" i="6"/>
  <c r="F7" i="6"/>
  <c r="F63" i="6"/>
  <c r="F46" i="6"/>
  <c r="E71" i="4"/>
  <c r="I63" i="3"/>
  <c r="I30" i="3"/>
  <c r="I65" i="3"/>
  <c r="I66" i="3"/>
  <c r="I26" i="3"/>
  <c r="P72" i="3"/>
  <c r="F43" i="4"/>
  <c r="F44" i="4"/>
  <c r="L44" i="4" s="1"/>
  <c r="F25" i="4"/>
  <c r="F26" i="4"/>
  <c r="G65" i="4"/>
  <c r="G48" i="4"/>
  <c r="G10" i="4"/>
  <c r="G66" i="4"/>
  <c r="G11" i="4"/>
  <c r="G25" i="4"/>
  <c r="L25" i="4" s="1"/>
  <c r="G12" i="4"/>
  <c r="G43" i="4"/>
  <c r="G26" i="4"/>
  <c r="L26" i="4" s="1"/>
  <c r="G28" i="4"/>
  <c r="G61" i="4"/>
  <c r="G44" i="4"/>
  <c r="G27" i="4"/>
  <c r="G62" i="4"/>
  <c r="L62" i="4" s="1"/>
  <c r="G45" i="4"/>
  <c r="G7" i="4"/>
  <c r="G63" i="4"/>
  <c r="L63" i="4" s="1"/>
  <c r="G46" i="4"/>
  <c r="G29" i="4"/>
  <c r="G8" i="4"/>
  <c r="G64" i="4"/>
  <c r="G47" i="4"/>
  <c r="G30" i="4"/>
  <c r="G9" i="4"/>
  <c r="F64" i="4"/>
  <c r="F47" i="4"/>
  <c r="F30" i="4"/>
  <c r="F9" i="4"/>
  <c r="F65" i="4"/>
  <c r="F48" i="4"/>
  <c r="F10" i="4"/>
  <c r="F66" i="4"/>
  <c r="F11" i="4"/>
  <c r="F12" i="4"/>
  <c r="F45" i="4"/>
  <c r="F28" i="4"/>
  <c r="F7" i="4"/>
  <c r="F27" i="4"/>
  <c r="F63" i="4"/>
  <c r="F46" i="4"/>
  <c r="F29" i="4"/>
  <c r="F8" i="4"/>
  <c r="H66" i="4"/>
  <c r="L66" i="4" s="1"/>
  <c r="H11" i="4"/>
  <c r="H25" i="4"/>
  <c r="H12" i="4"/>
  <c r="H8" i="4"/>
  <c r="H43" i="4"/>
  <c r="H26" i="4"/>
  <c r="H61" i="4"/>
  <c r="H44" i="4"/>
  <c r="H27" i="4"/>
  <c r="H46" i="4"/>
  <c r="H62" i="4"/>
  <c r="H45" i="4"/>
  <c r="H28" i="4"/>
  <c r="H7" i="4"/>
  <c r="H63" i="4"/>
  <c r="H29" i="4"/>
  <c r="L29" i="4" s="1"/>
  <c r="H64" i="4"/>
  <c r="H47" i="4"/>
  <c r="L47" i="4" s="1"/>
  <c r="H30" i="4"/>
  <c r="H9" i="4"/>
  <c r="H65" i="4"/>
  <c r="L65" i="4" s="1"/>
  <c r="H48" i="4"/>
  <c r="H10" i="4"/>
  <c r="J43" i="4"/>
  <c r="L43" i="4" s="1"/>
  <c r="J26" i="4"/>
  <c r="J61" i="4"/>
  <c r="L61" i="4" s="1"/>
  <c r="J44" i="4"/>
  <c r="J27" i="4"/>
  <c r="J62" i="4"/>
  <c r="J45" i="4"/>
  <c r="J28" i="4"/>
  <c r="J7" i="4"/>
  <c r="J63" i="4"/>
  <c r="J46" i="4"/>
  <c r="J29" i="4"/>
  <c r="J8" i="4"/>
  <c r="J48" i="4"/>
  <c r="L48" i="4" s="1"/>
  <c r="J64" i="4"/>
  <c r="J47" i="4"/>
  <c r="J30" i="4"/>
  <c r="L30" i="4" s="1"/>
  <c r="J9" i="4"/>
  <c r="J65" i="4"/>
  <c r="J10" i="4"/>
  <c r="J66" i="4"/>
  <c r="J11" i="4"/>
  <c r="J25" i="4"/>
  <c r="J12" i="4"/>
  <c r="E17" i="4"/>
  <c r="I25" i="4"/>
  <c r="I12" i="4"/>
  <c r="L12" i="4" s="1"/>
  <c r="I43" i="4"/>
  <c r="I26" i="4"/>
  <c r="I61" i="4"/>
  <c r="I44" i="4"/>
  <c r="I27" i="4"/>
  <c r="L27" i="4" s="1"/>
  <c r="I62" i="4"/>
  <c r="I45" i="4"/>
  <c r="L45" i="4" s="1"/>
  <c r="I28" i="4"/>
  <c r="L28" i="4" s="1"/>
  <c r="I7" i="4"/>
  <c r="L7" i="4" s="1"/>
  <c r="I64" i="4"/>
  <c r="L64" i="4" s="1"/>
  <c r="I9" i="4"/>
  <c r="L9" i="4" s="1"/>
  <c r="I63" i="4"/>
  <c r="I46" i="4"/>
  <c r="L46" i="4" s="1"/>
  <c r="I29" i="4"/>
  <c r="I8" i="4"/>
  <c r="L8" i="4" s="1"/>
  <c r="I65" i="4"/>
  <c r="I48" i="4"/>
  <c r="I10" i="4"/>
  <c r="L10" i="4" s="1"/>
  <c r="I47" i="4"/>
  <c r="I30" i="4"/>
  <c r="I66" i="4"/>
  <c r="I11" i="4"/>
  <c r="L11" i="4" s="1"/>
  <c r="F61" i="4"/>
  <c r="F62" i="4"/>
  <c r="P36" i="4"/>
  <c r="G26" i="3"/>
  <c r="L26" i="3" s="1"/>
  <c r="G63" i="3"/>
  <c r="L63" i="3" s="1"/>
  <c r="G7" i="3"/>
  <c r="G64" i="3"/>
  <c r="G48" i="3"/>
  <c r="G9" i="3"/>
  <c r="G27" i="3"/>
  <c r="G11" i="3"/>
  <c r="G66" i="3"/>
  <c r="E17" i="3"/>
  <c r="E35" i="3"/>
  <c r="I25" i="3"/>
  <c r="I61" i="3"/>
  <c r="I7" i="3"/>
  <c r="I44" i="3"/>
  <c r="I10" i="3"/>
  <c r="L10" i="3" s="1"/>
  <c r="I27" i="3"/>
  <c r="L27" i="3" s="1"/>
  <c r="G65" i="3"/>
  <c r="G25" i="3"/>
  <c r="L25" i="3" s="1"/>
  <c r="G8" i="3"/>
  <c r="L8" i="3" s="1"/>
  <c r="E53" i="3"/>
  <c r="F25" i="3"/>
  <c r="F26" i="3"/>
  <c r="F64" i="3"/>
  <c r="F47" i="3"/>
  <c r="F30" i="3"/>
  <c r="F65" i="3"/>
  <c r="F48" i="3"/>
  <c r="F66" i="3"/>
  <c r="F8" i="3"/>
  <c r="F9" i="3"/>
  <c r="F7" i="3"/>
  <c r="F27" i="3"/>
  <c r="F10" i="3"/>
  <c r="F45" i="3"/>
  <c r="F28" i="3"/>
  <c r="F11" i="3"/>
  <c r="F63" i="3"/>
  <c r="F46" i="3"/>
  <c r="F29" i="3"/>
  <c r="F12" i="3"/>
  <c r="H66" i="3"/>
  <c r="L66" i="3" s="1"/>
  <c r="H7" i="3"/>
  <c r="H8" i="3"/>
  <c r="H43" i="3"/>
  <c r="H25" i="3"/>
  <c r="H26" i="3"/>
  <c r="H9" i="3"/>
  <c r="H61" i="3"/>
  <c r="H44" i="3"/>
  <c r="H27" i="3"/>
  <c r="H10" i="3"/>
  <c r="H45" i="3"/>
  <c r="H28" i="3"/>
  <c r="H62" i="3"/>
  <c r="H11" i="3"/>
  <c r="L11" i="3" s="1"/>
  <c r="H63" i="3"/>
  <c r="H46" i="3"/>
  <c r="H29" i="3"/>
  <c r="L29" i="3" s="1"/>
  <c r="H12" i="3"/>
  <c r="H64" i="3"/>
  <c r="H47" i="3"/>
  <c r="L47" i="3" s="1"/>
  <c r="H30" i="3"/>
  <c r="H65" i="3"/>
  <c r="L65" i="3" s="1"/>
  <c r="H48" i="3"/>
  <c r="J43" i="3"/>
  <c r="L43" i="3" s="1"/>
  <c r="J26" i="3"/>
  <c r="J9" i="3"/>
  <c r="J61" i="3"/>
  <c r="L61" i="3" s="1"/>
  <c r="J62" i="3"/>
  <c r="J45" i="3"/>
  <c r="J44" i="3"/>
  <c r="J27" i="3"/>
  <c r="J10" i="3"/>
  <c r="J11" i="3"/>
  <c r="J63" i="3"/>
  <c r="J46" i="3"/>
  <c r="J29" i="3"/>
  <c r="J12" i="3"/>
  <c r="L12" i="3" s="1"/>
  <c r="J64" i="3"/>
  <c r="J30" i="3"/>
  <c r="L30" i="3" s="1"/>
  <c r="J47" i="3"/>
  <c r="J28" i="3"/>
  <c r="J65" i="3"/>
  <c r="J48" i="3"/>
  <c r="L48" i="3" s="1"/>
  <c r="J66" i="3"/>
  <c r="J7" i="3"/>
  <c r="J25" i="3"/>
  <c r="J8" i="3"/>
  <c r="F61" i="3"/>
  <c r="F62" i="3"/>
  <c r="E71" i="3"/>
  <c r="P18" i="3"/>
  <c r="L7" i="3" l="1"/>
  <c r="O72" i="6"/>
  <c r="Q72" i="6" s="1"/>
  <c r="O36" i="6"/>
  <c r="Q36" i="6" s="1"/>
  <c r="O54" i="6"/>
  <c r="Q54" i="6" s="1"/>
  <c r="O18" i="6"/>
  <c r="Q18" i="6" s="1"/>
  <c r="O72" i="3"/>
  <c r="Q72" i="3" s="1"/>
  <c r="O54" i="4"/>
  <c r="Q54" i="4" s="1"/>
  <c r="R54" i="4" s="1"/>
  <c r="O18" i="4"/>
  <c r="Q18" i="4" s="1"/>
  <c r="R18" i="4" s="1"/>
  <c r="O36" i="4"/>
  <c r="Q36" i="4" s="1"/>
  <c r="O72" i="4"/>
  <c r="Q72" i="4" s="1"/>
  <c r="O36" i="3"/>
  <c r="Q36" i="3" s="1"/>
  <c r="O18" i="3"/>
  <c r="Q18" i="3" s="1"/>
  <c r="O54" i="3"/>
  <c r="Q54" i="3" s="1"/>
  <c r="R54" i="6" l="1"/>
  <c r="R72" i="4"/>
  <c r="R36" i="4"/>
  <c r="R36" i="6"/>
  <c r="R72" i="6"/>
  <c r="R18" i="6"/>
  <c r="R54" i="3"/>
  <c r="R72" i="3"/>
  <c r="R36" i="3"/>
  <c r="R18" i="3"/>
  <c r="F46" i="2" l="1"/>
  <c r="E46" i="2"/>
  <c r="F45" i="2"/>
  <c r="E45" i="2"/>
  <c r="F34" i="2"/>
  <c r="F33" i="2"/>
  <c r="E33" i="2"/>
  <c r="E31" i="2"/>
  <c r="F30" i="2"/>
  <c r="E30" i="2"/>
  <c r="E21" i="2"/>
  <c r="K21" i="2" s="1"/>
  <c r="F19" i="2"/>
  <c r="F43" i="2"/>
  <c r="F44" i="2"/>
  <c r="E34" i="2"/>
  <c r="E19" i="2"/>
  <c r="F22" i="2"/>
  <c r="F18" i="2"/>
  <c r="F31" i="2" l="1"/>
  <c r="F21" i="2"/>
  <c r="E42" i="2"/>
  <c r="F42" i="2"/>
  <c r="K32" i="2"/>
  <c r="E20" i="2"/>
  <c r="K20" i="2" s="1"/>
  <c r="E22" i="2"/>
  <c r="F32" i="2"/>
  <c r="E44" i="2"/>
  <c r="E43" i="2"/>
  <c r="E18" i="2"/>
  <c r="K18" i="2" s="1"/>
  <c r="F20" i="2"/>
  <c r="E32" i="2"/>
  <c r="K46" i="2"/>
  <c r="K43" i="2"/>
  <c r="K33" i="2"/>
  <c r="K19" i="2"/>
  <c r="K45" i="2"/>
  <c r="K44" i="2"/>
  <c r="K42" i="2"/>
  <c r="K34" i="2"/>
  <c r="K31" i="2"/>
  <c r="K30" i="2"/>
  <c r="K22" i="2"/>
  <c r="A2" i="7"/>
  <c r="A11" i="7"/>
  <c r="A10" i="7"/>
  <c r="A34" i="2"/>
  <c r="A33" i="2"/>
  <c r="A32" i="2"/>
  <c r="A46" i="2"/>
  <c r="A45" i="2"/>
  <c r="A44" i="2"/>
  <c r="A22" i="2"/>
  <c r="A21" i="2"/>
  <c r="A20" i="2"/>
  <c r="O48" i="2" l="1"/>
  <c r="O36" i="2"/>
  <c r="O24" i="2"/>
  <c r="E9" i="7" s="1"/>
  <c r="E10" i="7"/>
  <c r="N48" i="2"/>
  <c r="N36" i="2"/>
  <c r="D10" i="7" s="1"/>
  <c r="G10" i="7" l="1"/>
  <c r="P48" i="2"/>
  <c r="P36" i="2"/>
  <c r="N24" i="2"/>
  <c r="D9" i="7" s="1"/>
  <c r="G9" i="7" s="1"/>
  <c r="P24" i="2" l="1"/>
  <c r="K10" i="2" l="1"/>
  <c r="K9" i="2" l="1"/>
  <c r="O12" i="2" s="1"/>
  <c r="E8" i="7" s="1"/>
  <c r="K6" i="2" l="1"/>
  <c r="K8" i="2"/>
  <c r="K7" i="2"/>
  <c r="N12" i="2" l="1"/>
  <c r="D8" i="7" s="1"/>
  <c r="A6" i="2"/>
  <c r="A30" i="2" l="1"/>
  <c r="A42" i="2"/>
  <c r="A18" i="2"/>
  <c r="A31" i="2"/>
  <c r="A43" i="2"/>
  <c r="A19" i="2"/>
  <c r="P12" i="2"/>
  <c r="G8" i="7"/>
  <c r="R48" i="2" l="1"/>
  <c r="R24" i="2"/>
  <c r="R12" i="2"/>
  <c r="R36" i="2"/>
  <c r="A9" i="7"/>
  <c r="A8" i="7"/>
  <c r="H9" i="7" l="1"/>
  <c r="H10" i="7"/>
  <c r="H8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tc={4D80AC79-7544-4BAA-8A81-C5FEF5994498}</author>
  </authors>
  <commentList>
    <comment ref="J6" authorId="0" shapeId="0" xr:uid="{4D80AC79-7544-4BAA-8A81-C5FEF5994498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Deze waarde wordt niet gebruikt maar wel de totale waarde van dit onderdeel vanuit de subcriteria</t>
      </text>
    </comment>
  </commentList>
</comments>
</file>

<file path=xl/sharedStrings.xml><?xml version="1.0" encoding="utf-8"?>
<sst xmlns="http://schemas.openxmlformats.org/spreadsheetml/2006/main" count="475" uniqueCount="58">
  <si>
    <t>Beoordelingsblad totaal VOOR de consensus meeting</t>
  </si>
  <si>
    <t>Blauwe velden invullen</t>
  </si>
  <si>
    <t>Aftrekwaarde van de inschrijfsom</t>
  </si>
  <si>
    <t>Wens</t>
  </si>
  <si>
    <t>Omschrijving</t>
  </si>
  <si>
    <t>Maximale waarde</t>
  </si>
  <si>
    <t>Bijtelling bij 0</t>
  </si>
  <si>
    <t>Bijtelling bij 1/4</t>
  </si>
  <si>
    <t>Aftrek bij 2/4</t>
  </si>
  <si>
    <t>Aftrek bij 3/4</t>
  </si>
  <si>
    <t>Aftrek bij 4/4</t>
  </si>
  <si>
    <t>Score</t>
  </si>
  <si>
    <t>Waarde</t>
  </si>
  <si>
    <t>Motivatie positief</t>
  </si>
  <si>
    <t>Motivatie minder positief</t>
  </si>
  <si>
    <t>A</t>
  </si>
  <si>
    <t>1. Van Inkoop tot Order</t>
  </si>
  <si>
    <t>2. Europese Aanbesteding / contractmanagement</t>
  </si>
  <si>
    <r>
      <t xml:space="preserve">3. </t>
    </r>
    <r>
      <rPr>
        <sz val="10"/>
        <color theme="1"/>
        <rFont val="Arial"/>
        <family val="2"/>
      </rPr>
      <t>Guided Buying, bestellen en deelontvangst</t>
    </r>
  </si>
  <si>
    <t>4. Ontvangen en verwerken van facturen</t>
  </si>
  <si>
    <t>5. Analyses</t>
  </si>
  <si>
    <t>6. Functioneel beheer</t>
  </si>
  <si>
    <t>B</t>
  </si>
  <si>
    <t>C</t>
  </si>
  <si>
    <t>D1</t>
  </si>
  <si>
    <t>D2</t>
  </si>
  <si>
    <t>Maximum</t>
  </si>
  <si>
    <t>Score Q</t>
  </si>
  <si>
    <t>Score D</t>
  </si>
  <si>
    <t>Totaal</t>
  </si>
  <si>
    <t>Ranking</t>
  </si>
  <si>
    <t>In te vullen door inkoopadviseur</t>
  </si>
  <si>
    <t>Beoordelingsblad totaal na de consensus meeting</t>
  </si>
  <si>
    <r>
      <t>Aanbesteding</t>
    </r>
    <r>
      <rPr>
        <sz val="12"/>
        <color rgb="FFFF0000"/>
        <rFont val="Arial"/>
        <family val="2"/>
      </rPr>
      <t xml:space="preserve"> Source to Pay</t>
    </r>
  </si>
  <si>
    <t>Inschrijver 1</t>
  </si>
  <si>
    <t>Demo / use cases</t>
  </si>
  <si>
    <t>sdhfsdhfdhsakfjd</t>
  </si>
  <si>
    <t>gdgfsd</t>
  </si>
  <si>
    <t>Implementatie en aanpak</t>
  </si>
  <si>
    <t>l;lsdfjlhdsf</t>
  </si>
  <si>
    <t>gdfgsdfg</t>
  </si>
  <si>
    <t>Werkwijze koppelingen</t>
  </si>
  <si>
    <t>ll;sjkjsdf</t>
  </si>
  <si>
    <t>MVOI vraag 1 (60%)</t>
  </si>
  <si>
    <t>MVOI vraag 2 (40%)</t>
  </si>
  <si>
    <t>Inschrijver 2</t>
  </si>
  <si>
    <t>Inschrijver 3</t>
  </si>
  <si>
    <t>Inschrijver 4</t>
  </si>
  <si>
    <t>Prijs beoordeling</t>
  </si>
  <si>
    <t>Inclusief btw</t>
  </si>
  <si>
    <t>Fictieve aftrek/bijtelling</t>
  </si>
  <si>
    <t>Fictieve inschrijfsom</t>
  </si>
  <si>
    <t>Kwaliteit</t>
  </si>
  <si>
    <t>Duurzaamheid</t>
  </si>
  <si>
    <t>Beoordelingswaarde</t>
  </si>
  <si>
    <t>Rang</t>
  </si>
  <si>
    <t>ongeldig</t>
  </si>
  <si>
    <t>Minimum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</si>
</sst>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\ ?/4"/>
    <numFmt numFmtId="165" formatCode="_ &quot;€&quot;\ * #,##0_ ;_ &quot;€&quot;\ * \-#,##0_ ;_ &quot;€&quot;\ * &quot;-&quot;??_ ;_ @_ "/>
    <numFmt numFmtId="166" formatCode="_ * #,##0_ ;_ * \-#,##0_ ;_ * &quot;-&quot;??_ ;_ @_ "/>
    <numFmt numFmtId="167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1"/>
      <color theme="1"/>
      <name val="Arial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8">
    <xf numFmtId="0" fontId="0" fillId="0" borderId="0" xfId="0"/>
    <xf numFmtId="0" fontId="2" fillId="0" borderId="0" xfId="0" applyFont="1"/>
    <xf numFmtId="0" fontId="2" fillId="0" borderId="6" xfId="0" applyFont="1" applyBorder="1"/>
    <xf numFmtId="0" fontId="2" fillId="0" borderId="15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43" fontId="4" fillId="0" borderId="0" xfId="1" applyFont="1"/>
    <xf numFmtId="0" fontId="2" fillId="0" borderId="0" xfId="0" applyFont="1" applyAlignment="1">
      <alignment horizontal="center"/>
    </xf>
    <xf numFmtId="0" fontId="2" fillId="0" borderId="16" xfId="0" applyFont="1" applyBorder="1"/>
    <xf numFmtId="0" fontId="2" fillId="0" borderId="18" xfId="0" applyFont="1" applyBorder="1" applyAlignment="1">
      <alignment wrapText="1"/>
    </xf>
    <xf numFmtId="0" fontId="5" fillId="0" borderId="0" xfId="0" applyFont="1"/>
    <xf numFmtId="0" fontId="6" fillId="0" borderId="0" xfId="0" applyFont="1"/>
    <xf numFmtId="12" fontId="2" fillId="0" borderId="0" xfId="0" applyNumberFormat="1" applyFont="1"/>
    <xf numFmtId="0" fontId="3" fillId="0" borderId="0" xfId="0" applyFont="1" applyAlignment="1">
      <alignment horizontal="center"/>
    </xf>
    <xf numFmtId="0" fontId="2" fillId="0" borderId="7" xfId="0" applyFont="1" applyBorder="1"/>
    <xf numFmtId="0" fontId="6" fillId="0" borderId="0" xfId="0" applyFont="1" applyAlignment="1">
      <alignment horizontal="center"/>
    </xf>
    <xf numFmtId="0" fontId="6" fillId="0" borderId="19" xfId="0" applyFont="1" applyBorder="1"/>
    <xf numFmtId="0" fontId="2" fillId="0" borderId="2" xfId="0" applyFont="1" applyBorder="1"/>
    <xf numFmtId="0" fontId="7" fillId="0" borderId="0" xfId="0" applyFont="1"/>
    <xf numFmtId="165" fontId="2" fillId="0" borderId="0" xfId="2" applyNumberFormat="1" applyFont="1" applyAlignment="1">
      <alignment horizontal="center"/>
    </xf>
    <xf numFmtId="165" fontId="2" fillId="0" borderId="10" xfId="2" applyNumberFormat="1" applyFont="1" applyBorder="1" applyAlignment="1">
      <alignment horizontal="center"/>
    </xf>
    <xf numFmtId="165" fontId="2" fillId="0" borderId="1" xfId="2" applyNumberFormat="1" applyFont="1" applyBorder="1"/>
    <xf numFmtId="0" fontId="2" fillId="0" borderId="13" xfId="0" applyFont="1" applyBorder="1" applyAlignment="1">
      <alignment horizontal="center"/>
    </xf>
    <xf numFmtId="165" fontId="2" fillId="0" borderId="0" xfId="2" applyNumberFormat="1" applyFont="1" applyBorder="1" applyAlignment="1">
      <alignment horizontal="center"/>
    </xf>
    <xf numFmtId="0" fontId="2" fillId="0" borderId="25" xfId="0" applyFont="1" applyBorder="1"/>
    <xf numFmtId="0" fontId="2" fillId="0" borderId="17" xfId="0" applyFont="1" applyBorder="1" applyAlignment="1">
      <alignment wrapText="1"/>
    </xf>
    <xf numFmtId="0" fontId="2" fillId="0" borderId="23" xfId="0" applyFont="1" applyBorder="1"/>
    <xf numFmtId="165" fontId="2" fillId="0" borderId="20" xfId="2" applyNumberFormat="1" applyFont="1" applyBorder="1" applyAlignment="1">
      <alignment horizontal="center"/>
    </xf>
    <xf numFmtId="165" fontId="3" fillId="0" borderId="10" xfId="2" applyNumberFormat="1" applyFont="1" applyBorder="1" applyAlignment="1">
      <alignment horizontal="center"/>
    </xf>
    <xf numFmtId="0" fontId="2" fillId="2" borderId="14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0" fontId="2" fillId="0" borderId="34" xfId="0" applyFont="1" applyBorder="1"/>
    <xf numFmtId="0" fontId="2" fillId="0" borderId="35" xfId="0" applyFont="1" applyBorder="1" applyAlignment="1">
      <alignment wrapText="1"/>
    </xf>
    <xf numFmtId="165" fontId="2" fillId="0" borderId="15" xfId="2" applyNumberFormat="1" applyFont="1" applyBorder="1"/>
    <xf numFmtId="165" fontId="3" fillId="0" borderId="15" xfId="2" applyNumberFormat="1" applyFont="1" applyBorder="1"/>
    <xf numFmtId="0" fontId="2" fillId="2" borderId="14" xfId="0" applyFont="1" applyFill="1" applyBorder="1" applyAlignment="1">
      <alignment wrapText="1"/>
    </xf>
    <xf numFmtId="0" fontId="2" fillId="2" borderId="24" xfId="0" applyFont="1" applyFill="1" applyBorder="1" applyAlignment="1">
      <alignment wrapText="1"/>
    </xf>
    <xf numFmtId="0" fontId="3" fillId="0" borderId="0" xfId="0" applyFont="1"/>
    <xf numFmtId="0" fontId="2" fillId="0" borderId="0" xfId="0" applyFont="1" applyAlignment="1">
      <alignment wrapText="1"/>
    </xf>
    <xf numFmtId="166" fontId="6" fillId="0" borderId="0" xfId="1" applyNumberFormat="1" applyFont="1"/>
    <xf numFmtId="44" fontId="6" fillId="0" borderId="0" xfId="0" applyNumberFormat="1" applyFont="1"/>
    <xf numFmtId="43" fontId="6" fillId="0" borderId="0" xfId="1" applyFont="1" applyBorder="1"/>
    <xf numFmtId="43" fontId="6" fillId="0" borderId="0" xfId="0" applyNumberFormat="1" applyFont="1" applyAlignment="1">
      <alignment horizontal="center"/>
    </xf>
    <xf numFmtId="166" fontId="6" fillId="0" borderId="0" xfId="1" applyNumberFormat="1" applyFont="1" applyBorder="1"/>
    <xf numFmtId="44" fontId="6" fillId="0" borderId="0" xfId="2" applyFont="1" applyBorder="1"/>
    <xf numFmtId="0" fontId="8" fillId="0" borderId="7" xfId="0" applyFont="1" applyBorder="1"/>
    <xf numFmtId="0" fontId="8" fillId="0" borderId="7" xfId="0" applyFont="1" applyBorder="1" applyAlignment="1">
      <alignment horizontal="center"/>
    </xf>
    <xf numFmtId="166" fontId="8" fillId="0" borderId="7" xfId="1" applyNumberFormat="1" applyFont="1" applyBorder="1" applyAlignment="1">
      <alignment horizontal="center"/>
    </xf>
    <xf numFmtId="166" fontId="6" fillId="0" borderId="18" xfId="1" applyNumberFormat="1" applyFont="1" applyBorder="1"/>
    <xf numFmtId="166" fontId="6" fillId="0" borderId="14" xfId="1" applyNumberFormat="1" applyFont="1" applyBorder="1"/>
    <xf numFmtId="0" fontId="2" fillId="0" borderId="4" xfId="0" applyFont="1" applyBorder="1"/>
    <xf numFmtId="0" fontId="2" fillId="0" borderId="0" xfId="0" applyFont="1" applyAlignment="1">
      <alignment horizontal="center" wrapText="1"/>
    </xf>
    <xf numFmtId="0" fontId="2" fillId="0" borderId="21" xfId="0" applyFont="1" applyBorder="1"/>
    <xf numFmtId="0" fontId="2" fillId="0" borderId="10" xfId="0" applyFont="1" applyBorder="1"/>
    <xf numFmtId="9" fontId="2" fillId="0" borderId="25" xfId="3" applyFont="1" applyBorder="1" applyAlignment="1">
      <alignment horizontal="center" wrapText="1"/>
    </xf>
    <xf numFmtId="9" fontId="2" fillId="0" borderId="31" xfId="3" applyFont="1" applyBorder="1" applyAlignment="1">
      <alignment horizontal="center" wrapText="1"/>
    </xf>
    <xf numFmtId="165" fontId="3" fillId="0" borderId="25" xfId="2" applyNumberFormat="1" applyFont="1" applyBorder="1" applyAlignment="1">
      <alignment horizontal="center"/>
    </xf>
    <xf numFmtId="165" fontId="2" fillId="0" borderId="0" xfId="2" applyNumberFormat="1" applyFont="1" applyBorder="1"/>
    <xf numFmtId="165" fontId="3" fillId="0" borderId="0" xfId="2" applyNumberFormat="1" applyFont="1" applyBorder="1"/>
    <xf numFmtId="0" fontId="2" fillId="0" borderId="8" xfId="0" applyFont="1" applyBorder="1"/>
    <xf numFmtId="165" fontId="2" fillId="0" borderId="8" xfId="2" applyNumberFormat="1" applyFont="1" applyBorder="1"/>
    <xf numFmtId="165" fontId="3" fillId="0" borderId="8" xfId="2" applyNumberFormat="1" applyFont="1" applyBorder="1"/>
    <xf numFmtId="165" fontId="2" fillId="0" borderId="38" xfId="2" applyNumberFormat="1" applyFont="1" applyBorder="1" applyAlignment="1"/>
    <xf numFmtId="165" fontId="2" fillId="0" borderId="10" xfId="2" applyNumberFormat="1" applyFont="1" applyBorder="1" applyAlignment="1"/>
    <xf numFmtId="165" fontId="2" fillId="0" borderId="0" xfId="0" applyNumberFormat="1" applyFont="1" applyAlignment="1">
      <alignment horizontal="center"/>
    </xf>
    <xf numFmtId="165" fontId="2" fillId="0" borderId="39" xfId="0" applyNumberFormat="1" applyFont="1" applyBorder="1" applyAlignment="1">
      <alignment horizontal="center"/>
    </xf>
    <xf numFmtId="165" fontId="2" fillId="0" borderId="38" xfId="2" applyNumberFormat="1" applyFont="1" applyBorder="1" applyAlignment="1">
      <alignment horizontal="center"/>
    </xf>
    <xf numFmtId="0" fontId="2" fillId="2" borderId="41" xfId="0" applyFont="1" applyFill="1" applyBorder="1" applyAlignment="1" applyProtection="1">
      <alignment wrapText="1"/>
      <protection locked="0"/>
    </xf>
    <xf numFmtId="0" fontId="2" fillId="0" borderId="9" xfId="0" applyFont="1" applyBorder="1"/>
    <xf numFmtId="0" fontId="2" fillId="2" borderId="5" xfId="0" applyFont="1" applyFill="1" applyBorder="1" applyAlignment="1">
      <alignment wrapText="1"/>
    </xf>
    <xf numFmtId="0" fontId="2" fillId="2" borderId="28" xfId="0" applyFont="1" applyFill="1" applyBorder="1" applyAlignment="1">
      <alignment wrapText="1"/>
    </xf>
    <xf numFmtId="165" fontId="2" fillId="0" borderId="22" xfId="2" applyNumberFormat="1" applyFont="1" applyBorder="1" applyAlignment="1">
      <alignment horizontal="center"/>
    </xf>
    <xf numFmtId="0" fontId="6" fillId="3" borderId="16" xfId="0" applyFont="1" applyFill="1" applyBorder="1"/>
    <xf numFmtId="0" fontId="6" fillId="4" borderId="13" xfId="0" applyFont="1" applyFill="1" applyBorder="1"/>
    <xf numFmtId="40" fontId="6" fillId="0" borderId="17" xfId="2" applyNumberFormat="1" applyFont="1" applyFill="1" applyBorder="1"/>
    <xf numFmtId="40" fontId="6" fillId="0" borderId="17" xfId="1" applyNumberFormat="1" applyFont="1" applyBorder="1"/>
    <xf numFmtId="40" fontId="6" fillId="0" borderId="17" xfId="2" applyNumberFormat="1" applyFont="1" applyBorder="1"/>
    <xf numFmtId="40" fontId="6" fillId="0" borderId="17" xfId="0" applyNumberFormat="1" applyFont="1" applyBorder="1"/>
    <xf numFmtId="40" fontId="6" fillId="0" borderId="10" xfId="2" applyNumberFormat="1" applyFont="1" applyBorder="1"/>
    <xf numFmtId="40" fontId="6" fillId="0" borderId="10" xfId="1" applyNumberFormat="1" applyFont="1" applyBorder="1"/>
    <xf numFmtId="40" fontId="6" fillId="0" borderId="10" xfId="0" applyNumberFormat="1" applyFont="1" applyBorder="1"/>
    <xf numFmtId="40" fontId="6" fillId="0" borderId="20" xfId="2" applyNumberFormat="1" applyFont="1" applyBorder="1"/>
    <xf numFmtId="40" fontId="6" fillId="0" borderId="20" xfId="1" applyNumberFormat="1" applyFont="1" applyBorder="1"/>
    <xf numFmtId="40" fontId="6" fillId="0" borderId="20" xfId="0" applyNumberFormat="1" applyFont="1" applyBorder="1"/>
    <xf numFmtId="0" fontId="6" fillId="6" borderId="13" xfId="0" applyFont="1" applyFill="1" applyBorder="1"/>
    <xf numFmtId="0" fontId="2" fillId="5" borderId="0" xfId="0" applyFont="1" applyFill="1"/>
    <xf numFmtId="0" fontId="3" fillId="5" borderId="0" xfId="0" applyFont="1" applyFill="1"/>
    <xf numFmtId="0" fontId="2" fillId="0" borderId="27" xfId="0" applyFont="1" applyBorder="1" applyAlignment="1">
      <alignment horizontal="left" vertical="top"/>
    </xf>
    <xf numFmtId="0" fontId="2" fillId="0" borderId="1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166" fontId="6" fillId="0" borderId="42" xfId="1" applyNumberFormat="1" applyFont="1" applyBorder="1"/>
    <xf numFmtId="0" fontId="10" fillId="0" borderId="17" xfId="0" applyFont="1" applyBorder="1" applyAlignment="1">
      <alignment wrapText="1"/>
    </xf>
    <xf numFmtId="0" fontId="10" fillId="0" borderId="18" xfId="0" applyFont="1" applyBorder="1" applyAlignment="1">
      <alignment wrapText="1"/>
    </xf>
    <xf numFmtId="0" fontId="2" fillId="0" borderId="43" xfId="0" applyFont="1" applyBorder="1"/>
    <xf numFmtId="0" fontId="2" fillId="0" borderId="45" xfId="0" applyFont="1" applyBorder="1" applyAlignment="1">
      <alignment horizontal="center"/>
    </xf>
    <xf numFmtId="0" fontId="2" fillId="0" borderId="46" xfId="0" applyFont="1" applyBorder="1" applyAlignment="1">
      <alignment wrapText="1"/>
    </xf>
    <xf numFmtId="9" fontId="2" fillId="0" borderId="46" xfId="3" applyFont="1" applyBorder="1" applyAlignment="1">
      <alignment horizontal="center" wrapText="1"/>
    </xf>
    <xf numFmtId="9" fontId="10" fillId="0" borderId="46" xfId="3" applyFont="1" applyBorder="1" applyAlignment="1">
      <alignment horizontal="center" wrapText="1"/>
    </xf>
    <xf numFmtId="9" fontId="10" fillId="0" borderId="29" xfId="3" applyFont="1" applyBorder="1" applyAlignment="1">
      <alignment horizontal="center" wrapText="1"/>
    </xf>
    <xf numFmtId="0" fontId="2" fillId="0" borderId="16" xfId="0" applyFont="1" applyBorder="1" applyAlignment="1">
      <alignment horizontal="center" vertical="center"/>
    </xf>
    <xf numFmtId="9" fontId="2" fillId="0" borderId="17" xfId="0" applyNumberFormat="1" applyFont="1" applyBorder="1" applyAlignment="1">
      <alignment horizontal="left" vertical="center"/>
    </xf>
    <xf numFmtId="165" fontId="3" fillId="7" borderId="17" xfId="2" applyNumberFormat="1" applyFont="1" applyFill="1" applyBorder="1" applyAlignment="1">
      <alignment horizontal="center" vertical="center"/>
    </xf>
    <xf numFmtId="165" fontId="2" fillId="7" borderId="17" xfId="2" applyNumberFormat="1" applyFont="1" applyFill="1" applyBorder="1" applyAlignment="1">
      <alignment horizontal="center" vertical="center"/>
    </xf>
    <xf numFmtId="165" fontId="10" fillId="7" borderId="17" xfId="2" applyNumberFormat="1" applyFont="1" applyFill="1" applyBorder="1" applyAlignment="1">
      <alignment horizontal="center" vertical="center"/>
    </xf>
    <xf numFmtId="165" fontId="10" fillId="7" borderId="47" xfId="2" applyNumberFormat="1" applyFont="1" applyFill="1" applyBorder="1" applyAlignment="1">
      <alignment horizontal="center" vertical="center"/>
    </xf>
    <xf numFmtId="164" fontId="2" fillId="7" borderId="16" xfId="0" applyNumberFormat="1" applyFont="1" applyFill="1" applyBorder="1" applyAlignment="1" applyProtection="1">
      <alignment horizontal="center"/>
      <protection locked="0"/>
    </xf>
    <xf numFmtId="165" fontId="2" fillId="7" borderId="17" xfId="2" applyNumberFormat="1" applyFont="1" applyFill="1" applyBorder="1" applyAlignment="1">
      <alignment horizontal="center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48" xfId="0" applyFont="1" applyFill="1" applyBorder="1" applyAlignment="1" applyProtection="1">
      <alignment wrapText="1"/>
      <protection locked="0"/>
    </xf>
    <xf numFmtId="9" fontId="2" fillId="0" borderId="10" xfId="3" applyFont="1" applyBorder="1" applyAlignment="1">
      <alignment horizontal="right"/>
    </xf>
    <xf numFmtId="165" fontId="10" fillId="0" borderId="10" xfId="2" applyNumberFormat="1" applyFont="1" applyBorder="1" applyAlignment="1"/>
    <xf numFmtId="164" fontId="2" fillId="2" borderId="13" xfId="0" applyNumberFormat="1" applyFont="1" applyFill="1" applyBorder="1" applyAlignment="1" applyProtection="1">
      <alignment horizontal="center"/>
      <protection locked="0"/>
    </xf>
    <xf numFmtId="9" fontId="2" fillId="0" borderId="20" xfId="3" applyFont="1" applyBorder="1" applyAlignment="1">
      <alignment horizontal="right"/>
    </xf>
    <xf numFmtId="165" fontId="3" fillId="0" borderId="20" xfId="2" applyNumberFormat="1" applyFont="1" applyBorder="1" applyAlignment="1">
      <alignment horizontal="center"/>
    </xf>
    <xf numFmtId="165" fontId="2" fillId="0" borderId="20" xfId="2" applyNumberFormat="1" applyFont="1" applyBorder="1" applyAlignment="1"/>
    <xf numFmtId="165" fontId="10" fillId="0" borderId="20" xfId="2" applyNumberFormat="1" applyFont="1" applyBorder="1" applyAlignment="1"/>
    <xf numFmtId="164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42" xfId="0" applyFont="1" applyFill="1" applyBorder="1" applyAlignment="1" applyProtection="1">
      <alignment wrapText="1"/>
      <protection locked="0"/>
    </xf>
    <xf numFmtId="0" fontId="2" fillId="0" borderId="33" xfId="0" applyFont="1" applyBorder="1" applyAlignment="1">
      <alignment horizontal="center"/>
    </xf>
    <xf numFmtId="167" fontId="2" fillId="0" borderId="38" xfId="3" applyNumberFormat="1" applyFont="1" applyBorder="1" applyAlignment="1">
      <alignment horizontal="left"/>
    </xf>
    <xf numFmtId="165" fontId="2" fillId="0" borderId="25" xfId="2" applyNumberFormat="1" applyFont="1" applyBorder="1" applyAlignment="1">
      <alignment horizontal="center"/>
    </xf>
    <xf numFmtId="165" fontId="10" fillId="0" borderId="25" xfId="2" applyNumberFormat="1" applyFont="1" applyBorder="1" applyAlignment="1">
      <alignment horizontal="center"/>
    </xf>
    <xf numFmtId="165" fontId="10" fillId="0" borderId="31" xfId="2" applyNumberFormat="1" applyFont="1" applyBorder="1" applyAlignment="1">
      <alignment horizontal="center"/>
    </xf>
    <xf numFmtId="164" fontId="2" fillId="2" borderId="33" xfId="0" applyNumberFormat="1" applyFont="1" applyFill="1" applyBorder="1" applyAlignment="1" applyProtection="1">
      <alignment horizontal="center"/>
      <protection locked="0"/>
    </xf>
    <xf numFmtId="0" fontId="2" fillId="2" borderId="49" xfId="0" applyFont="1" applyFill="1" applyBorder="1" applyAlignment="1" applyProtection="1">
      <alignment wrapText="1"/>
      <protection locked="0"/>
    </xf>
    <xf numFmtId="0" fontId="2" fillId="2" borderId="50" xfId="0" applyFont="1" applyFill="1" applyBorder="1" applyAlignment="1" applyProtection="1">
      <alignment wrapText="1"/>
      <protection locked="0"/>
    </xf>
    <xf numFmtId="167" fontId="2" fillId="0" borderId="10" xfId="0" applyNumberFormat="1" applyFont="1" applyBorder="1" applyAlignment="1">
      <alignment horizontal="left" vertical="center"/>
    </xf>
    <xf numFmtId="165" fontId="10" fillId="0" borderId="10" xfId="2" applyNumberFormat="1" applyFont="1" applyBorder="1" applyAlignment="1">
      <alignment horizontal="center"/>
    </xf>
    <xf numFmtId="165" fontId="10" fillId="0" borderId="26" xfId="2" applyNumberFormat="1" applyFont="1" applyBorder="1" applyAlignment="1">
      <alignment horizontal="center"/>
    </xf>
    <xf numFmtId="9" fontId="2" fillId="0" borderId="10" xfId="3" applyFont="1" applyBorder="1" applyAlignment="1">
      <alignment horizontal="center"/>
    </xf>
    <xf numFmtId="164" fontId="2" fillId="2" borderId="40" xfId="0" applyNumberFormat="1" applyFont="1" applyFill="1" applyBorder="1" applyAlignment="1" applyProtection="1">
      <alignment horizontal="center"/>
      <protection locked="0"/>
    </xf>
    <xf numFmtId="9" fontId="2" fillId="0" borderId="25" xfId="0" applyNumberFormat="1" applyFont="1" applyBorder="1"/>
    <xf numFmtId="167" fontId="2" fillId="0" borderId="17" xfId="0" applyNumberFormat="1" applyFont="1" applyBorder="1" applyAlignment="1">
      <alignment horizontal="left" vertical="center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9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36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0" xfId="0" applyFont="1" applyAlignment="1">
      <alignment horizontal="justify" vertical="center" wrapText="1"/>
    </xf>
    <xf numFmtId="0" fontId="2" fillId="0" borderId="51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165" fontId="6" fillId="0" borderId="0" xfId="2" applyNumberFormat="1" applyFont="1"/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2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alnet.sharepoint.com/sites/P2PS2CProcesenApplicatie/Gedeelde%20documenten/General/6_Aanbesteding/03.%20Aanbestedingsdocumenten/Bijlagen/Beoordelingsmatrix%20bron%20reverse.xlsx" TargetMode="External"/><Relationship Id="rId1" Type="http://schemas.openxmlformats.org/officeDocument/2006/relationships/externalLinkPath" Target="/sites/P2PS2CProcesenApplicatie/Gedeelde%20documenten/General/6_Aanbesteding/03.%20Aanbestedingsdocumenten/Bijlagen/Beoordelingsmatrix%20bron%20rever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ITLEG"/>
      <sheetName val="Berekening"/>
      <sheetName val="Beoordelaar 1"/>
      <sheetName val="Beoordelaar 2"/>
      <sheetName val="Beoordelaar 3"/>
      <sheetName val="Beoordelaar 4"/>
      <sheetName val="Subtotaal"/>
      <sheetName val="TOTAAL NA"/>
      <sheetName val="Prijs"/>
    </sheetNames>
    <sheetDataSet>
      <sheetData sheetId="0"/>
      <sheetData sheetId="1">
        <row r="10">
          <cell r="E10">
            <v>1300992</v>
          </cell>
        </row>
        <row r="11">
          <cell r="E11">
            <v>232320</v>
          </cell>
        </row>
        <row r="12">
          <cell r="E12">
            <v>325248</v>
          </cell>
        </row>
        <row r="13">
          <cell r="F13">
            <v>371712</v>
          </cell>
        </row>
        <row r="14">
          <cell r="F14">
            <v>247808</v>
          </cell>
        </row>
      </sheetData>
      <sheetData sheetId="2"/>
      <sheetData sheetId="3"/>
      <sheetData sheetId="4"/>
      <sheetData sheetId="5"/>
      <sheetData sheetId="6"/>
      <sheetData sheetId="7">
        <row r="1">
          <cell r="E1" t="str">
            <v>Aanbesteding Source-to-Pay</v>
          </cell>
        </row>
        <row r="4">
          <cell r="K4" t="str">
            <v>Leverancier 1</v>
          </cell>
        </row>
        <row r="55">
          <cell r="K55" t="str">
            <v>Leverancier 4</v>
          </cell>
        </row>
      </sheetData>
      <sheetData sheetId="8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Erik Vermeeren" id="{5402C7DA-65E3-4D49-9064-361EA7E1BC2B}" userId="Erik Vermeeren" providerId="None"/>
</personList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6" dT="2024-06-05T06:05:15.97" personId="{5402C7DA-65E3-4D49-9064-361EA7E1BC2B}" id="{4D80AC79-7544-4BAA-8A81-C5FEF5994498}">
    <text>Deze waarde wordt niet gebruikt maar wel de totale waarde van dit onderdeel vanuit de subcriteria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7E417-FA01-4940-86B5-78E9C87EB1EB}">
  <dimension ref="A1:W72"/>
  <sheetViews>
    <sheetView tabSelected="1" zoomScaleNormal="100" workbookViewId="0">
      <selection activeCell="I13" sqref="I13"/>
    </sheetView>
  </sheetViews>
  <sheetFormatPr defaultColWidth="8.88671875" defaultRowHeight="13.2" x14ac:dyDescent="0.25"/>
  <cols>
    <col min="1" max="1" width="13.5546875" style="1" customWidth="1"/>
    <col min="2" max="2" width="3.5546875" style="1" customWidth="1"/>
    <col min="3" max="3" width="22.5546875" style="1" customWidth="1"/>
    <col min="4" max="4" width="10" style="1" customWidth="1"/>
    <col min="5" max="5" width="16.88671875" style="1" customWidth="1"/>
    <col min="6" max="6" width="12.88671875" style="1" customWidth="1"/>
    <col min="7" max="7" width="13.88671875" style="1" customWidth="1"/>
    <col min="8" max="10" width="12.88671875" style="1" customWidth="1"/>
    <col min="11" max="11" width="8.88671875" style="7"/>
    <col min="12" max="12" width="13.5546875" style="65" bestFit="1" customWidth="1"/>
    <col min="13" max="13" width="44.5546875" style="1" customWidth="1"/>
    <col min="14" max="14" width="55.5546875" style="1" customWidth="1"/>
    <col min="15" max="15" width="12.88671875" style="1" bestFit="1" customWidth="1"/>
    <col min="16" max="16" width="13.109375" style="1" customWidth="1"/>
    <col min="17" max="17" width="16.109375" style="1" customWidth="1"/>
    <col min="18" max="22" width="8.88671875" style="1"/>
    <col min="23" max="23" width="9.88671875" style="1" bestFit="1" customWidth="1"/>
    <col min="24" max="16384" width="8.88671875" style="1"/>
  </cols>
  <sheetData>
    <row r="1" spans="1:23" ht="17.399999999999999" x14ac:dyDescent="0.3">
      <c r="A1" s="18" t="str">
        <f ca="1">MID(CELL("bestandsnaam",A1),SEARCH("]",CELL("bestandsnaam",A1),1)+1,99)</f>
        <v>Beoordelaar 1</v>
      </c>
      <c r="G1" s="10" t="str">
        <f>'[1]TOTAAL NA'!E1</f>
        <v>Aanbesteding Source-to-Pay</v>
      </c>
      <c r="M1" s="10" t="s">
        <v>0</v>
      </c>
      <c r="W1" s="6">
        <v>0</v>
      </c>
    </row>
    <row r="2" spans="1:23" ht="13.8" thickBot="1" x14ac:dyDescent="0.3">
      <c r="W2" s="6">
        <v>0.25</v>
      </c>
    </row>
    <row r="3" spans="1:23" ht="15" customHeight="1" thickBot="1" x14ac:dyDescent="0.3">
      <c r="A3" s="87" t="s">
        <v>1</v>
      </c>
      <c r="B3" s="86"/>
      <c r="C3" s="86"/>
      <c r="D3" s="86"/>
      <c r="F3" s="150" t="s">
        <v>2</v>
      </c>
      <c r="G3" s="150"/>
      <c r="H3" s="150"/>
      <c r="I3" s="150"/>
      <c r="J3" s="151"/>
      <c r="K3" s="141" t="str">
        <f>'[1]TOTAAL NA'!K4</f>
        <v>Leverancier 1</v>
      </c>
      <c r="L3" s="142"/>
      <c r="M3" s="142"/>
      <c r="N3" s="143"/>
      <c r="R3" s="144"/>
      <c r="S3" s="144"/>
    </row>
    <row r="4" spans="1:23" ht="13.8" thickBot="1" x14ac:dyDescent="0.3">
      <c r="A4" s="8" t="s">
        <v>3</v>
      </c>
      <c r="B4" s="146" t="s">
        <v>4</v>
      </c>
      <c r="C4" s="146"/>
      <c r="D4" s="89"/>
      <c r="E4" s="25" t="s">
        <v>5</v>
      </c>
      <c r="F4" s="25" t="s">
        <v>6</v>
      </c>
      <c r="G4" s="25" t="s">
        <v>7</v>
      </c>
      <c r="H4" s="93" t="s">
        <v>8</v>
      </c>
      <c r="I4" s="93" t="s">
        <v>9</v>
      </c>
      <c r="J4" s="94" t="s">
        <v>10</v>
      </c>
      <c r="K4" s="91" t="s">
        <v>11</v>
      </c>
      <c r="L4" s="66" t="s">
        <v>12</v>
      </c>
      <c r="M4" s="26" t="s">
        <v>13</v>
      </c>
      <c r="N4" s="14" t="s">
        <v>14</v>
      </c>
    </row>
    <row r="5" spans="1:23" ht="13.8" thickBot="1" x14ac:dyDescent="0.3">
      <c r="A5" s="95"/>
      <c r="B5" s="148"/>
      <c r="C5" s="149"/>
      <c r="D5" s="96"/>
      <c r="E5" s="97"/>
      <c r="F5" s="98">
        <v>0.25</v>
      </c>
      <c r="G5" s="98">
        <v>0.15</v>
      </c>
      <c r="H5" s="99">
        <v>0</v>
      </c>
      <c r="I5" s="99">
        <v>-0.6</v>
      </c>
      <c r="J5" s="100">
        <v>-1</v>
      </c>
      <c r="K5" s="90"/>
      <c r="L5" s="66"/>
      <c r="M5" s="26"/>
      <c r="N5" s="14"/>
    </row>
    <row r="6" spans="1:23" x14ac:dyDescent="0.25">
      <c r="A6" s="101" t="s">
        <v>15</v>
      </c>
      <c r="B6" s="147" t="s">
        <v>35</v>
      </c>
      <c r="C6" s="147"/>
      <c r="D6" s="102">
        <v>0.7</v>
      </c>
      <c r="E6" s="103">
        <f>[1]Berekening!$E$10</f>
        <v>1300992</v>
      </c>
      <c r="F6" s="104">
        <f>F5*$E$6</f>
        <v>325248</v>
      </c>
      <c r="G6" s="104">
        <f>$G$5*$E$6</f>
        <v>195148.79999999999</v>
      </c>
      <c r="H6" s="105">
        <f>$H$5*E6</f>
        <v>0</v>
      </c>
      <c r="I6" s="105">
        <f>I5*$E$6</f>
        <v>-780595.19999999995</v>
      </c>
      <c r="J6" s="106">
        <f>J5*$E$6</f>
        <v>-1300992</v>
      </c>
      <c r="K6" s="107"/>
      <c r="L6" s="108"/>
      <c r="M6" s="109"/>
      <c r="N6" s="110"/>
    </row>
    <row r="7" spans="1:23" ht="14.4" customHeight="1" x14ac:dyDescent="0.25">
      <c r="A7" s="69"/>
      <c r="B7" s="145" t="s">
        <v>16</v>
      </c>
      <c r="C7" s="145"/>
      <c r="D7" s="111">
        <v>0.2</v>
      </c>
      <c r="E7" s="28">
        <f>E6*D7</f>
        <v>260198.40000000002</v>
      </c>
      <c r="F7" s="64">
        <f>D7*F6</f>
        <v>65049.600000000006</v>
      </c>
      <c r="G7" s="64">
        <f>D7*$G$6</f>
        <v>39029.760000000002</v>
      </c>
      <c r="H7" s="112">
        <f>D7*$H$6</f>
        <v>0</v>
      </c>
      <c r="I7" s="112">
        <f>D7*$I$6</f>
        <v>-156119.04000000001</v>
      </c>
      <c r="J7" s="112">
        <f>D7*$J$6</f>
        <v>-260198.40000000002</v>
      </c>
      <c r="K7" s="113">
        <v>0.75</v>
      </c>
      <c r="L7" s="20">
        <f t="shared" ref="L7:L16" si="0">IF(K7=0.25,G7,IF(K7=0,F7,IF(K7=0.75,I7,IF(K7=0.5,H7,IF(K7=1,J7,"fout")))))</f>
        <v>-156119.04000000001</v>
      </c>
      <c r="M7" s="29"/>
      <c r="N7" s="29"/>
    </row>
    <row r="8" spans="1:23" ht="25.95" customHeight="1" x14ac:dyDescent="0.25">
      <c r="A8" s="69"/>
      <c r="B8" s="145" t="s">
        <v>17</v>
      </c>
      <c r="C8" s="145"/>
      <c r="D8" s="111">
        <v>0.1</v>
      </c>
      <c r="E8" s="28">
        <f>E6*D8</f>
        <v>130099.20000000001</v>
      </c>
      <c r="F8" s="64">
        <f>D8*F6</f>
        <v>32524.800000000003</v>
      </c>
      <c r="G8" s="64">
        <f t="shared" ref="G8:G12" si="1">D8*$G$6</f>
        <v>19514.88</v>
      </c>
      <c r="H8" s="112">
        <f t="shared" ref="H8:H12" si="2">D8*$H$6</f>
        <v>0</v>
      </c>
      <c r="I8" s="112">
        <f t="shared" ref="I8:I12" si="3">D8*$I$6</f>
        <v>-78059.520000000004</v>
      </c>
      <c r="J8" s="112">
        <f t="shared" ref="J8:J12" si="4">D8*$J$6</f>
        <v>-130099.20000000001</v>
      </c>
      <c r="K8" s="113">
        <v>0.75</v>
      </c>
      <c r="L8" s="20">
        <f t="shared" si="0"/>
        <v>-78059.520000000004</v>
      </c>
      <c r="M8" s="29"/>
      <c r="N8" s="29"/>
    </row>
    <row r="9" spans="1:23" ht="14.4" customHeight="1" x14ac:dyDescent="0.25">
      <c r="A9" s="69"/>
      <c r="B9" s="138" t="s">
        <v>18</v>
      </c>
      <c r="C9" s="138"/>
      <c r="D9" s="111">
        <v>0.2</v>
      </c>
      <c r="E9" s="28">
        <f>E6*D9</f>
        <v>260198.40000000002</v>
      </c>
      <c r="F9" s="64">
        <f>D9*$F$6</f>
        <v>65049.600000000006</v>
      </c>
      <c r="G9" s="64">
        <f t="shared" si="1"/>
        <v>39029.760000000002</v>
      </c>
      <c r="H9" s="112">
        <f t="shared" si="2"/>
        <v>0</v>
      </c>
      <c r="I9" s="112">
        <f t="shared" si="3"/>
        <v>-156119.04000000001</v>
      </c>
      <c r="J9" s="112">
        <f t="shared" si="4"/>
        <v>-260198.40000000002</v>
      </c>
      <c r="K9" s="113">
        <v>0.75</v>
      </c>
      <c r="L9" s="20">
        <f t="shared" si="0"/>
        <v>-156119.04000000001</v>
      </c>
      <c r="M9" s="29"/>
      <c r="N9" s="29"/>
    </row>
    <row r="10" spans="1:23" ht="14.4" customHeight="1" x14ac:dyDescent="0.25">
      <c r="A10" s="69"/>
      <c r="B10" s="138" t="s">
        <v>19</v>
      </c>
      <c r="C10" s="138"/>
      <c r="D10" s="111">
        <v>0.3</v>
      </c>
      <c r="E10" s="28">
        <f>E6*D10</f>
        <v>390297.59999999998</v>
      </c>
      <c r="F10" s="64">
        <f t="shared" ref="F10:F12" si="5">D10*$F$6</f>
        <v>97574.399999999994</v>
      </c>
      <c r="G10" s="64">
        <f t="shared" si="1"/>
        <v>58544.639999999992</v>
      </c>
      <c r="H10" s="112">
        <f t="shared" si="2"/>
        <v>0</v>
      </c>
      <c r="I10" s="112">
        <f t="shared" si="3"/>
        <v>-234178.55999999997</v>
      </c>
      <c r="J10" s="112">
        <f t="shared" si="4"/>
        <v>-390297.59999999998</v>
      </c>
      <c r="K10" s="113">
        <v>0.75</v>
      </c>
      <c r="L10" s="20">
        <f t="shared" si="0"/>
        <v>-234178.55999999997</v>
      </c>
      <c r="M10" s="29"/>
      <c r="N10" s="29"/>
    </row>
    <row r="11" spans="1:23" ht="14.4" customHeight="1" x14ac:dyDescent="0.25">
      <c r="A11" s="69"/>
      <c r="B11" s="138" t="s">
        <v>20</v>
      </c>
      <c r="C11" s="138"/>
      <c r="D11" s="111">
        <v>0.1</v>
      </c>
      <c r="E11" s="28">
        <f>E6*D11</f>
        <v>130099.20000000001</v>
      </c>
      <c r="F11" s="64">
        <f t="shared" si="5"/>
        <v>32524.800000000003</v>
      </c>
      <c r="G11" s="64">
        <f t="shared" si="1"/>
        <v>19514.88</v>
      </c>
      <c r="H11" s="112">
        <f t="shared" si="2"/>
        <v>0</v>
      </c>
      <c r="I11" s="112">
        <f t="shared" si="3"/>
        <v>-78059.520000000004</v>
      </c>
      <c r="J11" s="112">
        <f t="shared" si="4"/>
        <v>-130099.20000000001</v>
      </c>
      <c r="K11" s="113">
        <v>0.75</v>
      </c>
      <c r="L11" s="20">
        <f t="shared" si="0"/>
        <v>-78059.520000000004</v>
      </c>
      <c r="M11" s="29"/>
      <c r="N11" s="29"/>
    </row>
    <row r="12" spans="1:23" ht="14.4" customHeight="1" thickBot="1" x14ac:dyDescent="0.3">
      <c r="A12" s="3"/>
      <c r="B12" s="139" t="s">
        <v>21</v>
      </c>
      <c r="C12" s="139"/>
      <c r="D12" s="114">
        <v>0.1</v>
      </c>
      <c r="E12" s="115">
        <f>E6*D12</f>
        <v>130099.20000000001</v>
      </c>
      <c r="F12" s="116">
        <f t="shared" si="5"/>
        <v>32524.800000000003</v>
      </c>
      <c r="G12" s="116">
        <f t="shared" si="1"/>
        <v>19514.88</v>
      </c>
      <c r="H12" s="117">
        <f t="shared" si="2"/>
        <v>0</v>
      </c>
      <c r="I12" s="117">
        <f t="shared" si="3"/>
        <v>-78059.520000000004</v>
      </c>
      <c r="J12" s="117">
        <f t="shared" si="4"/>
        <v>-130099.20000000001</v>
      </c>
      <c r="K12" s="113">
        <v>0.75</v>
      </c>
      <c r="L12" s="27">
        <f t="shared" si="0"/>
        <v>-78059.520000000004</v>
      </c>
      <c r="M12" s="119"/>
      <c r="N12" s="31"/>
    </row>
    <row r="13" spans="1:23" x14ac:dyDescent="0.25">
      <c r="A13" s="120" t="s">
        <v>22</v>
      </c>
      <c r="B13" s="140" t="s">
        <v>38</v>
      </c>
      <c r="C13" s="140"/>
      <c r="D13" s="121">
        <v>0.125</v>
      </c>
      <c r="E13" s="57">
        <f>[1]Berekening!$E$11</f>
        <v>232320</v>
      </c>
      <c r="F13" s="122">
        <f>$F$5*E13</f>
        <v>58080</v>
      </c>
      <c r="G13" s="122">
        <f>$G$5*$E$13</f>
        <v>34848</v>
      </c>
      <c r="H13" s="123">
        <f>$H$5*E13</f>
        <v>0</v>
      </c>
      <c r="I13" s="123">
        <f>I5*$E$13</f>
        <v>-139392</v>
      </c>
      <c r="J13" s="124">
        <f>$J$5*E13</f>
        <v>-232320</v>
      </c>
      <c r="K13" s="125">
        <v>0.5</v>
      </c>
      <c r="L13" s="122">
        <f t="shared" si="0"/>
        <v>0</v>
      </c>
      <c r="M13" s="126"/>
      <c r="N13" s="127"/>
    </row>
    <row r="14" spans="1:23" x14ac:dyDescent="0.25">
      <c r="A14" s="22" t="s">
        <v>23</v>
      </c>
      <c r="B14" s="137" t="s">
        <v>41</v>
      </c>
      <c r="C14" s="137"/>
      <c r="D14" s="128">
        <v>0.17499999999999999</v>
      </c>
      <c r="E14" s="28">
        <f>[1]Berekening!$E$12</f>
        <v>325248</v>
      </c>
      <c r="F14" s="20">
        <f>$F$5*E14</f>
        <v>81312</v>
      </c>
      <c r="G14" s="20">
        <f>$G$5*$E$14</f>
        <v>48787.199999999997</v>
      </c>
      <c r="H14" s="129">
        <f>$H$5*E14</f>
        <v>0</v>
      </c>
      <c r="I14" s="129">
        <f>I5*$E$14</f>
        <v>-195148.79999999999</v>
      </c>
      <c r="J14" s="130">
        <f>$J$5*E14</f>
        <v>-325248</v>
      </c>
      <c r="K14" s="113">
        <v>0</v>
      </c>
      <c r="L14" s="20">
        <f t="shared" si="0"/>
        <v>81312</v>
      </c>
      <c r="M14" s="29"/>
      <c r="N14" s="30"/>
    </row>
    <row r="15" spans="1:23" ht="14.4" customHeight="1" x14ac:dyDescent="0.25">
      <c r="A15" s="22" t="s">
        <v>24</v>
      </c>
      <c r="B15" s="135" t="s">
        <v>43</v>
      </c>
      <c r="C15" s="136"/>
      <c r="D15" s="131"/>
      <c r="E15" s="28">
        <f>[1]Berekening!$F$13</f>
        <v>371712</v>
      </c>
      <c r="F15" s="63">
        <f>$F$5*E15</f>
        <v>92928</v>
      </c>
      <c r="G15" s="20">
        <f>$G$5*$E$15</f>
        <v>55756.799999999996</v>
      </c>
      <c r="H15" s="129">
        <f>$H$5*E15</f>
        <v>0</v>
      </c>
      <c r="I15" s="129">
        <f>I5*$E$15</f>
        <v>-223027.19999999998</v>
      </c>
      <c r="J15" s="130">
        <f>$J$5*E15</f>
        <v>-371712</v>
      </c>
      <c r="K15" s="113">
        <v>0.25</v>
      </c>
      <c r="L15" s="20">
        <f t="shared" si="0"/>
        <v>55756.799999999996</v>
      </c>
      <c r="M15" s="29"/>
      <c r="N15" s="30"/>
    </row>
    <row r="16" spans="1:23" ht="14.4" customHeight="1" thickBot="1" x14ac:dyDescent="0.3">
      <c r="A16" s="22" t="s">
        <v>25</v>
      </c>
      <c r="B16" s="135" t="s">
        <v>44</v>
      </c>
      <c r="C16" s="136"/>
      <c r="D16" s="131"/>
      <c r="E16" s="28">
        <f>[1]Berekening!$F$14</f>
        <v>247808</v>
      </c>
      <c r="F16" s="64">
        <f>$F$5*E16</f>
        <v>61952</v>
      </c>
      <c r="G16" s="20">
        <f>$G$5*$E$16</f>
        <v>37171.199999999997</v>
      </c>
      <c r="H16" s="129">
        <f>$H$5*E16</f>
        <v>0</v>
      </c>
      <c r="I16" s="129">
        <f>I5*E16</f>
        <v>-148684.79999999999</v>
      </c>
      <c r="J16" s="130">
        <f>$J$5*E16</f>
        <v>-247808</v>
      </c>
      <c r="K16" s="132">
        <v>1</v>
      </c>
      <c r="L16" s="67">
        <f t="shared" si="0"/>
        <v>-247808</v>
      </c>
      <c r="M16" s="68"/>
      <c r="N16" s="31"/>
    </row>
    <row r="17" spans="1:23" ht="15" customHeight="1" thickBot="1" x14ac:dyDescent="0.3">
      <c r="C17" s="24" t="s">
        <v>26</v>
      </c>
      <c r="D17" s="133"/>
      <c r="E17" s="57">
        <f>SUM(E7:E16)</f>
        <v>2478080</v>
      </c>
      <c r="F17" s="23"/>
      <c r="G17" s="23"/>
      <c r="H17" s="23"/>
      <c r="I17" s="23"/>
      <c r="J17" s="23"/>
      <c r="K17" s="152"/>
      <c r="L17" s="153"/>
      <c r="M17" s="154"/>
      <c r="N17" s="158"/>
      <c r="O17" s="17" t="s">
        <v>27</v>
      </c>
      <c r="P17" s="4" t="s">
        <v>28</v>
      </c>
      <c r="Q17" s="4" t="s">
        <v>29</v>
      </c>
      <c r="R17" s="39" t="s">
        <v>30</v>
      </c>
      <c r="S17" s="39"/>
      <c r="W17" s="13"/>
    </row>
    <row r="18" spans="1:23" ht="14.4" customHeight="1" thickBot="1" x14ac:dyDescent="0.3">
      <c r="E18" s="7"/>
      <c r="F18" s="7"/>
      <c r="G18" s="7"/>
      <c r="H18" s="7"/>
      <c r="I18" s="7"/>
      <c r="J18" s="7"/>
      <c r="K18" s="155"/>
      <c r="L18" s="156"/>
      <c r="M18" s="157"/>
      <c r="N18" s="151"/>
      <c r="O18" s="21">
        <f>SUM(L7:L14)</f>
        <v>-699283.2</v>
      </c>
      <c r="P18" s="34">
        <f>L15+L16</f>
        <v>-192051.20000000001</v>
      </c>
      <c r="Q18" s="35">
        <f>O18+P18</f>
        <v>-891334.39999999991</v>
      </c>
      <c r="R18" s="5">
        <f>RANK(Q18, $Q$18:$Q$162,1)</f>
        <v>1</v>
      </c>
      <c r="S18" s="39"/>
    </row>
    <row r="20" spans="1:23" ht="13.8" thickBot="1" x14ac:dyDescent="0.3"/>
    <row r="21" spans="1:23" ht="15" customHeight="1" thickBot="1" x14ac:dyDescent="0.3">
      <c r="K21" s="159" t="e">
        <f>'[1]TOTAAL NA'!#REF!</f>
        <v>#REF!</v>
      </c>
      <c r="L21" s="160"/>
      <c r="M21" s="160"/>
      <c r="N21" s="161"/>
      <c r="R21" s="144"/>
      <c r="S21" s="144"/>
    </row>
    <row r="22" spans="1:23" ht="13.8" thickBot="1" x14ac:dyDescent="0.3">
      <c r="A22" s="8" t="s">
        <v>3</v>
      </c>
      <c r="B22" s="146" t="s">
        <v>4</v>
      </c>
      <c r="C22" s="146"/>
      <c r="D22" s="89"/>
      <c r="E22" s="25" t="s">
        <v>5</v>
      </c>
      <c r="F22" s="25" t="s">
        <v>6</v>
      </c>
      <c r="G22" s="25" t="s">
        <v>7</v>
      </c>
      <c r="H22" s="25" t="s">
        <v>8</v>
      </c>
      <c r="I22" s="25" t="s">
        <v>9</v>
      </c>
      <c r="J22" s="9" t="s">
        <v>10</v>
      </c>
      <c r="K22" s="91" t="s">
        <v>11</v>
      </c>
      <c r="L22" s="66" t="s">
        <v>12</v>
      </c>
      <c r="M22" s="26" t="s">
        <v>13</v>
      </c>
      <c r="N22" s="14" t="s">
        <v>14</v>
      </c>
    </row>
    <row r="23" spans="1:23" ht="13.8" thickBot="1" x14ac:dyDescent="0.3">
      <c r="A23" s="95"/>
      <c r="B23" s="148"/>
      <c r="C23" s="149"/>
      <c r="D23" s="96"/>
      <c r="E23" s="97"/>
      <c r="F23" s="98">
        <v>0.25</v>
      </c>
      <c r="G23" s="98">
        <v>0.15</v>
      </c>
      <c r="H23" s="98">
        <v>0</v>
      </c>
      <c r="I23" s="99">
        <v>-0.6</v>
      </c>
      <c r="J23" s="100">
        <v>-1</v>
      </c>
      <c r="K23" s="90"/>
      <c r="L23" s="66"/>
      <c r="M23" s="26"/>
      <c r="N23" s="14"/>
    </row>
    <row r="24" spans="1:23" x14ac:dyDescent="0.25">
      <c r="A24" s="101" t="s">
        <v>15</v>
      </c>
      <c r="B24" s="147" t="str">
        <f>$B$6</f>
        <v>Demo / use cases</v>
      </c>
      <c r="C24" s="147"/>
      <c r="D24" s="102">
        <v>0.7</v>
      </c>
      <c r="E24" s="103">
        <f>[1]Berekening!$E$10</f>
        <v>1300992</v>
      </c>
      <c r="F24" s="104">
        <f>F23*$E$6</f>
        <v>325248</v>
      </c>
      <c r="G24" s="104">
        <f>$G$5*$E$6</f>
        <v>195148.79999999999</v>
      </c>
      <c r="H24" s="104">
        <f>$H$5*E24</f>
        <v>0</v>
      </c>
      <c r="I24" s="105">
        <f>I23*$E$6</f>
        <v>-780595.19999999995</v>
      </c>
      <c r="J24" s="106">
        <f>J23*$E$6</f>
        <v>-1300992</v>
      </c>
      <c r="K24" s="107"/>
      <c r="L24" s="108"/>
      <c r="M24" s="109"/>
      <c r="N24" s="110"/>
    </row>
    <row r="25" spans="1:23" x14ac:dyDescent="0.25">
      <c r="A25" s="69"/>
      <c r="B25" s="145" t="s">
        <v>16</v>
      </c>
      <c r="C25" s="145"/>
      <c r="D25" s="111">
        <v>0.2</v>
      </c>
      <c r="E25" s="28">
        <f>E24*D25</f>
        <v>260198.40000000002</v>
      </c>
      <c r="F25" s="64">
        <f>D25*F24</f>
        <v>65049.600000000006</v>
      </c>
      <c r="G25" s="64">
        <f>D25*$G$6</f>
        <v>39029.760000000002</v>
      </c>
      <c r="H25" s="64">
        <f>D25*$H$6</f>
        <v>0</v>
      </c>
      <c r="I25" s="112">
        <f>D25*$I$6</f>
        <v>-156119.04000000001</v>
      </c>
      <c r="J25" s="112">
        <f>D25*$J$6</f>
        <v>-260198.40000000002</v>
      </c>
      <c r="K25" s="113">
        <v>0.25</v>
      </c>
      <c r="L25" s="20">
        <f t="shared" ref="L25:L34" si="6">IF(K25=0.25,G25,IF(K25=0,F25,IF(K25=0.75,I25,IF(K25=0.5,H25,IF(K25=1,J25,"fout")))))</f>
        <v>39029.760000000002</v>
      </c>
      <c r="M25" s="29"/>
      <c r="N25" s="29"/>
    </row>
    <row r="26" spans="1:23" x14ac:dyDescent="0.25">
      <c r="A26" s="69"/>
      <c r="B26" s="145" t="s">
        <v>17</v>
      </c>
      <c r="C26" s="145"/>
      <c r="D26" s="111">
        <v>0.1</v>
      </c>
      <c r="E26" s="28">
        <f>E24*D26</f>
        <v>130099.20000000001</v>
      </c>
      <c r="F26" s="64">
        <f>D26*F24</f>
        <v>32524.800000000003</v>
      </c>
      <c r="G26" s="64">
        <f t="shared" ref="G26:G30" si="7">D26*$G$6</f>
        <v>19514.88</v>
      </c>
      <c r="H26" s="64">
        <f t="shared" ref="H26:H30" si="8">D26*$H$6</f>
        <v>0</v>
      </c>
      <c r="I26" s="112">
        <f t="shared" ref="I26:I30" si="9">D26*$I$6</f>
        <v>-78059.520000000004</v>
      </c>
      <c r="J26" s="112">
        <f t="shared" ref="J26:J30" si="10">D26*$J$6</f>
        <v>-130099.20000000001</v>
      </c>
      <c r="K26" s="113">
        <v>0.25</v>
      </c>
      <c r="L26" s="20">
        <f t="shared" si="6"/>
        <v>19514.88</v>
      </c>
      <c r="M26" s="29"/>
      <c r="N26" s="29"/>
    </row>
    <row r="27" spans="1:23" x14ac:dyDescent="0.25">
      <c r="A27" s="69"/>
      <c r="B27" s="138" t="s">
        <v>18</v>
      </c>
      <c r="C27" s="138"/>
      <c r="D27" s="111">
        <v>0.2</v>
      </c>
      <c r="E27" s="28">
        <f>E24*D27</f>
        <v>260198.40000000002</v>
      </c>
      <c r="F27" s="64">
        <f>D27*$F$6</f>
        <v>65049.600000000006</v>
      </c>
      <c r="G27" s="64">
        <f t="shared" si="7"/>
        <v>39029.760000000002</v>
      </c>
      <c r="H27" s="64">
        <f t="shared" si="8"/>
        <v>0</v>
      </c>
      <c r="I27" s="112">
        <f t="shared" si="9"/>
        <v>-156119.04000000001</v>
      </c>
      <c r="J27" s="112">
        <f t="shared" si="10"/>
        <v>-260198.40000000002</v>
      </c>
      <c r="K27" s="113">
        <v>0.75</v>
      </c>
      <c r="L27" s="20">
        <f t="shared" si="6"/>
        <v>-156119.04000000001</v>
      </c>
      <c r="M27" s="29"/>
      <c r="N27" s="29"/>
    </row>
    <row r="28" spans="1:23" x14ac:dyDescent="0.25">
      <c r="A28" s="69"/>
      <c r="B28" s="138" t="s">
        <v>19</v>
      </c>
      <c r="C28" s="138"/>
      <c r="D28" s="111">
        <v>0.3</v>
      </c>
      <c r="E28" s="28">
        <f>E24*D28</f>
        <v>390297.59999999998</v>
      </c>
      <c r="F28" s="64">
        <f t="shared" ref="F28:F30" si="11">D28*$F$6</f>
        <v>97574.399999999994</v>
      </c>
      <c r="G28" s="64">
        <f t="shared" si="7"/>
        <v>58544.639999999992</v>
      </c>
      <c r="H28" s="64">
        <f t="shared" si="8"/>
        <v>0</v>
      </c>
      <c r="I28" s="112">
        <f t="shared" si="9"/>
        <v>-234178.55999999997</v>
      </c>
      <c r="J28" s="112">
        <f t="shared" si="10"/>
        <v>-390297.59999999998</v>
      </c>
      <c r="K28" s="113">
        <v>0.75</v>
      </c>
      <c r="L28" s="20">
        <f t="shared" si="6"/>
        <v>-234178.55999999997</v>
      </c>
      <c r="M28" s="29"/>
      <c r="N28" s="29"/>
    </row>
    <row r="29" spans="1:23" x14ac:dyDescent="0.25">
      <c r="A29" s="69"/>
      <c r="B29" s="138" t="s">
        <v>20</v>
      </c>
      <c r="C29" s="138"/>
      <c r="D29" s="111">
        <v>0.1</v>
      </c>
      <c r="E29" s="28">
        <f>E24*D29</f>
        <v>130099.20000000001</v>
      </c>
      <c r="F29" s="64">
        <f t="shared" si="11"/>
        <v>32524.800000000003</v>
      </c>
      <c r="G29" s="64">
        <f t="shared" si="7"/>
        <v>19514.88</v>
      </c>
      <c r="H29" s="64">
        <f t="shared" si="8"/>
        <v>0</v>
      </c>
      <c r="I29" s="112">
        <f t="shared" si="9"/>
        <v>-78059.520000000004</v>
      </c>
      <c r="J29" s="112">
        <f t="shared" si="10"/>
        <v>-130099.20000000001</v>
      </c>
      <c r="K29" s="113">
        <v>0.5</v>
      </c>
      <c r="L29" s="20">
        <f t="shared" si="6"/>
        <v>0</v>
      </c>
      <c r="M29" s="29"/>
      <c r="N29" s="29"/>
    </row>
    <row r="30" spans="1:23" ht="13.8" thickBot="1" x14ac:dyDescent="0.3">
      <c r="A30" s="3"/>
      <c r="B30" s="139" t="s">
        <v>21</v>
      </c>
      <c r="C30" s="139"/>
      <c r="D30" s="114">
        <v>0.1</v>
      </c>
      <c r="E30" s="115">
        <f>E24*D30</f>
        <v>130099.20000000001</v>
      </c>
      <c r="F30" s="116">
        <f t="shared" si="11"/>
        <v>32524.800000000003</v>
      </c>
      <c r="G30" s="116">
        <f t="shared" si="7"/>
        <v>19514.88</v>
      </c>
      <c r="H30" s="116">
        <f t="shared" si="8"/>
        <v>0</v>
      </c>
      <c r="I30" s="117">
        <f t="shared" si="9"/>
        <v>-78059.520000000004</v>
      </c>
      <c r="J30" s="117">
        <f t="shared" si="10"/>
        <v>-130099.20000000001</v>
      </c>
      <c r="K30" s="118">
        <v>1</v>
      </c>
      <c r="L30" s="27">
        <f t="shared" si="6"/>
        <v>-130099.20000000001</v>
      </c>
      <c r="M30" s="119"/>
      <c r="N30" s="31"/>
    </row>
    <row r="31" spans="1:23" ht="13.8" thickBot="1" x14ac:dyDescent="0.3">
      <c r="A31" s="120" t="s">
        <v>22</v>
      </c>
      <c r="B31" s="140" t="str">
        <f>$B$13</f>
        <v>Implementatie en aanpak</v>
      </c>
      <c r="C31" s="140"/>
      <c r="D31" s="134">
        <v>0.125</v>
      </c>
      <c r="E31" s="57">
        <f>[1]Berekening!$E$11</f>
        <v>232320</v>
      </c>
      <c r="F31" s="122">
        <f>$F$5*E31</f>
        <v>58080</v>
      </c>
      <c r="G31" s="122">
        <f>$G$5*$E$13</f>
        <v>34848</v>
      </c>
      <c r="H31" s="122">
        <f>$H$5*E31</f>
        <v>0</v>
      </c>
      <c r="I31" s="123">
        <f>I23*$E$13</f>
        <v>-139392</v>
      </c>
      <c r="J31" s="124">
        <f>$J$5*E31</f>
        <v>-232320</v>
      </c>
      <c r="K31" s="125">
        <v>0.5</v>
      </c>
      <c r="L31" s="122">
        <f t="shared" si="6"/>
        <v>0</v>
      </c>
      <c r="M31" s="126"/>
      <c r="N31" s="127"/>
    </row>
    <row r="32" spans="1:23" x14ac:dyDescent="0.25">
      <c r="A32" s="22" t="s">
        <v>23</v>
      </c>
      <c r="B32" s="137" t="str">
        <f>$B$14</f>
        <v>Werkwijze koppelingen</v>
      </c>
      <c r="C32" s="137"/>
      <c r="D32" s="134">
        <v>0.17499999999999999</v>
      </c>
      <c r="E32" s="28">
        <f>[1]Berekening!$E$12</f>
        <v>325248</v>
      </c>
      <c r="F32" s="20">
        <f>$F$5*E32</f>
        <v>81312</v>
      </c>
      <c r="G32" s="20">
        <f>$G$5*$E$14</f>
        <v>48787.199999999997</v>
      </c>
      <c r="H32" s="20">
        <f>$H$5*E32</f>
        <v>0</v>
      </c>
      <c r="I32" s="129">
        <f>I23*$E$14</f>
        <v>-195148.79999999999</v>
      </c>
      <c r="J32" s="130">
        <f>$J$5*E32</f>
        <v>-325248</v>
      </c>
      <c r="K32" s="113">
        <v>0.75</v>
      </c>
      <c r="L32" s="20">
        <f t="shared" si="6"/>
        <v>-195148.79999999999</v>
      </c>
      <c r="M32" s="29"/>
      <c r="N32" s="30"/>
    </row>
    <row r="33" spans="1:19" x14ac:dyDescent="0.25">
      <c r="A33" s="22" t="s">
        <v>24</v>
      </c>
      <c r="B33" s="135" t="str">
        <f>$B$15</f>
        <v>MVOI vraag 1 (60%)</v>
      </c>
      <c r="C33" s="136"/>
      <c r="D33" s="88"/>
      <c r="E33" s="28">
        <f>[1]Berekening!$F$13</f>
        <v>371712</v>
      </c>
      <c r="F33" s="63">
        <f>$F$5*E33</f>
        <v>92928</v>
      </c>
      <c r="G33" s="20">
        <f>$G$5*$E$15</f>
        <v>55756.799999999996</v>
      </c>
      <c r="H33" s="20">
        <f>$H$5*E33</f>
        <v>0</v>
      </c>
      <c r="I33" s="129">
        <f>I23*$E$15</f>
        <v>-223027.19999999998</v>
      </c>
      <c r="J33" s="130">
        <f>$J$5*E33</f>
        <v>-371712</v>
      </c>
      <c r="K33" s="113">
        <v>0.25</v>
      </c>
      <c r="L33" s="20">
        <f t="shared" si="6"/>
        <v>55756.799999999996</v>
      </c>
      <c r="M33" s="29"/>
      <c r="N33" s="30"/>
    </row>
    <row r="34" spans="1:19" ht="13.8" thickBot="1" x14ac:dyDescent="0.3">
      <c r="A34" s="22" t="s">
        <v>25</v>
      </c>
      <c r="B34" s="135" t="str">
        <f>$B$16</f>
        <v>MVOI vraag 2 (40%)</v>
      </c>
      <c r="C34" s="136"/>
      <c r="D34" s="88"/>
      <c r="E34" s="28">
        <f>[1]Berekening!$F$14</f>
        <v>247808</v>
      </c>
      <c r="F34" s="64">
        <f>$F$5*E34</f>
        <v>61952</v>
      </c>
      <c r="G34" s="20">
        <f>$G$5*$E$16</f>
        <v>37171.199999999997</v>
      </c>
      <c r="H34" s="20">
        <f>$H$5*E34</f>
        <v>0</v>
      </c>
      <c r="I34" s="129">
        <f>I23*E34</f>
        <v>-148684.79999999999</v>
      </c>
      <c r="J34" s="130">
        <f>$J$5*E34</f>
        <v>-247808</v>
      </c>
      <c r="K34" s="132">
        <v>0.25</v>
      </c>
      <c r="L34" s="67">
        <f t="shared" si="6"/>
        <v>37171.199999999997</v>
      </c>
      <c r="M34" s="68"/>
      <c r="N34" s="31"/>
    </row>
    <row r="35" spans="1:19" ht="13.8" thickBot="1" x14ac:dyDescent="0.3">
      <c r="C35" s="24" t="s">
        <v>26</v>
      </c>
      <c r="D35" s="24"/>
      <c r="E35" s="57">
        <f>SUM(E25:E34)</f>
        <v>2478080</v>
      </c>
      <c r="F35" s="23"/>
      <c r="G35" s="23"/>
      <c r="H35" s="23"/>
      <c r="I35" s="23"/>
      <c r="J35" s="23"/>
      <c r="K35" s="152"/>
      <c r="L35" s="153"/>
      <c r="M35" s="154"/>
      <c r="N35" s="158"/>
      <c r="O35" s="17" t="s">
        <v>27</v>
      </c>
      <c r="P35" s="4" t="s">
        <v>28</v>
      </c>
      <c r="Q35" s="4" t="s">
        <v>29</v>
      </c>
      <c r="R35" s="39" t="s">
        <v>30</v>
      </c>
      <c r="S35" s="39"/>
    </row>
    <row r="36" spans="1:19" ht="14.4" customHeight="1" thickBot="1" x14ac:dyDescent="0.3">
      <c r="E36" s="7"/>
      <c r="F36" s="7"/>
      <c r="G36" s="7"/>
      <c r="H36" s="7"/>
      <c r="I36" s="7"/>
      <c r="J36" s="7"/>
      <c r="K36" s="155"/>
      <c r="L36" s="156"/>
      <c r="M36" s="157"/>
      <c r="N36" s="151"/>
      <c r="O36" s="21">
        <f>SUM(L25:L32)</f>
        <v>-657000.95999999996</v>
      </c>
      <c r="P36" s="34">
        <f>L33+L34</f>
        <v>92928</v>
      </c>
      <c r="Q36" s="35">
        <f>O36+P36</f>
        <v>-564072.95999999996</v>
      </c>
      <c r="R36" s="5">
        <f>RANK(Q36, $Q$18:$Q$162,1)</f>
        <v>3</v>
      </c>
      <c r="S36" s="39"/>
    </row>
    <row r="38" spans="1:19" ht="13.8" thickBot="1" x14ac:dyDescent="0.3"/>
    <row r="39" spans="1:19" ht="15" customHeight="1" thickBot="1" x14ac:dyDescent="0.3">
      <c r="K39" s="159" t="e">
        <f>'[1]TOTAAL NA'!#REF!</f>
        <v>#REF!</v>
      </c>
      <c r="L39" s="160"/>
      <c r="M39" s="160"/>
      <c r="N39" s="161"/>
      <c r="R39" s="144"/>
      <c r="S39" s="144"/>
    </row>
    <row r="40" spans="1:19" ht="13.8" thickBot="1" x14ac:dyDescent="0.3">
      <c r="A40" s="8" t="s">
        <v>3</v>
      </c>
      <c r="B40" s="146" t="s">
        <v>4</v>
      </c>
      <c r="C40" s="146"/>
      <c r="D40" s="89"/>
      <c r="E40" s="25" t="s">
        <v>5</v>
      </c>
      <c r="F40" s="25" t="s">
        <v>6</v>
      </c>
      <c r="G40" s="25" t="s">
        <v>7</v>
      </c>
      <c r="H40" s="25" t="s">
        <v>8</v>
      </c>
      <c r="I40" s="25" t="s">
        <v>9</v>
      </c>
      <c r="J40" s="9" t="s">
        <v>10</v>
      </c>
      <c r="K40" s="91" t="s">
        <v>11</v>
      </c>
      <c r="L40" s="66" t="s">
        <v>12</v>
      </c>
      <c r="M40" s="26" t="s">
        <v>13</v>
      </c>
      <c r="N40" s="14" t="s">
        <v>14</v>
      </c>
    </row>
    <row r="41" spans="1:19" ht="13.8" thickBot="1" x14ac:dyDescent="0.3">
      <c r="A41" s="95"/>
      <c r="B41" s="148"/>
      <c r="C41" s="149"/>
      <c r="D41" s="96"/>
      <c r="E41" s="97"/>
      <c r="F41" s="98">
        <v>0.25</v>
      </c>
      <c r="G41" s="98">
        <v>0.15</v>
      </c>
      <c r="H41" s="98">
        <v>0</v>
      </c>
      <c r="I41" s="99">
        <v>-0.6</v>
      </c>
      <c r="J41" s="100">
        <v>-1</v>
      </c>
      <c r="K41" s="90"/>
      <c r="L41" s="66"/>
      <c r="M41" s="26"/>
      <c r="N41" s="14"/>
    </row>
    <row r="42" spans="1:19" x14ac:dyDescent="0.25">
      <c r="A42" s="101" t="s">
        <v>15</v>
      </c>
      <c r="B42" s="147" t="str">
        <f>$B$6</f>
        <v>Demo / use cases</v>
      </c>
      <c r="C42" s="147"/>
      <c r="D42" s="102">
        <v>0.7</v>
      </c>
      <c r="E42" s="103">
        <f>[1]Berekening!$E$10</f>
        <v>1300992</v>
      </c>
      <c r="F42" s="104">
        <f>F41*$E$6</f>
        <v>325248</v>
      </c>
      <c r="G42" s="104">
        <f>$G$5*$E$6</f>
        <v>195148.79999999999</v>
      </c>
      <c r="H42" s="104">
        <f>$H$5*E42</f>
        <v>0</v>
      </c>
      <c r="I42" s="105">
        <f>I41*$E$6</f>
        <v>-780595.19999999995</v>
      </c>
      <c r="J42" s="106">
        <f>J41*$E$6</f>
        <v>-1300992</v>
      </c>
      <c r="K42" s="107"/>
      <c r="L42" s="108"/>
      <c r="M42" s="109"/>
      <c r="N42" s="110"/>
    </row>
    <row r="43" spans="1:19" ht="13.2" customHeight="1" x14ac:dyDescent="0.25">
      <c r="A43" s="69"/>
      <c r="B43" s="145" t="s">
        <v>16</v>
      </c>
      <c r="C43" s="145"/>
      <c r="D43" s="111">
        <v>0.2</v>
      </c>
      <c r="E43" s="28">
        <f>E42*D43</f>
        <v>260198.40000000002</v>
      </c>
      <c r="F43" s="64">
        <f>D43*F42</f>
        <v>65049.600000000006</v>
      </c>
      <c r="G43" s="64">
        <f>D43*$G$6</f>
        <v>39029.760000000002</v>
      </c>
      <c r="H43" s="64">
        <f>D43*$H$6</f>
        <v>0</v>
      </c>
      <c r="I43" s="112">
        <f>D43*$I$6</f>
        <v>-156119.04000000001</v>
      </c>
      <c r="J43" s="112">
        <f>D43*$J$6</f>
        <v>-260198.40000000002</v>
      </c>
      <c r="K43" s="113">
        <v>1</v>
      </c>
      <c r="L43" s="20">
        <f t="shared" ref="L43:L52" si="12">IF(K43=0.25,G43,IF(K43=0,F43,IF(K43=0.75,I43,IF(K43=0.5,H43,IF(K43=1,J43,"fout")))))</f>
        <v>-260198.40000000002</v>
      </c>
      <c r="M43" s="29"/>
      <c r="N43" s="29"/>
    </row>
    <row r="44" spans="1:19" ht="13.2" customHeight="1" x14ac:dyDescent="0.25">
      <c r="A44" s="69"/>
      <c r="B44" s="145" t="s">
        <v>17</v>
      </c>
      <c r="C44" s="145"/>
      <c r="D44" s="111">
        <v>0.1</v>
      </c>
      <c r="E44" s="28">
        <f>E42*D44</f>
        <v>130099.20000000001</v>
      </c>
      <c r="F44" s="64">
        <f>D44*F42</f>
        <v>32524.800000000003</v>
      </c>
      <c r="G44" s="64">
        <f t="shared" ref="G44:G48" si="13">D44*$G$6</f>
        <v>19514.88</v>
      </c>
      <c r="H44" s="64">
        <f t="shared" ref="H44:H48" si="14">D44*$H$6</f>
        <v>0</v>
      </c>
      <c r="I44" s="112">
        <f t="shared" ref="I44:I48" si="15">D44*$I$6</f>
        <v>-78059.520000000004</v>
      </c>
      <c r="J44" s="112">
        <f t="shared" ref="J44:J48" si="16">D44*$J$6</f>
        <v>-130099.20000000001</v>
      </c>
      <c r="K44" s="113">
        <v>0</v>
      </c>
      <c r="L44" s="20">
        <f t="shared" si="12"/>
        <v>32524.800000000003</v>
      </c>
      <c r="M44" s="29"/>
      <c r="N44" s="29"/>
    </row>
    <row r="45" spans="1:19" ht="13.2" customHeight="1" x14ac:dyDescent="0.25">
      <c r="A45" s="69"/>
      <c r="B45" s="138" t="s">
        <v>18</v>
      </c>
      <c r="C45" s="138"/>
      <c r="D45" s="111">
        <v>0.2</v>
      </c>
      <c r="E45" s="28">
        <f>E42*D45</f>
        <v>260198.40000000002</v>
      </c>
      <c r="F45" s="64">
        <f>D45*$F$6</f>
        <v>65049.600000000006</v>
      </c>
      <c r="G45" s="64">
        <f t="shared" si="13"/>
        <v>39029.760000000002</v>
      </c>
      <c r="H45" s="64">
        <f t="shared" si="14"/>
        <v>0</v>
      </c>
      <c r="I45" s="112">
        <f t="shared" si="15"/>
        <v>-156119.04000000001</v>
      </c>
      <c r="J45" s="112">
        <f t="shared" si="16"/>
        <v>-260198.40000000002</v>
      </c>
      <c r="K45" s="113">
        <v>0.75</v>
      </c>
      <c r="L45" s="20">
        <f t="shared" si="12"/>
        <v>-156119.04000000001</v>
      </c>
      <c r="M45" s="29"/>
      <c r="N45" s="29"/>
    </row>
    <row r="46" spans="1:19" ht="13.2" customHeight="1" x14ac:dyDescent="0.25">
      <c r="A46" s="69"/>
      <c r="B46" s="138" t="s">
        <v>19</v>
      </c>
      <c r="C46" s="138"/>
      <c r="D46" s="111">
        <v>0.3</v>
      </c>
      <c r="E46" s="28">
        <f>E42*D46</f>
        <v>390297.59999999998</v>
      </c>
      <c r="F46" s="64">
        <f t="shared" ref="F46:F48" si="17">D46*$F$6</f>
        <v>97574.399999999994</v>
      </c>
      <c r="G46" s="64">
        <f t="shared" si="13"/>
        <v>58544.639999999992</v>
      </c>
      <c r="H46" s="64">
        <f t="shared" si="14"/>
        <v>0</v>
      </c>
      <c r="I46" s="112">
        <f t="shared" si="15"/>
        <v>-234178.55999999997</v>
      </c>
      <c r="J46" s="112">
        <f t="shared" si="16"/>
        <v>-390297.59999999998</v>
      </c>
      <c r="K46" s="113">
        <v>0.75</v>
      </c>
      <c r="L46" s="20">
        <f t="shared" si="12"/>
        <v>-234178.55999999997</v>
      </c>
      <c r="M46" s="29"/>
      <c r="N46" s="29"/>
    </row>
    <row r="47" spans="1:19" ht="13.2" customHeight="1" x14ac:dyDescent="0.25">
      <c r="A47" s="69"/>
      <c r="B47" s="138" t="s">
        <v>20</v>
      </c>
      <c r="C47" s="138"/>
      <c r="D47" s="111">
        <v>0.1</v>
      </c>
      <c r="E47" s="28">
        <f>E42*D47</f>
        <v>130099.20000000001</v>
      </c>
      <c r="F47" s="64">
        <f t="shared" si="17"/>
        <v>32524.800000000003</v>
      </c>
      <c r="G47" s="64">
        <f t="shared" si="13"/>
        <v>19514.88</v>
      </c>
      <c r="H47" s="64">
        <f t="shared" si="14"/>
        <v>0</v>
      </c>
      <c r="I47" s="112">
        <f t="shared" si="15"/>
        <v>-78059.520000000004</v>
      </c>
      <c r="J47" s="112">
        <f t="shared" si="16"/>
        <v>-130099.20000000001</v>
      </c>
      <c r="K47" s="113">
        <v>0.5</v>
      </c>
      <c r="L47" s="20">
        <f t="shared" si="12"/>
        <v>0</v>
      </c>
      <c r="M47" s="29"/>
      <c r="N47" s="29"/>
    </row>
    <row r="48" spans="1:19" ht="13.95" customHeight="1" thickBot="1" x14ac:dyDescent="0.3">
      <c r="A48" s="3"/>
      <c r="B48" s="139" t="s">
        <v>21</v>
      </c>
      <c r="C48" s="139"/>
      <c r="D48" s="114">
        <v>0.1</v>
      </c>
      <c r="E48" s="115">
        <f>E42*D48</f>
        <v>130099.20000000001</v>
      </c>
      <c r="F48" s="116">
        <f t="shared" si="17"/>
        <v>32524.800000000003</v>
      </c>
      <c r="G48" s="116">
        <f t="shared" si="13"/>
        <v>19514.88</v>
      </c>
      <c r="H48" s="116">
        <f t="shared" si="14"/>
        <v>0</v>
      </c>
      <c r="I48" s="117">
        <f t="shared" si="15"/>
        <v>-78059.520000000004</v>
      </c>
      <c r="J48" s="117">
        <f t="shared" si="16"/>
        <v>-130099.20000000001</v>
      </c>
      <c r="K48" s="118">
        <v>1</v>
      </c>
      <c r="L48" s="27">
        <f t="shared" si="12"/>
        <v>-130099.20000000001</v>
      </c>
      <c r="M48" s="119"/>
      <c r="N48" s="31"/>
    </row>
    <row r="49" spans="1:19" ht="13.8" thickBot="1" x14ac:dyDescent="0.3">
      <c r="A49" s="120" t="s">
        <v>22</v>
      </c>
      <c r="B49" s="140" t="str">
        <f>$B$13</f>
        <v>Implementatie en aanpak</v>
      </c>
      <c r="C49" s="140"/>
      <c r="D49" s="134">
        <v>0.125</v>
      </c>
      <c r="E49" s="57">
        <f>[1]Berekening!$E$11</f>
        <v>232320</v>
      </c>
      <c r="F49" s="122">
        <f>$F$5*E49</f>
        <v>58080</v>
      </c>
      <c r="G49" s="122">
        <f>$G$5*$E$13</f>
        <v>34848</v>
      </c>
      <c r="H49" s="122">
        <f>$H$5*E49</f>
        <v>0</v>
      </c>
      <c r="I49" s="123">
        <f>I41*$E$13</f>
        <v>-139392</v>
      </c>
      <c r="J49" s="124">
        <f>$J$5*E49</f>
        <v>-232320</v>
      </c>
      <c r="K49" s="125">
        <v>0.5</v>
      </c>
      <c r="L49" s="122">
        <f t="shared" si="12"/>
        <v>0</v>
      </c>
      <c r="M49" s="126"/>
      <c r="N49" s="127"/>
    </row>
    <row r="50" spans="1:19" x14ac:dyDescent="0.25">
      <c r="A50" s="22" t="s">
        <v>23</v>
      </c>
      <c r="B50" s="137" t="str">
        <f>$B$14</f>
        <v>Werkwijze koppelingen</v>
      </c>
      <c r="C50" s="137"/>
      <c r="D50" s="134">
        <v>0.17499999999999999</v>
      </c>
      <c r="E50" s="28">
        <f>[1]Berekening!$E$12</f>
        <v>325248</v>
      </c>
      <c r="F50" s="20">
        <f>$F$5*E50</f>
        <v>81312</v>
      </c>
      <c r="G50" s="20">
        <f>$G$5*$E$14</f>
        <v>48787.199999999997</v>
      </c>
      <c r="H50" s="20">
        <f>$H$5*E50</f>
        <v>0</v>
      </c>
      <c r="I50" s="129">
        <f>I41*$E$14</f>
        <v>-195148.79999999999</v>
      </c>
      <c r="J50" s="130">
        <f>$J$5*E50</f>
        <v>-325248</v>
      </c>
      <c r="K50" s="113">
        <v>0.75</v>
      </c>
      <c r="L50" s="20">
        <f t="shared" si="12"/>
        <v>-195148.79999999999</v>
      </c>
      <c r="M50" s="29"/>
      <c r="N50" s="30"/>
    </row>
    <row r="51" spans="1:19" x14ac:dyDescent="0.25">
      <c r="A51" s="22" t="s">
        <v>24</v>
      </c>
      <c r="B51" s="135" t="str">
        <f>$B$15</f>
        <v>MVOI vraag 1 (60%)</v>
      </c>
      <c r="C51" s="136"/>
      <c r="D51" s="88"/>
      <c r="E51" s="28">
        <f>[1]Berekening!$F$13</f>
        <v>371712</v>
      </c>
      <c r="F51" s="63">
        <f>$F$5*E51</f>
        <v>92928</v>
      </c>
      <c r="G51" s="20">
        <f>$G$5*$E$15</f>
        <v>55756.799999999996</v>
      </c>
      <c r="H51" s="20">
        <f>$H$5*E51</f>
        <v>0</v>
      </c>
      <c r="I51" s="129">
        <f>I41*$E$15</f>
        <v>-223027.19999999998</v>
      </c>
      <c r="J51" s="130">
        <f>$J$5*E51</f>
        <v>-371712</v>
      </c>
      <c r="K51" s="113">
        <v>0.25</v>
      </c>
      <c r="L51" s="20">
        <f t="shared" si="12"/>
        <v>55756.799999999996</v>
      </c>
      <c r="M51" s="29"/>
      <c r="N51" s="30"/>
    </row>
    <row r="52" spans="1:19" ht="13.8" thickBot="1" x14ac:dyDescent="0.3">
      <c r="A52" s="22" t="s">
        <v>25</v>
      </c>
      <c r="B52" s="135" t="str">
        <f>$B$16</f>
        <v>MVOI vraag 2 (40%)</v>
      </c>
      <c r="C52" s="136"/>
      <c r="D52" s="88"/>
      <c r="E52" s="28">
        <f>[1]Berekening!$F$14</f>
        <v>247808</v>
      </c>
      <c r="F52" s="64">
        <f>$F$5*E52</f>
        <v>61952</v>
      </c>
      <c r="G52" s="20">
        <f>$G$5*$E$16</f>
        <v>37171.199999999997</v>
      </c>
      <c r="H52" s="20">
        <f>$H$5*E52</f>
        <v>0</v>
      </c>
      <c r="I52" s="129">
        <f>I41*E52</f>
        <v>-148684.79999999999</v>
      </c>
      <c r="J52" s="130">
        <f>$J$5*E52</f>
        <v>-247808</v>
      </c>
      <c r="K52" s="132">
        <v>0.25</v>
      </c>
      <c r="L52" s="67">
        <f t="shared" si="12"/>
        <v>37171.199999999997</v>
      </c>
      <c r="M52" s="68"/>
      <c r="N52" s="31"/>
    </row>
    <row r="53" spans="1:19" ht="13.8" thickBot="1" x14ac:dyDescent="0.3">
      <c r="C53" s="24" t="s">
        <v>26</v>
      </c>
      <c r="D53" s="24"/>
      <c r="E53" s="57">
        <f>SUM(E43:E52)</f>
        <v>2478080</v>
      </c>
      <c r="F53" s="23"/>
      <c r="G53" s="23"/>
      <c r="H53" s="23"/>
      <c r="I53" s="23"/>
      <c r="J53" s="23"/>
      <c r="K53" s="152"/>
      <c r="L53" s="153"/>
      <c r="M53" s="154"/>
      <c r="N53" s="158"/>
      <c r="O53" s="17" t="s">
        <v>27</v>
      </c>
      <c r="P53" s="4" t="s">
        <v>28</v>
      </c>
      <c r="Q53" s="4" t="s">
        <v>29</v>
      </c>
      <c r="R53" s="39" t="s">
        <v>30</v>
      </c>
      <c r="S53" s="39"/>
    </row>
    <row r="54" spans="1:19" ht="14.4" customHeight="1" thickBot="1" x14ac:dyDescent="0.3">
      <c r="E54" s="7"/>
      <c r="F54" s="7"/>
      <c r="G54" s="7"/>
      <c r="H54" s="7"/>
      <c r="I54" s="7"/>
      <c r="J54" s="7"/>
      <c r="K54" s="155"/>
      <c r="L54" s="156"/>
      <c r="M54" s="157"/>
      <c r="N54" s="151"/>
      <c r="O54" s="21">
        <f>SUM(L43:L50)</f>
        <v>-943219.19999999995</v>
      </c>
      <c r="P54" s="34">
        <f>L51+L52</f>
        <v>92928</v>
      </c>
      <c r="Q54" s="35">
        <f>O54+P54</f>
        <v>-850291.19999999995</v>
      </c>
      <c r="R54" s="5">
        <f>RANK(Q54, $Q$18:$Q$162,1)</f>
        <v>2</v>
      </c>
      <c r="S54" s="39"/>
    </row>
    <row r="56" spans="1:19" ht="13.8" thickBot="1" x14ac:dyDescent="0.3"/>
    <row r="57" spans="1:19" ht="15" customHeight="1" thickBot="1" x14ac:dyDescent="0.3">
      <c r="K57" s="159" t="str">
        <f>'[1]TOTAAL NA'!K55</f>
        <v>Leverancier 4</v>
      </c>
      <c r="L57" s="160"/>
      <c r="M57" s="160"/>
      <c r="N57" s="161"/>
      <c r="R57" s="144"/>
      <c r="S57" s="144"/>
    </row>
    <row r="58" spans="1:19" ht="13.8" thickBot="1" x14ac:dyDescent="0.3">
      <c r="A58" s="8" t="s">
        <v>3</v>
      </c>
      <c r="B58" s="146" t="s">
        <v>4</v>
      </c>
      <c r="C58" s="146"/>
      <c r="D58" s="89"/>
      <c r="E58" s="25" t="s">
        <v>5</v>
      </c>
      <c r="F58" s="25" t="s">
        <v>6</v>
      </c>
      <c r="G58" s="25" t="s">
        <v>7</v>
      </c>
      <c r="H58" s="25" t="s">
        <v>8</v>
      </c>
      <c r="I58" s="25" t="s">
        <v>9</v>
      </c>
      <c r="J58" s="9" t="s">
        <v>10</v>
      </c>
      <c r="K58" s="91" t="s">
        <v>11</v>
      </c>
      <c r="L58" s="66" t="s">
        <v>12</v>
      </c>
      <c r="M58" s="26" t="s">
        <v>13</v>
      </c>
      <c r="N58" s="14" t="s">
        <v>14</v>
      </c>
    </row>
    <row r="59" spans="1:19" ht="13.8" thickBot="1" x14ac:dyDescent="0.3">
      <c r="A59" s="95"/>
      <c r="B59" s="148"/>
      <c r="C59" s="149"/>
      <c r="D59" s="96"/>
      <c r="E59" s="97"/>
      <c r="F59" s="98">
        <v>0.25</v>
      </c>
      <c r="G59" s="98">
        <v>0.15</v>
      </c>
      <c r="H59" s="98">
        <v>0</v>
      </c>
      <c r="I59" s="99">
        <v>-0.6</v>
      </c>
      <c r="J59" s="100">
        <v>-1</v>
      </c>
      <c r="K59" s="90"/>
      <c r="L59" s="66"/>
      <c r="M59" s="26"/>
      <c r="N59" s="14"/>
    </row>
    <row r="60" spans="1:19" x14ac:dyDescent="0.25">
      <c r="A60" s="101" t="s">
        <v>15</v>
      </c>
      <c r="B60" s="147" t="str">
        <f>$B$6</f>
        <v>Demo / use cases</v>
      </c>
      <c r="C60" s="147"/>
      <c r="D60" s="102">
        <v>0.7</v>
      </c>
      <c r="E60" s="103">
        <f>[1]Berekening!$E$10</f>
        <v>1300992</v>
      </c>
      <c r="F60" s="104">
        <f>F59*$E$6</f>
        <v>325248</v>
      </c>
      <c r="G60" s="104">
        <f>$G$5*$E$6</f>
        <v>195148.79999999999</v>
      </c>
      <c r="H60" s="104">
        <f>$H$5*E60</f>
        <v>0</v>
      </c>
      <c r="I60" s="105">
        <f>I59*$E$6</f>
        <v>-780595.19999999995</v>
      </c>
      <c r="J60" s="106">
        <f>J59*$E$6</f>
        <v>-1300992</v>
      </c>
      <c r="K60" s="107"/>
      <c r="L60" s="108"/>
      <c r="M60" s="109"/>
      <c r="N60" s="110"/>
    </row>
    <row r="61" spans="1:19" ht="13.2" customHeight="1" x14ac:dyDescent="0.25">
      <c r="A61" s="69"/>
      <c r="B61" s="145" t="s">
        <v>16</v>
      </c>
      <c r="C61" s="145"/>
      <c r="D61" s="111">
        <v>0.2</v>
      </c>
      <c r="E61" s="28">
        <f>E60*D61</f>
        <v>260198.40000000002</v>
      </c>
      <c r="F61" s="64">
        <f>D61*F60</f>
        <v>65049.600000000006</v>
      </c>
      <c r="G61" s="64">
        <f>D61*$G$6</f>
        <v>39029.760000000002</v>
      </c>
      <c r="H61" s="64">
        <f>D61*$H$6</f>
        <v>0</v>
      </c>
      <c r="I61" s="112">
        <f>D61*$I$6</f>
        <v>-156119.04000000001</v>
      </c>
      <c r="J61" s="112">
        <f>D61*$J$6</f>
        <v>-260198.40000000002</v>
      </c>
      <c r="K61" s="113">
        <v>1</v>
      </c>
      <c r="L61" s="20">
        <f t="shared" ref="L61:L70" si="18">IF(K61=0.25,G61,IF(K61=0,F61,IF(K61=0.75,I61,IF(K61=0.5,H61,IF(K61=1,J61,"fout")))))</f>
        <v>-260198.40000000002</v>
      </c>
      <c r="M61" s="29"/>
      <c r="N61" s="29"/>
    </row>
    <row r="62" spans="1:19" ht="13.2" customHeight="1" x14ac:dyDescent="0.25">
      <c r="A62" s="69"/>
      <c r="B62" s="145" t="s">
        <v>17</v>
      </c>
      <c r="C62" s="145"/>
      <c r="D62" s="111">
        <v>0.1</v>
      </c>
      <c r="E62" s="28">
        <f>E60*D62</f>
        <v>130099.20000000001</v>
      </c>
      <c r="F62" s="64">
        <f>D62*F60</f>
        <v>32524.800000000003</v>
      </c>
      <c r="G62" s="64">
        <f t="shared" ref="G62:G66" si="19">D62*$G$6</f>
        <v>19514.88</v>
      </c>
      <c r="H62" s="64">
        <f t="shared" ref="H62:H66" si="20">D62*$H$6</f>
        <v>0</v>
      </c>
      <c r="I62" s="112">
        <f t="shared" ref="I62:I66" si="21">D62*$I$6</f>
        <v>-78059.520000000004</v>
      </c>
      <c r="J62" s="112">
        <f t="shared" ref="J62:J66" si="22">D62*$J$6</f>
        <v>-130099.20000000001</v>
      </c>
      <c r="K62" s="113">
        <v>0.25</v>
      </c>
      <c r="L62" s="20">
        <f t="shared" si="18"/>
        <v>19514.88</v>
      </c>
      <c r="M62" s="29"/>
      <c r="N62" s="29"/>
    </row>
    <row r="63" spans="1:19" ht="13.2" customHeight="1" x14ac:dyDescent="0.25">
      <c r="A63" s="69"/>
      <c r="B63" s="138" t="s">
        <v>18</v>
      </c>
      <c r="C63" s="138"/>
      <c r="D63" s="111">
        <v>0.2</v>
      </c>
      <c r="E63" s="28">
        <f>E60*D63</f>
        <v>260198.40000000002</v>
      </c>
      <c r="F63" s="64">
        <f>D63*$F$6</f>
        <v>65049.600000000006</v>
      </c>
      <c r="G63" s="64">
        <f t="shared" si="19"/>
        <v>39029.760000000002</v>
      </c>
      <c r="H63" s="64">
        <f t="shared" si="20"/>
        <v>0</v>
      </c>
      <c r="I63" s="112">
        <f t="shared" si="21"/>
        <v>-156119.04000000001</v>
      </c>
      <c r="J63" s="112">
        <f t="shared" si="22"/>
        <v>-260198.40000000002</v>
      </c>
      <c r="K63" s="113">
        <v>0.25</v>
      </c>
      <c r="L63" s="20">
        <f t="shared" si="18"/>
        <v>39029.760000000002</v>
      </c>
      <c r="M63" s="29"/>
      <c r="N63" s="29"/>
    </row>
    <row r="64" spans="1:19" ht="13.2" customHeight="1" x14ac:dyDescent="0.25">
      <c r="A64" s="69"/>
      <c r="B64" s="138" t="s">
        <v>19</v>
      </c>
      <c r="C64" s="138"/>
      <c r="D64" s="111">
        <v>0.3</v>
      </c>
      <c r="E64" s="28">
        <f>E60*D64</f>
        <v>390297.59999999998</v>
      </c>
      <c r="F64" s="64">
        <f t="shared" ref="F64:F66" si="23">D64*$F$6</f>
        <v>97574.399999999994</v>
      </c>
      <c r="G64" s="64">
        <f t="shared" si="19"/>
        <v>58544.639999999992</v>
      </c>
      <c r="H64" s="64">
        <f t="shared" si="20"/>
        <v>0</v>
      </c>
      <c r="I64" s="112">
        <f t="shared" si="21"/>
        <v>-234178.55999999997</v>
      </c>
      <c r="J64" s="112">
        <f t="shared" si="22"/>
        <v>-390297.59999999998</v>
      </c>
      <c r="K64" s="113">
        <v>0.75</v>
      </c>
      <c r="L64" s="20">
        <f t="shared" si="18"/>
        <v>-234178.55999999997</v>
      </c>
      <c r="M64" s="29"/>
      <c r="N64" s="29"/>
    </row>
    <row r="65" spans="1:19" ht="13.2" customHeight="1" x14ac:dyDescent="0.25">
      <c r="A65" s="69"/>
      <c r="B65" s="138" t="s">
        <v>20</v>
      </c>
      <c r="C65" s="138"/>
      <c r="D65" s="111">
        <v>0.1</v>
      </c>
      <c r="E65" s="28">
        <f>E60*D65</f>
        <v>130099.20000000001</v>
      </c>
      <c r="F65" s="64">
        <f t="shared" si="23"/>
        <v>32524.800000000003</v>
      </c>
      <c r="G65" s="64">
        <f t="shared" si="19"/>
        <v>19514.88</v>
      </c>
      <c r="H65" s="64">
        <f t="shared" si="20"/>
        <v>0</v>
      </c>
      <c r="I65" s="112">
        <f t="shared" si="21"/>
        <v>-78059.520000000004</v>
      </c>
      <c r="J65" s="112">
        <f t="shared" si="22"/>
        <v>-130099.20000000001</v>
      </c>
      <c r="K65" s="113">
        <v>0.5</v>
      </c>
      <c r="L65" s="20">
        <f t="shared" si="18"/>
        <v>0</v>
      </c>
      <c r="M65" s="29"/>
      <c r="N65" s="29"/>
    </row>
    <row r="66" spans="1:19" ht="13.95" customHeight="1" thickBot="1" x14ac:dyDescent="0.3">
      <c r="A66" s="3"/>
      <c r="B66" s="139" t="s">
        <v>21</v>
      </c>
      <c r="C66" s="139"/>
      <c r="D66" s="114">
        <v>0.1</v>
      </c>
      <c r="E66" s="115">
        <f>E60*D66</f>
        <v>130099.20000000001</v>
      </c>
      <c r="F66" s="116">
        <f t="shared" si="23"/>
        <v>32524.800000000003</v>
      </c>
      <c r="G66" s="116">
        <f t="shared" si="19"/>
        <v>19514.88</v>
      </c>
      <c r="H66" s="116">
        <f t="shared" si="20"/>
        <v>0</v>
      </c>
      <c r="I66" s="117">
        <f t="shared" si="21"/>
        <v>-78059.520000000004</v>
      </c>
      <c r="J66" s="117">
        <f t="shared" si="22"/>
        <v>-130099.20000000001</v>
      </c>
      <c r="K66" s="118">
        <v>0.5</v>
      </c>
      <c r="L66" s="27">
        <f t="shared" si="18"/>
        <v>0</v>
      </c>
      <c r="M66" s="119"/>
      <c r="N66" s="31"/>
    </row>
    <row r="67" spans="1:19" ht="13.8" thickBot="1" x14ac:dyDescent="0.3">
      <c r="A67" s="120" t="s">
        <v>22</v>
      </c>
      <c r="B67" s="140" t="str">
        <f>$B$13</f>
        <v>Implementatie en aanpak</v>
      </c>
      <c r="C67" s="140"/>
      <c r="D67" s="134">
        <v>0.125</v>
      </c>
      <c r="E67" s="57">
        <f>[1]Berekening!$E$11</f>
        <v>232320</v>
      </c>
      <c r="F67" s="122">
        <f>$F$5*E67</f>
        <v>58080</v>
      </c>
      <c r="G67" s="122">
        <f>$G$5*$E$13</f>
        <v>34848</v>
      </c>
      <c r="H67" s="122">
        <f>$H$5*E67</f>
        <v>0</v>
      </c>
      <c r="I67" s="123">
        <f>I59*$E$13</f>
        <v>-139392</v>
      </c>
      <c r="J67" s="124">
        <f>$J$5*E67</f>
        <v>-232320</v>
      </c>
      <c r="K67" s="125">
        <v>0.5</v>
      </c>
      <c r="L67" s="122">
        <f t="shared" si="18"/>
        <v>0</v>
      </c>
      <c r="M67" s="126"/>
      <c r="N67" s="127"/>
    </row>
    <row r="68" spans="1:19" x14ac:dyDescent="0.25">
      <c r="A68" s="22" t="s">
        <v>23</v>
      </c>
      <c r="B68" s="137" t="str">
        <f>$B$14</f>
        <v>Werkwijze koppelingen</v>
      </c>
      <c r="C68" s="137"/>
      <c r="D68" s="134">
        <v>0.17499999999999999</v>
      </c>
      <c r="E68" s="28">
        <f>[1]Berekening!$E$12</f>
        <v>325248</v>
      </c>
      <c r="F68" s="20">
        <f>$F$5*E68</f>
        <v>81312</v>
      </c>
      <c r="G68" s="20">
        <f>$G$5*$E$14</f>
        <v>48787.199999999997</v>
      </c>
      <c r="H68" s="20">
        <f>$H$5*E68</f>
        <v>0</v>
      </c>
      <c r="I68" s="129">
        <f>I59*$E$14</f>
        <v>-195148.79999999999</v>
      </c>
      <c r="J68" s="130">
        <f>$J$5*E68</f>
        <v>-325248</v>
      </c>
      <c r="K68" s="113">
        <v>0.75</v>
      </c>
      <c r="L68" s="20">
        <f t="shared" si="18"/>
        <v>-195148.79999999999</v>
      </c>
      <c r="M68" s="29"/>
      <c r="N68" s="30"/>
    </row>
    <row r="69" spans="1:19" x14ac:dyDescent="0.25">
      <c r="A69" s="22" t="s">
        <v>24</v>
      </c>
      <c r="B69" s="135" t="str">
        <f>$B$15</f>
        <v>MVOI vraag 1 (60%)</v>
      </c>
      <c r="C69" s="136"/>
      <c r="D69" s="88"/>
      <c r="E69" s="28">
        <f>[1]Berekening!$F$13</f>
        <v>371712</v>
      </c>
      <c r="F69" s="63">
        <f>$F$5*E69</f>
        <v>92928</v>
      </c>
      <c r="G69" s="20">
        <f>$G$5*$E$15</f>
        <v>55756.799999999996</v>
      </c>
      <c r="H69" s="20">
        <f>$H$5*E69</f>
        <v>0</v>
      </c>
      <c r="I69" s="129">
        <f>I59*$E$15</f>
        <v>-223027.19999999998</v>
      </c>
      <c r="J69" s="130">
        <f>$J$5*E69</f>
        <v>-371712</v>
      </c>
      <c r="K69" s="113">
        <v>0.25</v>
      </c>
      <c r="L69" s="20">
        <f t="shared" si="18"/>
        <v>55756.799999999996</v>
      </c>
      <c r="M69" s="29"/>
      <c r="N69" s="30"/>
    </row>
    <row r="70" spans="1:19" ht="13.8" thickBot="1" x14ac:dyDescent="0.3">
      <c r="A70" s="22" t="s">
        <v>25</v>
      </c>
      <c r="B70" s="135" t="str">
        <f>$B$16</f>
        <v>MVOI vraag 2 (40%)</v>
      </c>
      <c r="C70" s="136"/>
      <c r="D70" s="88"/>
      <c r="E70" s="28">
        <f>[1]Berekening!$F$14</f>
        <v>247808</v>
      </c>
      <c r="F70" s="64">
        <f>$F$5*E70</f>
        <v>61952</v>
      </c>
      <c r="G70" s="20">
        <f>$G$5*$E$16</f>
        <v>37171.199999999997</v>
      </c>
      <c r="H70" s="20">
        <f>$H$5*E70</f>
        <v>0</v>
      </c>
      <c r="I70" s="129">
        <f>I59*E70</f>
        <v>-148684.79999999999</v>
      </c>
      <c r="J70" s="130">
        <f>$J$5*E70</f>
        <v>-247808</v>
      </c>
      <c r="K70" s="132">
        <v>0.25</v>
      </c>
      <c r="L70" s="67">
        <f t="shared" si="18"/>
        <v>37171.199999999997</v>
      </c>
      <c r="M70" s="68"/>
      <c r="N70" s="31"/>
    </row>
    <row r="71" spans="1:19" ht="13.8" thickBot="1" x14ac:dyDescent="0.3">
      <c r="C71" s="24" t="s">
        <v>26</v>
      </c>
      <c r="D71" s="24"/>
      <c r="E71" s="57">
        <f>SUM(E61:E70)</f>
        <v>2478080</v>
      </c>
      <c r="F71" s="23"/>
      <c r="G71" s="23"/>
      <c r="H71" s="23"/>
      <c r="I71" s="23"/>
      <c r="J71" s="23"/>
      <c r="K71" s="152"/>
      <c r="L71" s="153"/>
      <c r="M71" s="154"/>
      <c r="N71" s="158"/>
      <c r="O71" s="17" t="s">
        <v>27</v>
      </c>
      <c r="P71" s="4" t="s">
        <v>28</v>
      </c>
      <c r="Q71" s="4" t="s">
        <v>29</v>
      </c>
      <c r="R71" s="39" t="s">
        <v>30</v>
      </c>
      <c r="S71" s="39"/>
    </row>
    <row r="72" spans="1:19" ht="14.4" customHeight="1" thickBot="1" x14ac:dyDescent="0.3">
      <c r="E72" s="7"/>
      <c r="F72" s="7"/>
      <c r="G72" s="7"/>
      <c r="H72" s="7"/>
      <c r="I72" s="7"/>
      <c r="J72" s="7"/>
      <c r="K72" s="155"/>
      <c r="L72" s="156"/>
      <c r="M72" s="157"/>
      <c r="N72" s="151"/>
      <c r="O72" s="21">
        <f>SUM(L61:L68)</f>
        <v>-630981.11999999988</v>
      </c>
      <c r="P72" s="34">
        <f>L69+L70</f>
        <v>92928</v>
      </c>
      <c r="Q72" s="35">
        <f>O72+P72</f>
        <v>-538053.11999999988</v>
      </c>
      <c r="R72" s="5">
        <f>RANK(Q72, $Q$18:$Q$162,1)</f>
        <v>4</v>
      </c>
      <c r="S72" s="39"/>
    </row>
  </sheetData>
  <mergeCells count="69">
    <mergeCell ref="K53:M54"/>
    <mergeCell ref="N53:N54"/>
    <mergeCell ref="K57:N57"/>
    <mergeCell ref="R57:S57"/>
    <mergeCell ref="B58:C58"/>
    <mergeCell ref="K35:M36"/>
    <mergeCell ref="N35:N36"/>
    <mergeCell ref="K39:N39"/>
    <mergeCell ref="R39:S39"/>
    <mergeCell ref="B41:C41"/>
    <mergeCell ref="K17:M18"/>
    <mergeCell ref="N17:N18"/>
    <mergeCell ref="K21:N21"/>
    <mergeCell ref="R21:S21"/>
    <mergeCell ref="B22:C22"/>
    <mergeCell ref="K71:M72"/>
    <mergeCell ref="N71:N72"/>
    <mergeCell ref="B60:C60"/>
    <mergeCell ref="B61:C61"/>
    <mergeCell ref="B62:C62"/>
    <mergeCell ref="B63:C63"/>
    <mergeCell ref="B64:C64"/>
    <mergeCell ref="B65:C65"/>
    <mergeCell ref="B67:C67"/>
    <mergeCell ref="B68:C68"/>
    <mergeCell ref="B69:C69"/>
    <mergeCell ref="B66:C66"/>
    <mergeCell ref="B70:C70"/>
    <mergeCell ref="B59:C59"/>
    <mergeCell ref="B52:C52"/>
    <mergeCell ref="B47:C47"/>
    <mergeCell ref="B48:C48"/>
    <mergeCell ref="B33:C33"/>
    <mergeCell ref="B34:C34"/>
    <mergeCell ref="B42:C42"/>
    <mergeCell ref="B43:C43"/>
    <mergeCell ref="B44:C44"/>
    <mergeCell ref="B45:C45"/>
    <mergeCell ref="B49:C49"/>
    <mergeCell ref="B50:C50"/>
    <mergeCell ref="B10:C10"/>
    <mergeCell ref="B5:C5"/>
    <mergeCell ref="F3:J3"/>
    <mergeCell ref="B51:C51"/>
    <mergeCell ref="B27:C27"/>
    <mergeCell ref="B25:C25"/>
    <mergeCell ref="B23:C23"/>
    <mergeCell ref="B24:C24"/>
    <mergeCell ref="B28:C28"/>
    <mergeCell ref="B29:C29"/>
    <mergeCell ref="B30:C30"/>
    <mergeCell ref="B26:C26"/>
    <mergeCell ref="B31:C31"/>
    <mergeCell ref="B46:C46"/>
    <mergeCell ref="B40:C40"/>
    <mergeCell ref="B32:C32"/>
    <mergeCell ref="K3:N3"/>
    <mergeCell ref="R3:S3"/>
    <mergeCell ref="B7:C7"/>
    <mergeCell ref="B8:C8"/>
    <mergeCell ref="B9:C9"/>
    <mergeCell ref="B4:C4"/>
    <mergeCell ref="B6:C6"/>
    <mergeCell ref="B16:C16"/>
    <mergeCell ref="B14:C14"/>
    <mergeCell ref="B11:C11"/>
    <mergeCell ref="B12:C12"/>
    <mergeCell ref="B13:C13"/>
    <mergeCell ref="B15:C15"/>
  </mergeCells>
  <conditionalFormatting sqref="R18">
    <cfRule type="cellIs" dxfId="24" priority="4" operator="equal">
      <formula>1</formula>
    </cfRule>
  </conditionalFormatting>
  <conditionalFormatting sqref="R36">
    <cfRule type="cellIs" dxfId="23" priority="3" operator="equal">
      <formula>1</formula>
    </cfRule>
  </conditionalFormatting>
  <conditionalFormatting sqref="R54">
    <cfRule type="cellIs" dxfId="22" priority="2" operator="equal">
      <formula>1</formula>
    </cfRule>
  </conditionalFormatting>
  <conditionalFormatting sqref="R72">
    <cfRule type="cellIs" dxfId="21" priority="1" operator="equal">
      <formula>1</formula>
    </cfRule>
  </conditionalFormatting>
  <dataValidations count="1">
    <dataValidation type="list" allowBlank="1" showInputMessage="1" showErrorMessage="1" sqref="K17 K35 K53 K71" xr:uid="{D2C81569-D8DA-45B3-A8AB-EA21BE754E48}">
      <formula1>$W$1:$W$2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D765E-F23D-4611-81BA-F53379BC8CCF}">
  <dimension ref="A1:W72"/>
  <sheetViews>
    <sheetView workbookViewId="0">
      <selection activeCell="B8" sqref="B8:C8"/>
    </sheetView>
  </sheetViews>
  <sheetFormatPr defaultColWidth="8.88671875" defaultRowHeight="13.2" x14ac:dyDescent="0.25"/>
  <cols>
    <col min="1" max="1" width="13.5546875" style="1" customWidth="1"/>
    <col min="2" max="2" width="3.5546875" style="1" customWidth="1"/>
    <col min="3" max="3" width="22.5546875" style="1" customWidth="1"/>
    <col min="4" max="4" width="10" style="1" customWidth="1"/>
    <col min="5" max="5" width="16.88671875" style="1" customWidth="1"/>
    <col min="6" max="6" width="12.88671875" style="1" customWidth="1"/>
    <col min="7" max="7" width="13.88671875" style="1" customWidth="1"/>
    <col min="8" max="10" width="12.88671875" style="1" customWidth="1"/>
    <col min="11" max="11" width="8.88671875" style="7"/>
    <col min="12" max="12" width="13.5546875" style="65" bestFit="1" customWidth="1"/>
    <col min="13" max="13" width="44.5546875" style="1" customWidth="1"/>
    <col min="14" max="14" width="55.5546875" style="1" customWidth="1"/>
    <col min="15" max="15" width="12.88671875" style="1" bestFit="1" customWidth="1"/>
    <col min="16" max="16" width="13.109375" style="1" customWidth="1"/>
    <col min="17" max="17" width="16.109375" style="1" customWidth="1"/>
    <col min="18" max="22" width="8.88671875" style="1"/>
    <col min="23" max="23" width="9.88671875" style="1" bestFit="1" customWidth="1"/>
    <col min="24" max="16384" width="8.88671875" style="1"/>
  </cols>
  <sheetData>
    <row r="1" spans="1:23" ht="17.399999999999999" x14ac:dyDescent="0.3">
      <c r="A1" s="18" t="str">
        <f ca="1">MID(CELL("bestandsnaam",A1),SEARCH("]",CELL("bestandsnaam",A1),1)+1,99)</f>
        <v>Beoordelaar 2</v>
      </c>
      <c r="G1" s="10" t="str">
        <f>'[1]TOTAAL NA'!E1</f>
        <v>Aanbesteding Source-to-Pay</v>
      </c>
      <c r="M1" s="10" t="s">
        <v>0</v>
      </c>
      <c r="W1" s="6">
        <v>0</v>
      </c>
    </row>
    <row r="2" spans="1:23" ht="13.8" thickBot="1" x14ac:dyDescent="0.3">
      <c r="W2" s="6">
        <v>0.25</v>
      </c>
    </row>
    <row r="3" spans="1:23" ht="15" customHeight="1" thickBot="1" x14ac:dyDescent="0.3">
      <c r="A3" s="87" t="s">
        <v>1</v>
      </c>
      <c r="B3" s="86"/>
      <c r="C3" s="86"/>
      <c r="D3" s="86"/>
      <c r="F3" s="150" t="s">
        <v>2</v>
      </c>
      <c r="G3" s="150"/>
      <c r="H3" s="150"/>
      <c r="I3" s="150"/>
      <c r="J3" s="151"/>
      <c r="K3" s="141" t="str">
        <f>'[1]TOTAAL NA'!K4</f>
        <v>Leverancier 1</v>
      </c>
      <c r="L3" s="142"/>
      <c r="M3" s="142"/>
      <c r="N3" s="143"/>
      <c r="R3" s="144"/>
      <c r="S3" s="144"/>
    </row>
    <row r="4" spans="1:23" ht="13.8" thickBot="1" x14ac:dyDescent="0.3">
      <c r="A4" s="8" t="s">
        <v>3</v>
      </c>
      <c r="B4" s="146" t="s">
        <v>4</v>
      </c>
      <c r="C4" s="146"/>
      <c r="D4" s="89"/>
      <c r="E4" s="25" t="s">
        <v>5</v>
      </c>
      <c r="F4" s="25" t="s">
        <v>6</v>
      </c>
      <c r="G4" s="25" t="s">
        <v>7</v>
      </c>
      <c r="H4" s="93" t="s">
        <v>8</v>
      </c>
      <c r="I4" s="93" t="s">
        <v>9</v>
      </c>
      <c r="J4" s="94" t="s">
        <v>10</v>
      </c>
      <c r="K4" s="91" t="s">
        <v>11</v>
      </c>
      <c r="L4" s="66" t="s">
        <v>12</v>
      </c>
      <c r="M4" s="26" t="s">
        <v>13</v>
      </c>
      <c r="N4" s="14" t="s">
        <v>14</v>
      </c>
    </row>
    <row r="5" spans="1:23" ht="13.8" thickBot="1" x14ac:dyDescent="0.3">
      <c r="A5" s="95"/>
      <c r="B5" s="148"/>
      <c r="C5" s="149"/>
      <c r="D5" s="96"/>
      <c r="E5" s="97"/>
      <c r="F5" s="98">
        <v>0.25</v>
      </c>
      <c r="G5" s="98">
        <v>0.15</v>
      </c>
      <c r="H5" s="99">
        <v>0</v>
      </c>
      <c r="I5" s="99">
        <v>-0.6</v>
      </c>
      <c r="J5" s="100">
        <v>-1</v>
      </c>
      <c r="K5" s="90"/>
      <c r="L5" s="66"/>
      <c r="M5" s="26"/>
      <c r="N5" s="14"/>
    </row>
    <row r="6" spans="1:23" x14ac:dyDescent="0.25">
      <c r="A6" s="101" t="s">
        <v>15</v>
      </c>
      <c r="B6" s="147" t="s">
        <v>35</v>
      </c>
      <c r="C6" s="147"/>
      <c r="D6" s="102">
        <v>0.7</v>
      </c>
      <c r="E6" s="103">
        <f>[1]Berekening!$E$10</f>
        <v>1300992</v>
      </c>
      <c r="F6" s="104">
        <f>F5*$E$6</f>
        <v>325248</v>
      </c>
      <c r="G6" s="104">
        <f>$G$5*$E$6</f>
        <v>195148.79999999999</v>
      </c>
      <c r="H6" s="105">
        <f>$H$5*E6</f>
        <v>0</v>
      </c>
      <c r="I6" s="105">
        <f>I5*$E$6</f>
        <v>-780595.19999999995</v>
      </c>
      <c r="J6" s="106">
        <f>J5*$E$6</f>
        <v>-1300992</v>
      </c>
      <c r="K6" s="107"/>
      <c r="L6" s="108"/>
      <c r="M6" s="109"/>
      <c r="N6" s="110"/>
    </row>
    <row r="7" spans="1:23" ht="14.4" customHeight="1" x14ac:dyDescent="0.25">
      <c r="A7" s="69"/>
      <c r="B7" s="145" t="s">
        <v>16</v>
      </c>
      <c r="C7" s="145"/>
      <c r="D7" s="111">
        <v>0.2</v>
      </c>
      <c r="E7" s="28">
        <f>E6*D7</f>
        <v>260198.40000000002</v>
      </c>
      <c r="F7" s="64">
        <f>D7*F6</f>
        <v>65049.600000000006</v>
      </c>
      <c r="G7" s="64">
        <f>D7*$G$6</f>
        <v>39029.760000000002</v>
      </c>
      <c r="H7" s="112">
        <f>D7*$H$6</f>
        <v>0</v>
      </c>
      <c r="I7" s="112">
        <f>D7*$I$6</f>
        <v>-156119.04000000001</v>
      </c>
      <c r="J7" s="112">
        <f>D7*$J$6</f>
        <v>-260198.40000000002</v>
      </c>
      <c r="K7" s="113">
        <v>0.75</v>
      </c>
      <c r="L7" s="20">
        <f t="shared" ref="L7:L16" si="0">IF(K7=0.25,G7,IF(K7=0,F7,IF(K7=0.75,I7,IF(K7=0.5,H7,IF(K7=1,J7,"fout")))))</f>
        <v>-156119.04000000001</v>
      </c>
      <c r="M7" s="29"/>
      <c r="N7" s="29"/>
    </row>
    <row r="8" spans="1:23" ht="25.95" customHeight="1" x14ac:dyDescent="0.25">
      <c r="A8" s="69"/>
      <c r="B8" s="145" t="s">
        <v>17</v>
      </c>
      <c r="C8" s="145"/>
      <c r="D8" s="111">
        <v>0.1</v>
      </c>
      <c r="E8" s="28">
        <f>E6*D8</f>
        <v>130099.20000000001</v>
      </c>
      <c r="F8" s="64">
        <f>D8*F6</f>
        <v>32524.800000000003</v>
      </c>
      <c r="G8" s="64">
        <f t="shared" ref="G8:G12" si="1">D8*$G$6</f>
        <v>19514.88</v>
      </c>
      <c r="H8" s="112">
        <f t="shared" ref="H8:H12" si="2">D8*$H$6</f>
        <v>0</v>
      </c>
      <c r="I8" s="112">
        <f t="shared" ref="I8:I12" si="3">D8*$I$6</f>
        <v>-78059.520000000004</v>
      </c>
      <c r="J8" s="112">
        <f t="shared" ref="J8:J12" si="4">D8*$J$6</f>
        <v>-130099.20000000001</v>
      </c>
      <c r="K8" s="113">
        <v>0.75</v>
      </c>
      <c r="L8" s="20">
        <f t="shared" si="0"/>
        <v>-78059.520000000004</v>
      </c>
      <c r="M8" s="29"/>
      <c r="N8" s="29"/>
    </row>
    <row r="9" spans="1:23" ht="14.4" customHeight="1" x14ac:dyDescent="0.25">
      <c r="A9" s="69"/>
      <c r="B9" s="138" t="s">
        <v>18</v>
      </c>
      <c r="C9" s="138"/>
      <c r="D9" s="111">
        <v>0.2</v>
      </c>
      <c r="E9" s="28">
        <f>E6*D9</f>
        <v>260198.40000000002</v>
      </c>
      <c r="F9" s="64">
        <f>D9*$F$6</f>
        <v>65049.600000000006</v>
      </c>
      <c r="G9" s="64">
        <f t="shared" si="1"/>
        <v>39029.760000000002</v>
      </c>
      <c r="H9" s="112">
        <f t="shared" si="2"/>
        <v>0</v>
      </c>
      <c r="I9" s="112">
        <f t="shared" si="3"/>
        <v>-156119.04000000001</v>
      </c>
      <c r="J9" s="112">
        <f t="shared" si="4"/>
        <v>-260198.40000000002</v>
      </c>
      <c r="K9" s="113">
        <v>0.75</v>
      </c>
      <c r="L9" s="20">
        <f t="shared" si="0"/>
        <v>-156119.04000000001</v>
      </c>
      <c r="M9" s="29"/>
      <c r="N9" s="29"/>
    </row>
    <row r="10" spans="1:23" ht="14.4" customHeight="1" x14ac:dyDescent="0.25">
      <c r="A10" s="69"/>
      <c r="B10" s="138" t="s">
        <v>19</v>
      </c>
      <c r="C10" s="138"/>
      <c r="D10" s="111">
        <v>0.3</v>
      </c>
      <c r="E10" s="28">
        <f>E6*D10</f>
        <v>390297.59999999998</v>
      </c>
      <c r="F10" s="64">
        <f t="shared" ref="F10:F12" si="5">D10*$F$6</f>
        <v>97574.399999999994</v>
      </c>
      <c r="G10" s="64">
        <f t="shared" si="1"/>
        <v>58544.639999999992</v>
      </c>
      <c r="H10" s="112">
        <f t="shared" si="2"/>
        <v>0</v>
      </c>
      <c r="I10" s="112">
        <f t="shared" si="3"/>
        <v>-234178.55999999997</v>
      </c>
      <c r="J10" s="112">
        <f t="shared" si="4"/>
        <v>-390297.59999999998</v>
      </c>
      <c r="K10" s="113">
        <v>0.75</v>
      </c>
      <c r="L10" s="20">
        <f t="shared" si="0"/>
        <v>-234178.55999999997</v>
      </c>
      <c r="M10" s="29"/>
      <c r="N10" s="29"/>
    </row>
    <row r="11" spans="1:23" ht="14.4" customHeight="1" x14ac:dyDescent="0.25">
      <c r="A11" s="69"/>
      <c r="B11" s="138" t="s">
        <v>20</v>
      </c>
      <c r="C11" s="138"/>
      <c r="D11" s="111">
        <v>0.1</v>
      </c>
      <c r="E11" s="28">
        <f>E6*D11</f>
        <v>130099.20000000001</v>
      </c>
      <c r="F11" s="64">
        <f t="shared" si="5"/>
        <v>32524.800000000003</v>
      </c>
      <c r="G11" s="64">
        <f t="shared" si="1"/>
        <v>19514.88</v>
      </c>
      <c r="H11" s="112">
        <f t="shared" si="2"/>
        <v>0</v>
      </c>
      <c r="I11" s="112">
        <f t="shared" si="3"/>
        <v>-78059.520000000004</v>
      </c>
      <c r="J11" s="112">
        <f t="shared" si="4"/>
        <v>-130099.20000000001</v>
      </c>
      <c r="K11" s="113">
        <v>0.75</v>
      </c>
      <c r="L11" s="20">
        <f t="shared" si="0"/>
        <v>-78059.520000000004</v>
      </c>
      <c r="M11" s="29"/>
      <c r="N11" s="29"/>
    </row>
    <row r="12" spans="1:23" ht="14.4" customHeight="1" thickBot="1" x14ac:dyDescent="0.3">
      <c r="A12" s="3"/>
      <c r="B12" s="139" t="s">
        <v>21</v>
      </c>
      <c r="C12" s="139"/>
      <c r="D12" s="114">
        <v>0.1</v>
      </c>
      <c r="E12" s="115">
        <f>E6*D12</f>
        <v>130099.20000000001</v>
      </c>
      <c r="F12" s="116">
        <f t="shared" si="5"/>
        <v>32524.800000000003</v>
      </c>
      <c r="G12" s="116">
        <f t="shared" si="1"/>
        <v>19514.88</v>
      </c>
      <c r="H12" s="117">
        <f t="shared" si="2"/>
        <v>0</v>
      </c>
      <c r="I12" s="117">
        <f t="shared" si="3"/>
        <v>-78059.520000000004</v>
      </c>
      <c r="J12" s="117">
        <f t="shared" si="4"/>
        <v>-130099.20000000001</v>
      </c>
      <c r="K12" s="113">
        <v>0.75</v>
      </c>
      <c r="L12" s="27">
        <f t="shared" si="0"/>
        <v>-78059.520000000004</v>
      </c>
      <c r="M12" s="119"/>
      <c r="N12" s="31"/>
    </row>
    <row r="13" spans="1:23" x14ac:dyDescent="0.25">
      <c r="A13" s="120" t="s">
        <v>22</v>
      </c>
      <c r="B13" s="140" t="s">
        <v>38</v>
      </c>
      <c r="C13" s="140"/>
      <c r="D13" s="121">
        <v>0.125</v>
      </c>
      <c r="E13" s="57">
        <f>[1]Berekening!$E$11</f>
        <v>232320</v>
      </c>
      <c r="F13" s="122">
        <f>$F$5*E13</f>
        <v>58080</v>
      </c>
      <c r="G13" s="122">
        <f>$G$5*$E$13</f>
        <v>34848</v>
      </c>
      <c r="H13" s="123">
        <f>$H$5*E13</f>
        <v>0</v>
      </c>
      <c r="I13" s="123">
        <f>I5*$E$13</f>
        <v>-139392</v>
      </c>
      <c r="J13" s="124">
        <f>$J$5*E13</f>
        <v>-232320</v>
      </c>
      <c r="K13" s="125">
        <v>0.5</v>
      </c>
      <c r="L13" s="122">
        <f t="shared" si="0"/>
        <v>0</v>
      </c>
      <c r="M13" s="126"/>
      <c r="N13" s="127"/>
    </row>
    <row r="14" spans="1:23" x14ac:dyDescent="0.25">
      <c r="A14" s="22" t="s">
        <v>23</v>
      </c>
      <c r="B14" s="137" t="s">
        <v>41</v>
      </c>
      <c r="C14" s="137"/>
      <c r="D14" s="128">
        <v>0.17499999999999999</v>
      </c>
      <c r="E14" s="28">
        <f>[1]Berekening!$E$12</f>
        <v>325248</v>
      </c>
      <c r="F14" s="20">
        <f>$F$5*E14</f>
        <v>81312</v>
      </c>
      <c r="G14" s="20">
        <f>$G$5*$E$14</f>
        <v>48787.199999999997</v>
      </c>
      <c r="H14" s="129">
        <f>$H$5*E14</f>
        <v>0</v>
      </c>
      <c r="I14" s="129">
        <f>I5*$E$14</f>
        <v>-195148.79999999999</v>
      </c>
      <c r="J14" s="130">
        <f>$J$5*E14</f>
        <v>-325248</v>
      </c>
      <c r="K14" s="113">
        <v>0</v>
      </c>
      <c r="L14" s="20">
        <f t="shared" si="0"/>
        <v>81312</v>
      </c>
      <c r="M14" s="29"/>
      <c r="N14" s="30"/>
    </row>
    <row r="15" spans="1:23" ht="14.4" customHeight="1" x14ac:dyDescent="0.25">
      <c r="A15" s="22" t="s">
        <v>24</v>
      </c>
      <c r="B15" s="135" t="s">
        <v>43</v>
      </c>
      <c r="C15" s="136"/>
      <c r="D15" s="131"/>
      <c r="E15" s="28">
        <f>[1]Berekening!$F$13</f>
        <v>371712</v>
      </c>
      <c r="F15" s="63">
        <f>$F$5*E15</f>
        <v>92928</v>
      </c>
      <c r="G15" s="20">
        <f>$G$5*$E$15</f>
        <v>55756.799999999996</v>
      </c>
      <c r="H15" s="129">
        <f>$H$5*E15</f>
        <v>0</v>
      </c>
      <c r="I15" s="129">
        <f>I5*$E$15</f>
        <v>-223027.19999999998</v>
      </c>
      <c r="J15" s="130">
        <f>$J$5*E15</f>
        <v>-371712</v>
      </c>
      <c r="K15" s="113">
        <v>0.25</v>
      </c>
      <c r="L15" s="20">
        <f t="shared" si="0"/>
        <v>55756.799999999996</v>
      </c>
      <c r="M15" s="29"/>
      <c r="N15" s="30"/>
    </row>
    <row r="16" spans="1:23" ht="14.4" customHeight="1" thickBot="1" x14ac:dyDescent="0.3">
      <c r="A16" s="22" t="s">
        <v>25</v>
      </c>
      <c r="B16" s="135" t="s">
        <v>44</v>
      </c>
      <c r="C16" s="136"/>
      <c r="D16" s="131"/>
      <c r="E16" s="28">
        <f>[1]Berekening!$F$14</f>
        <v>247808</v>
      </c>
      <c r="F16" s="64">
        <f>$F$5*E16</f>
        <v>61952</v>
      </c>
      <c r="G16" s="20">
        <f>$G$5*$E$16</f>
        <v>37171.199999999997</v>
      </c>
      <c r="H16" s="129">
        <f>$H$5*E16</f>
        <v>0</v>
      </c>
      <c r="I16" s="129">
        <f>I5*E16</f>
        <v>-148684.79999999999</v>
      </c>
      <c r="J16" s="130">
        <f>$J$5*E16</f>
        <v>-247808</v>
      </c>
      <c r="K16" s="132">
        <v>1</v>
      </c>
      <c r="L16" s="67">
        <f t="shared" si="0"/>
        <v>-247808</v>
      </c>
      <c r="M16" s="68"/>
      <c r="N16" s="31"/>
    </row>
    <row r="17" spans="1:23" ht="15" customHeight="1" thickBot="1" x14ac:dyDescent="0.3">
      <c r="C17" s="24" t="s">
        <v>26</v>
      </c>
      <c r="D17" s="133"/>
      <c r="E17" s="57">
        <f>SUM(E7:E16)</f>
        <v>2478080</v>
      </c>
      <c r="F17" s="23"/>
      <c r="G17" s="23"/>
      <c r="H17" s="23"/>
      <c r="I17" s="23"/>
      <c r="J17" s="23"/>
      <c r="K17" s="152"/>
      <c r="L17" s="153"/>
      <c r="M17" s="154"/>
      <c r="N17" s="158"/>
      <c r="O17" s="17" t="s">
        <v>27</v>
      </c>
      <c r="P17" s="4" t="s">
        <v>28</v>
      </c>
      <c r="Q17" s="4" t="s">
        <v>29</v>
      </c>
      <c r="R17" s="39" t="s">
        <v>30</v>
      </c>
      <c r="S17" s="39"/>
      <c r="W17" s="13"/>
    </row>
    <row r="18" spans="1:23" ht="14.4" customHeight="1" thickBot="1" x14ac:dyDescent="0.3">
      <c r="E18" s="7"/>
      <c r="F18" s="7"/>
      <c r="G18" s="7"/>
      <c r="H18" s="7"/>
      <c r="I18" s="7"/>
      <c r="J18" s="7"/>
      <c r="K18" s="155"/>
      <c r="L18" s="156"/>
      <c r="M18" s="157"/>
      <c r="N18" s="151"/>
      <c r="O18" s="21">
        <f>SUM(L7:L14)</f>
        <v>-699283.2</v>
      </c>
      <c r="P18" s="34">
        <f>L15+L16</f>
        <v>-192051.20000000001</v>
      </c>
      <c r="Q18" s="35">
        <f>O18+P18</f>
        <v>-891334.39999999991</v>
      </c>
      <c r="R18" s="5">
        <f>RANK(Q18, $Q$18:$Q$162,1)</f>
        <v>1</v>
      </c>
      <c r="S18" s="39"/>
    </row>
    <row r="20" spans="1:23" ht="13.8" thickBot="1" x14ac:dyDescent="0.3"/>
    <row r="21" spans="1:23" ht="15" customHeight="1" thickBot="1" x14ac:dyDescent="0.3">
      <c r="K21" s="159" t="e">
        <f>'[1]TOTAAL NA'!#REF!</f>
        <v>#REF!</v>
      </c>
      <c r="L21" s="160"/>
      <c r="M21" s="160"/>
      <c r="N21" s="161"/>
      <c r="R21" s="144"/>
      <c r="S21" s="144"/>
    </row>
    <row r="22" spans="1:23" ht="13.8" thickBot="1" x14ac:dyDescent="0.3">
      <c r="A22" s="8" t="s">
        <v>3</v>
      </c>
      <c r="B22" s="146" t="s">
        <v>4</v>
      </c>
      <c r="C22" s="146"/>
      <c r="D22" s="89"/>
      <c r="E22" s="25" t="s">
        <v>5</v>
      </c>
      <c r="F22" s="25" t="s">
        <v>6</v>
      </c>
      <c r="G22" s="25" t="s">
        <v>7</v>
      </c>
      <c r="H22" s="25" t="s">
        <v>8</v>
      </c>
      <c r="I22" s="25" t="s">
        <v>9</v>
      </c>
      <c r="J22" s="9" t="s">
        <v>10</v>
      </c>
      <c r="K22" s="91" t="s">
        <v>11</v>
      </c>
      <c r="L22" s="66" t="s">
        <v>12</v>
      </c>
      <c r="M22" s="26" t="s">
        <v>13</v>
      </c>
      <c r="N22" s="14" t="s">
        <v>14</v>
      </c>
    </row>
    <row r="23" spans="1:23" ht="13.8" thickBot="1" x14ac:dyDescent="0.3">
      <c r="A23" s="95"/>
      <c r="B23" s="148"/>
      <c r="C23" s="149"/>
      <c r="D23" s="96"/>
      <c r="E23" s="97"/>
      <c r="F23" s="98">
        <v>0.25</v>
      </c>
      <c r="G23" s="98">
        <v>0.15</v>
      </c>
      <c r="H23" s="98">
        <v>0</v>
      </c>
      <c r="I23" s="99">
        <v>-0.6</v>
      </c>
      <c r="J23" s="100">
        <v>-1</v>
      </c>
      <c r="K23" s="90"/>
      <c r="L23" s="66"/>
      <c r="M23" s="26"/>
      <c r="N23" s="14"/>
    </row>
    <row r="24" spans="1:23" x14ac:dyDescent="0.25">
      <c r="A24" s="101" t="s">
        <v>15</v>
      </c>
      <c r="B24" s="147" t="str">
        <f>$B$6</f>
        <v>Demo / use cases</v>
      </c>
      <c r="C24" s="147"/>
      <c r="D24" s="102">
        <v>0.7</v>
      </c>
      <c r="E24" s="103">
        <f>[1]Berekening!$E$10</f>
        <v>1300992</v>
      </c>
      <c r="F24" s="104">
        <f>F23*$E$6</f>
        <v>325248</v>
      </c>
      <c r="G24" s="104">
        <f>$G$5*$E$6</f>
        <v>195148.79999999999</v>
      </c>
      <c r="H24" s="104">
        <f>$H$5*E24</f>
        <v>0</v>
      </c>
      <c r="I24" s="105">
        <f>I23*$E$6</f>
        <v>-780595.19999999995</v>
      </c>
      <c r="J24" s="106">
        <f>J23*$E$6</f>
        <v>-1300992</v>
      </c>
      <c r="K24" s="107"/>
      <c r="L24" s="108"/>
      <c r="M24" s="109"/>
      <c r="N24" s="110"/>
    </row>
    <row r="25" spans="1:23" x14ac:dyDescent="0.25">
      <c r="A25" s="69"/>
      <c r="B25" s="145" t="s">
        <v>16</v>
      </c>
      <c r="C25" s="145"/>
      <c r="D25" s="111">
        <v>0.2</v>
      </c>
      <c r="E25" s="28">
        <f>E24*D25</f>
        <v>260198.40000000002</v>
      </c>
      <c r="F25" s="64">
        <f>D25*F24</f>
        <v>65049.600000000006</v>
      </c>
      <c r="G25" s="64">
        <f>D25*$G$6</f>
        <v>39029.760000000002</v>
      </c>
      <c r="H25" s="64">
        <f>D25*$H$6</f>
        <v>0</v>
      </c>
      <c r="I25" s="112">
        <f>D25*$I$6</f>
        <v>-156119.04000000001</v>
      </c>
      <c r="J25" s="112">
        <f>D25*$J$6</f>
        <v>-260198.40000000002</v>
      </c>
      <c r="K25" s="113">
        <v>0.25</v>
      </c>
      <c r="L25" s="20">
        <f t="shared" ref="L25:L34" si="6">IF(K25=0.25,G25,IF(K25=0,F25,IF(K25=0.75,I25,IF(K25=0.5,H25,IF(K25=1,J25,"fout")))))</f>
        <v>39029.760000000002</v>
      </c>
      <c r="M25" s="29"/>
      <c r="N25" s="29"/>
    </row>
    <row r="26" spans="1:23" x14ac:dyDescent="0.25">
      <c r="A26" s="69"/>
      <c r="B26" s="145" t="s">
        <v>17</v>
      </c>
      <c r="C26" s="145"/>
      <c r="D26" s="111">
        <v>0.1</v>
      </c>
      <c r="E26" s="28">
        <f>E24*D26</f>
        <v>130099.20000000001</v>
      </c>
      <c r="F26" s="64">
        <f>D26*F24</f>
        <v>32524.800000000003</v>
      </c>
      <c r="G26" s="64">
        <f t="shared" ref="G26:G30" si="7">D26*$G$6</f>
        <v>19514.88</v>
      </c>
      <c r="H26" s="64">
        <f t="shared" ref="H26:H30" si="8">D26*$H$6</f>
        <v>0</v>
      </c>
      <c r="I26" s="112">
        <f t="shared" ref="I26:I30" si="9">D26*$I$6</f>
        <v>-78059.520000000004</v>
      </c>
      <c r="J26" s="112">
        <f t="shared" ref="J26:J30" si="10">D26*$J$6</f>
        <v>-130099.20000000001</v>
      </c>
      <c r="K26" s="113">
        <v>0.25</v>
      </c>
      <c r="L26" s="20">
        <f t="shared" si="6"/>
        <v>19514.88</v>
      </c>
      <c r="M26" s="29"/>
      <c r="N26" s="29"/>
    </row>
    <row r="27" spans="1:23" x14ac:dyDescent="0.25">
      <c r="A27" s="69"/>
      <c r="B27" s="138" t="s">
        <v>18</v>
      </c>
      <c r="C27" s="138"/>
      <c r="D27" s="111">
        <v>0.2</v>
      </c>
      <c r="E27" s="28">
        <f>E24*D27</f>
        <v>260198.40000000002</v>
      </c>
      <c r="F27" s="64">
        <f>D27*$F$6</f>
        <v>65049.600000000006</v>
      </c>
      <c r="G27" s="64">
        <f t="shared" si="7"/>
        <v>39029.760000000002</v>
      </c>
      <c r="H27" s="64">
        <f t="shared" si="8"/>
        <v>0</v>
      </c>
      <c r="I27" s="112">
        <f t="shared" si="9"/>
        <v>-156119.04000000001</v>
      </c>
      <c r="J27" s="112">
        <f t="shared" si="10"/>
        <v>-260198.40000000002</v>
      </c>
      <c r="K27" s="113">
        <v>0.75</v>
      </c>
      <c r="L27" s="20">
        <f t="shared" si="6"/>
        <v>-156119.04000000001</v>
      </c>
      <c r="M27" s="29"/>
      <c r="N27" s="29"/>
    </row>
    <row r="28" spans="1:23" x14ac:dyDescent="0.25">
      <c r="A28" s="69"/>
      <c r="B28" s="138" t="s">
        <v>19</v>
      </c>
      <c r="C28" s="138"/>
      <c r="D28" s="111">
        <v>0.3</v>
      </c>
      <c r="E28" s="28">
        <f>E24*D28</f>
        <v>390297.59999999998</v>
      </c>
      <c r="F28" s="64">
        <f t="shared" ref="F28:F30" si="11">D28*$F$6</f>
        <v>97574.399999999994</v>
      </c>
      <c r="G28" s="64">
        <f t="shared" si="7"/>
        <v>58544.639999999992</v>
      </c>
      <c r="H28" s="64">
        <f t="shared" si="8"/>
        <v>0</v>
      </c>
      <c r="I28" s="112">
        <f t="shared" si="9"/>
        <v>-234178.55999999997</v>
      </c>
      <c r="J28" s="112">
        <f t="shared" si="10"/>
        <v>-390297.59999999998</v>
      </c>
      <c r="K28" s="113">
        <v>0.75</v>
      </c>
      <c r="L28" s="20">
        <f t="shared" si="6"/>
        <v>-234178.55999999997</v>
      </c>
      <c r="M28" s="29"/>
      <c r="N28" s="29"/>
    </row>
    <row r="29" spans="1:23" x14ac:dyDescent="0.25">
      <c r="A29" s="69"/>
      <c r="B29" s="138" t="s">
        <v>20</v>
      </c>
      <c r="C29" s="138"/>
      <c r="D29" s="111">
        <v>0.1</v>
      </c>
      <c r="E29" s="28">
        <f>E24*D29</f>
        <v>130099.20000000001</v>
      </c>
      <c r="F29" s="64">
        <f t="shared" si="11"/>
        <v>32524.800000000003</v>
      </c>
      <c r="G29" s="64">
        <f t="shared" si="7"/>
        <v>19514.88</v>
      </c>
      <c r="H29" s="64">
        <f t="shared" si="8"/>
        <v>0</v>
      </c>
      <c r="I29" s="112">
        <f t="shared" si="9"/>
        <v>-78059.520000000004</v>
      </c>
      <c r="J29" s="112">
        <f t="shared" si="10"/>
        <v>-130099.20000000001</v>
      </c>
      <c r="K29" s="113">
        <v>0.5</v>
      </c>
      <c r="L29" s="20">
        <f t="shared" si="6"/>
        <v>0</v>
      </c>
      <c r="M29" s="29"/>
      <c r="N29" s="29"/>
    </row>
    <row r="30" spans="1:23" ht="13.8" thickBot="1" x14ac:dyDescent="0.3">
      <c r="A30" s="3"/>
      <c r="B30" s="139" t="s">
        <v>21</v>
      </c>
      <c r="C30" s="139"/>
      <c r="D30" s="114">
        <v>0.1</v>
      </c>
      <c r="E30" s="115">
        <f>E24*D30</f>
        <v>130099.20000000001</v>
      </c>
      <c r="F30" s="116">
        <f t="shared" si="11"/>
        <v>32524.800000000003</v>
      </c>
      <c r="G30" s="116">
        <f t="shared" si="7"/>
        <v>19514.88</v>
      </c>
      <c r="H30" s="116">
        <f t="shared" si="8"/>
        <v>0</v>
      </c>
      <c r="I30" s="117">
        <f t="shared" si="9"/>
        <v>-78059.520000000004</v>
      </c>
      <c r="J30" s="117">
        <f t="shared" si="10"/>
        <v>-130099.20000000001</v>
      </c>
      <c r="K30" s="118">
        <v>1</v>
      </c>
      <c r="L30" s="27">
        <f t="shared" si="6"/>
        <v>-130099.20000000001</v>
      </c>
      <c r="M30" s="119"/>
      <c r="N30" s="31"/>
    </row>
    <row r="31" spans="1:23" ht="13.8" thickBot="1" x14ac:dyDescent="0.3">
      <c r="A31" s="120" t="s">
        <v>22</v>
      </c>
      <c r="B31" s="140" t="str">
        <f>$B$13</f>
        <v>Implementatie en aanpak</v>
      </c>
      <c r="C31" s="140"/>
      <c r="D31" s="134">
        <v>0.125</v>
      </c>
      <c r="E31" s="57">
        <f>[1]Berekening!$E$11</f>
        <v>232320</v>
      </c>
      <c r="F31" s="122">
        <f>$F$5*E31</f>
        <v>58080</v>
      </c>
      <c r="G31" s="122">
        <f>$G$5*$E$13</f>
        <v>34848</v>
      </c>
      <c r="H31" s="122">
        <f>$H$5*E31</f>
        <v>0</v>
      </c>
      <c r="I31" s="123">
        <f>I23*$E$13</f>
        <v>-139392</v>
      </c>
      <c r="J31" s="124">
        <f>$J$5*E31</f>
        <v>-232320</v>
      </c>
      <c r="K31" s="125">
        <v>0.5</v>
      </c>
      <c r="L31" s="122">
        <f t="shared" si="6"/>
        <v>0</v>
      </c>
      <c r="M31" s="126"/>
      <c r="N31" s="127"/>
    </row>
    <row r="32" spans="1:23" x14ac:dyDescent="0.25">
      <c r="A32" s="22" t="s">
        <v>23</v>
      </c>
      <c r="B32" s="137" t="str">
        <f>$B$14</f>
        <v>Werkwijze koppelingen</v>
      </c>
      <c r="C32" s="137"/>
      <c r="D32" s="134">
        <v>0.17499999999999999</v>
      </c>
      <c r="E32" s="28">
        <f>[1]Berekening!$E$12</f>
        <v>325248</v>
      </c>
      <c r="F32" s="20">
        <f>$F$5*E32</f>
        <v>81312</v>
      </c>
      <c r="G32" s="20">
        <f>$G$5*$E$14</f>
        <v>48787.199999999997</v>
      </c>
      <c r="H32" s="20">
        <f>$H$5*E32</f>
        <v>0</v>
      </c>
      <c r="I32" s="129">
        <f>I23*$E$14</f>
        <v>-195148.79999999999</v>
      </c>
      <c r="J32" s="130">
        <f>$J$5*E32</f>
        <v>-325248</v>
      </c>
      <c r="K32" s="113">
        <v>0.75</v>
      </c>
      <c r="L32" s="20">
        <f t="shared" si="6"/>
        <v>-195148.79999999999</v>
      </c>
      <c r="M32" s="29"/>
      <c r="N32" s="30"/>
    </row>
    <row r="33" spans="1:19" x14ac:dyDescent="0.25">
      <c r="A33" s="22" t="s">
        <v>24</v>
      </c>
      <c r="B33" s="135" t="str">
        <f>$B$15</f>
        <v>MVOI vraag 1 (60%)</v>
      </c>
      <c r="C33" s="136"/>
      <c r="D33" s="88"/>
      <c r="E33" s="28">
        <f>[1]Berekening!$F$13</f>
        <v>371712</v>
      </c>
      <c r="F33" s="63">
        <f>$F$5*E33</f>
        <v>92928</v>
      </c>
      <c r="G33" s="20">
        <f>$G$5*$E$15</f>
        <v>55756.799999999996</v>
      </c>
      <c r="H33" s="20">
        <f>$H$5*E33</f>
        <v>0</v>
      </c>
      <c r="I33" s="129">
        <f>I23*$E$15</f>
        <v>-223027.19999999998</v>
      </c>
      <c r="J33" s="130">
        <f>$J$5*E33</f>
        <v>-371712</v>
      </c>
      <c r="K33" s="113">
        <v>0.25</v>
      </c>
      <c r="L33" s="20">
        <f t="shared" si="6"/>
        <v>55756.799999999996</v>
      </c>
      <c r="M33" s="29"/>
      <c r="N33" s="30"/>
    </row>
    <row r="34" spans="1:19" ht="13.8" thickBot="1" x14ac:dyDescent="0.3">
      <c r="A34" s="22" t="s">
        <v>25</v>
      </c>
      <c r="B34" s="135" t="str">
        <f>$B$16</f>
        <v>MVOI vraag 2 (40%)</v>
      </c>
      <c r="C34" s="136"/>
      <c r="D34" s="88"/>
      <c r="E34" s="28">
        <f>[1]Berekening!$F$14</f>
        <v>247808</v>
      </c>
      <c r="F34" s="64">
        <f>$F$5*E34</f>
        <v>61952</v>
      </c>
      <c r="G34" s="20">
        <f>$G$5*$E$16</f>
        <v>37171.199999999997</v>
      </c>
      <c r="H34" s="20">
        <f>$H$5*E34</f>
        <v>0</v>
      </c>
      <c r="I34" s="129">
        <f>I23*E34</f>
        <v>-148684.79999999999</v>
      </c>
      <c r="J34" s="130">
        <f>$J$5*E34</f>
        <v>-247808</v>
      </c>
      <c r="K34" s="132">
        <v>0.25</v>
      </c>
      <c r="L34" s="67">
        <f t="shared" si="6"/>
        <v>37171.199999999997</v>
      </c>
      <c r="M34" s="68"/>
      <c r="N34" s="31"/>
    </row>
    <row r="35" spans="1:19" ht="13.8" thickBot="1" x14ac:dyDescent="0.3">
      <c r="C35" s="24" t="s">
        <v>26</v>
      </c>
      <c r="D35" s="24"/>
      <c r="E35" s="57">
        <f>SUM(E25:E34)</f>
        <v>2478080</v>
      </c>
      <c r="F35" s="23"/>
      <c r="G35" s="23"/>
      <c r="H35" s="23"/>
      <c r="I35" s="23"/>
      <c r="J35" s="23"/>
      <c r="K35" s="152"/>
      <c r="L35" s="153"/>
      <c r="M35" s="154"/>
      <c r="N35" s="158"/>
      <c r="O35" s="17" t="s">
        <v>27</v>
      </c>
      <c r="P35" s="4" t="s">
        <v>28</v>
      </c>
      <c r="Q35" s="4" t="s">
        <v>29</v>
      </c>
      <c r="R35" s="39" t="s">
        <v>30</v>
      </c>
      <c r="S35" s="39"/>
    </row>
    <row r="36" spans="1:19" ht="14.4" customHeight="1" thickBot="1" x14ac:dyDescent="0.3">
      <c r="E36" s="7"/>
      <c r="F36" s="7"/>
      <c r="G36" s="7"/>
      <c r="H36" s="7"/>
      <c r="I36" s="7"/>
      <c r="J36" s="7"/>
      <c r="K36" s="155"/>
      <c r="L36" s="156"/>
      <c r="M36" s="157"/>
      <c r="N36" s="151"/>
      <c r="O36" s="21">
        <f>SUM(L25:L32)</f>
        <v>-657000.95999999996</v>
      </c>
      <c r="P36" s="34">
        <f>L33+L34</f>
        <v>92928</v>
      </c>
      <c r="Q36" s="35">
        <f>O36+P36</f>
        <v>-564072.95999999996</v>
      </c>
      <c r="R36" s="5">
        <f>RANK(Q36, $Q$18:$Q$162,1)</f>
        <v>3</v>
      </c>
      <c r="S36" s="39"/>
    </row>
    <row r="38" spans="1:19" ht="13.8" thickBot="1" x14ac:dyDescent="0.3"/>
    <row r="39" spans="1:19" ht="15" customHeight="1" thickBot="1" x14ac:dyDescent="0.3">
      <c r="K39" s="159" t="e">
        <f>'[1]TOTAAL NA'!#REF!</f>
        <v>#REF!</v>
      </c>
      <c r="L39" s="160"/>
      <c r="M39" s="160"/>
      <c r="N39" s="161"/>
      <c r="R39" s="144"/>
      <c r="S39" s="144"/>
    </row>
    <row r="40" spans="1:19" ht="13.8" thickBot="1" x14ac:dyDescent="0.3">
      <c r="A40" s="8" t="s">
        <v>3</v>
      </c>
      <c r="B40" s="146" t="s">
        <v>4</v>
      </c>
      <c r="C40" s="146"/>
      <c r="D40" s="89"/>
      <c r="E40" s="25" t="s">
        <v>5</v>
      </c>
      <c r="F40" s="25" t="s">
        <v>6</v>
      </c>
      <c r="G40" s="25" t="s">
        <v>7</v>
      </c>
      <c r="H40" s="25" t="s">
        <v>8</v>
      </c>
      <c r="I40" s="25" t="s">
        <v>9</v>
      </c>
      <c r="J40" s="9" t="s">
        <v>10</v>
      </c>
      <c r="K40" s="91" t="s">
        <v>11</v>
      </c>
      <c r="L40" s="66" t="s">
        <v>12</v>
      </c>
      <c r="M40" s="26" t="s">
        <v>13</v>
      </c>
      <c r="N40" s="14" t="s">
        <v>14</v>
      </c>
    </row>
    <row r="41" spans="1:19" ht="13.8" thickBot="1" x14ac:dyDescent="0.3">
      <c r="A41" s="95"/>
      <c r="B41" s="148"/>
      <c r="C41" s="149"/>
      <c r="D41" s="96"/>
      <c r="E41" s="97"/>
      <c r="F41" s="98">
        <v>0.25</v>
      </c>
      <c r="G41" s="98">
        <v>0.15</v>
      </c>
      <c r="H41" s="98">
        <v>0</v>
      </c>
      <c r="I41" s="99">
        <v>-0.6</v>
      </c>
      <c r="J41" s="100">
        <v>-1</v>
      </c>
      <c r="K41" s="90"/>
      <c r="L41" s="66"/>
      <c r="M41" s="26"/>
      <c r="N41" s="14"/>
    </row>
    <row r="42" spans="1:19" x14ac:dyDescent="0.25">
      <c r="A42" s="101" t="s">
        <v>15</v>
      </c>
      <c r="B42" s="147" t="str">
        <f>$B$6</f>
        <v>Demo / use cases</v>
      </c>
      <c r="C42" s="147"/>
      <c r="D42" s="102">
        <v>0.7</v>
      </c>
      <c r="E42" s="103">
        <f>[1]Berekening!$E$10</f>
        <v>1300992</v>
      </c>
      <c r="F42" s="104">
        <f>F41*$E$6</f>
        <v>325248</v>
      </c>
      <c r="G42" s="104">
        <f>$G$5*$E$6</f>
        <v>195148.79999999999</v>
      </c>
      <c r="H42" s="104">
        <f>$H$5*E42</f>
        <v>0</v>
      </c>
      <c r="I42" s="105">
        <f>I41*$E$6</f>
        <v>-780595.19999999995</v>
      </c>
      <c r="J42" s="106">
        <f>J41*$E$6</f>
        <v>-1300992</v>
      </c>
      <c r="K42" s="107"/>
      <c r="L42" s="108"/>
      <c r="M42" s="109"/>
      <c r="N42" s="110"/>
    </row>
    <row r="43" spans="1:19" ht="13.2" customHeight="1" x14ac:dyDescent="0.25">
      <c r="A43" s="69"/>
      <c r="B43" s="145" t="s">
        <v>16</v>
      </c>
      <c r="C43" s="145"/>
      <c r="D43" s="111">
        <v>0.2</v>
      </c>
      <c r="E43" s="28">
        <f>E42*D43</f>
        <v>260198.40000000002</v>
      </c>
      <c r="F43" s="64">
        <f>D43*F42</f>
        <v>65049.600000000006</v>
      </c>
      <c r="G43" s="64">
        <f>D43*$G$6</f>
        <v>39029.760000000002</v>
      </c>
      <c r="H43" s="64">
        <f>D43*$H$6</f>
        <v>0</v>
      </c>
      <c r="I43" s="112">
        <f>D43*$I$6</f>
        <v>-156119.04000000001</v>
      </c>
      <c r="J43" s="112">
        <f>D43*$J$6</f>
        <v>-260198.40000000002</v>
      </c>
      <c r="K43" s="113">
        <v>1</v>
      </c>
      <c r="L43" s="20">
        <f t="shared" ref="L43:L52" si="12">IF(K43=0.25,G43,IF(K43=0,F43,IF(K43=0.75,I43,IF(K43=0.5,H43,IF(K43=1,J43,"fout")))))</f>
        <v>-260198.40000000002</v>
      </c>
      <c r="M43" s="29"/>
      <c r="N43" s="29"/>
    </row>
    <row r="44" spans="1:19" ht="13.2" customHeight="1" x14ac:dyDescent="0.25">
      <c r="A44" s="69"/>
      <c r="B44" s="145" t="s">
        <v>17</v>
      </c>
      <c r="C44" s="145"/>
      <c r="D44" s="111">
        <v>0.1</v>
      </c>
      <c r="E44" s="28">
        <f>E42*D44</f>
        <v>130099.20000000001</v>
      </c>
      <c r="F44" s="64">
        <f>D44*F42</f>
        <v>32524.800000000003</v>
      </c>
      <c r="G44" s="64">
        <f t="shared" ref="G44:G48" si="13">D44*$G$6</f>
        <v>19514.88</v>
      </c>
      <c r="H44" s="64">
        <f t="shared" ref="H44:H48" si="14">D44*$H$6</f>
        <v>0</v>
      </c>
      <c r="I44" s="112">
        <f t="shared" ref="I44:I48" si="15">D44*$I$6</f>
        <v>-78059.520000000004</v>
      </c>
      <c r="J44" s="112">
        <f t="shared" ref="J44:J48" si="16">D44*$J$6</f>
        <v>-130099.20000000001</v>
      </c>
      <c r="K44" s="113">
        <v>0</v>
      </c>
      <c r="L44" s="20">
        <f t="shared" si="12"/>
        <v>32524.800000000003</v>
      </c>
      <c r="M44" s="29"/>
      <c r="N44" s="29"/>
    </row>
    <row r="45" spans="1:19" ht="13.2" customHeight="1" x14ac:dyDescent="0.25">
      <c r="A45" s="69"/>
      <c r="B45" s="138" t="s">
        <v>18</v>
      </c>
      <c r="C45" s="138"/>
      <c r="D45" s="111">
        <v>0.2</v>
      </c>
      <c r="E45" s="28">
        <f>E42*D45</f>
        <v>260198.40000000002</v>
      </c>
      <c r="F45" s="64">
        <f>D45*$F$6</f>
        <v>65049.600000000006</v>
      </c>
      <c r="G45" s="64">
        <f t="shared" si="13"/>
        <v>39029.760000000002</v>
      </c>
      <c r="H45" s="64">
        <f t="shared" si="14"/>
        <v>0</v>
      </c>
      <c r="I45" s="112">
        <f t="shared" si="15"/>
        <v>-156119.04000000001</v>
      </c>
      <c r="J45" s="112">
        <f t="shared" si="16"/>
        <v>-260198.40000000002</v>
      </c>
      <c r="K45" s="113">
        <v>0.75</v>
      </c>
      <c r="L45" s="20">
        <f t="shared" si="12"/>
        <v>-156119.04000000001</v>
      </c>
      <c r="M45" s="29"/>
      <c r="N45" s="29"/>
    </row>
    <row r="46" spans="1:19" ht="13.2" customHeight="1" x14ac:dyDescent="0.25">
      <c r="A46" s="69"/>
      <c r="B46" s="138" t="s">
        <v>19</v>
      </c>
      <c r="C46" s="138"/>
      <c r="D46" s="111">
        <v>0.3</v>
      </c>
      <c r="E46" s="28">
        <f>E42*D46</f>
        <v>390297.59999999998</v>
      </c>
      <c r="F46" s="64">
        <f t="shared" ref="F46:F48" si="17">D46*$F$6</f>
        <v>97574.399999999994</v>
      </c>
      <c r="G46" s="64">
        <f t="shared" si="13"/>
        <v>58544.639999999992</v>
      </c>
      <c r="H46" s="64">
        <f t="shared" si="14"/>
        <v>0</v>
      </c>
      <c r="I46" s="112">
        <f t="shared" si="15"/>
        <v>-234178.55999999997</v>
      </c>
      <c r="J46" s="112">
        <f t="shared" si="16"/>
        <v>-390297.59999999998</v>
      </c>
      <c r="K46" s="113">
        <v>0.75</v>
      </c>
      <c r="L46" s="20">
        <f t="shared" si="12"/>
        <v>-234178.55999999997</v>
      </c>
      <c r="M46" s="29"/>
      <c r="N46" s="29"/>
    </row>
    <row r="47" spans="1:19" ht="13.2" customHeight="1" x14ac:dyDescent="0.25">
      <c r="A47" s="69"/>
      <c r="B47" s="138" t="s">
        <v>20</v>
      </c>
      <c r="C47" s="138"/>
      <c r="D47" s="111">
        <v>0.1</v>
      </c>
      <c r="E47" s="28">
        <f>E42*D47</f>
        <v>130099.20000000001</v>
      </c>
      <c r="F47" s="64">
        <f t="shared" si="17"/>
        <v>32524.800000000003</v>
      </c>
      <c r="G47" s="64">
        <f t="shared" si="13"/>
        <v>19514.88</v>
      </c>
      <c r="H47" s="64">
        <f t="shared" si="14"/>
        <v>0</v>
      </c>
      <c r="I47" s="112">
        <f t="shared" si="15"/>
        <v>-78059.520000000004</v>
      </c>
      <c r="J47" s="112">
        <f t="shared" si="16"/>
        <v>-130099.20000000001</v>
      </c>
      <c r="K47" s="113">
        <v>0.5</v>
      </c>
      <c r="L47" s="20">
        <f t="shared" si="12"/>
        <v>0</v>
      </c>
      <c r="M47" s="29"/>
      <c r="N47" s="29"/>
    </row>
    <row r="48" spans="1:19" ht="13.95" customHeight="1" thickBot="1" x14ac:dyDescent="0.3">
      <c r="A48" s="3"/>
      <c r="B48" s="139" t="s">
        <v>21</v>
      </c>
      <c r="C48" s="139"/>
      <c r="D48" s="114">
        <v>0.1</v>
      </c>
      <c r="E48" s="115">
        <f>E42*D48</f>
        <v>130099.20000000001</v>
      </c>
      <c r="F48" s="116">
        <f t="shared" si="17"/>
        <v>32524.800000000003</v>
      </c>
      <c r="G48" s="116">
        <f t="shared" si="13"/>
        <v>19514.88</v>
      </c>
      <c r="H48" s="116">
        <f t="shared" si="14"/>
        <v>0</v>
      </c>
      <c r="I48" s="117">
        <f t="shared" si="15"/>
        <v>-78059.520000000004</v>
      </c>
      <c r="J48" s="117">
        <f t="shared" si="16"/>
        <v>-130099.20000000001</v>
      </c>
      <c r="K48" s="118">
        <v>1</v>
      </c>
      <c r="L48" s="27">
        <f t="shared" si="12"/>
        <v>-130099.20000000001</v>
      </c>
      <c r="M48" s="119"/>
      <c r="N48" s="31"/>
    </row>
    <row r="49" spans="1:19" ht="13.8" thickBot="1" x14ac:dyDescent="0.3">
      <c r="A49" s="120" t="s">
        <v>22</v>
      </c>
      <c r="B49" s="140" t="str">
        <f>$B$13</f>
        <v>Implementatie en aanpak</v>
      </c>
      <c r="C49" s="140"/>
      <c r="D49" s="134">
        <v>0.125</v>
      </c>
      <c r="E49" s="57">
        <f>[1]Berekening!$E$11</f>
        <v>232320</v>
      </c>
      <c r="F49" s="122">
        <f>$F$5*E49</f>
        <v>58080</v>
      </c>
      <c r="G49" s="122">
        <f>$G$5*$E$13</f>
        <v>34848</v>
      </c>
      <c r="H49" s="122">
        <f>$H$5*E49</f>
        <v>0</v>
      </c>
      <c r="I49" s="123">
        <f>I41*$E$13</f>
        <v>-139392</v>
      </c>
      <c r="J49" s="124">
        <f>$J$5*E49</f>
        <v>-232320</v>
      </c>
      <c r="K49" s="125">
        <v>0.5</v>
      </c>
      <c r="L49" s="122">
        <f t="shared" si="12"/>
        <v>0</v>
      </c>
      <c r="M49" s="126"/>
      <c r="N49" s="127"/>
    </row>
    <row r="50" spans="1:19" x14ac:dyDescent="0.25">
      <c r="A50" s="22" t="s">
        <v>23</v>
      </c>
      <c r="B50" s="137" t="str">
        <f>$B$14</f>
        <v>Werkwijze koppelingen</v>
      </c>
      <c r="C50" s="137"/>
      <c r="D50" s="134">
        <v>0.17499999999999999</v>
      </c>
      <c r="E50" s="28">
        <f>[1]Berekening!$E$12</f>
        <v>325248</v>
      </c>
      <c r="F50" s="20">
        <f>$F$5*E50</f>
        <v>81312</v>
      </c>
      <c r="G50" s="20">
        <f>$G$5*$E$14</f>
        <v>48787.199999999997</v>
      </c>
      <c r="H50" s="20">
        <f>$H$5*E50</f>
        <v>0</v>
      </c>
      <c r="I50" s="129">
        <f>I41*$E$14</f>
        <v>-195148.79999999999</v>
      </c>
      <c r="J50" s="130">
        <f>$J$5*E50</f>
        <v>-325248</v>
      </c>
      <c r="K50" s="113">
        <v>0.75</v>
      </c>
      <c r="L50" s="20">
        <f t="shared" si="12"/>
        <v>-195148.79999999999</v>
      </c>
      <c r="M50" s="29"/>
      <c r="N50" s="30"/>
    </row>
    <row r="51" spans="1:19" x14ac:dyDescent="0.25">
      <c r="A51" s="22" t="s">
        <v>24</v>
      </c>
      <c r="B51" s="135" t="str">
        <f>$B$15</f>
        <v>MVOI vraag 1 (60%)</v>
      </c>
      <c r="C51" s="136"/>
      <c r="D51" s="88"/>
      <c r="E51" s="28">
        <f>[1]Berekening!$F$13</f>
        <v>371712</v>
      </c>
      <c r="F51" s="63">
        <f>$F$5*E51</f>
        <v>92928</v>
      </c>
      <c r="G51" s="20">
        <f>$G$5*$E$15</f>
        <v>55756.799999999996</v>
      </c>
      <c r="H51" s="20">
        <f>$H$5*E51</f>
        <v>0</v>
      </c>
      <c r="I51" s="129">
        <f>I41*$E$15</f>
        <v>-223027.19999999998</v>
      </c>
      <c r="J51" s="130">
        <f>$J$5*E51</f>
        <v>-371712</v>
      </c>
      <c r="K51" s="113">
        <v>0.25</v>
      </c>
      <c r="L51" s="20">
        <f t="shared" si="12"/>
        <v>55756.799999999996</v>
      </c>
      <c r="M51" s="29"/>
      <c r="N51" s="30"/>
    </row>
    <row r="52" spans="1:19" ht="13.8" thickBot="1" x14ac:dyDescent="0.3">
      <c r="A52" s="22" t="s">
        <v>25</v>
      </c>
      <c r="B52" s="135" t="str">
        <f>$B$16</f>
        <v>MVOI vraag 2 (40%)</v>
      </c>
      <c r="C52" s="136"/>
      <c r="D52" s="88"/>
      <c r="E52" s="28">
        <f>[1]Berekening!$F$14</f>
        <v>247808</v>
      </c>
      <c r="F52" s="64">
        <f>$F$5*E52</f>
        <v>61952</v>
      </c>
      <c r="G52" s="20">
        <f>$G$5*$E$16</f>
        <v>37171.199999999997</v>
      </c>
      <c r="H52" s="20">
        <f>$H$5*E52</f>
        <v>0</v>
      </c>
      <c r="I52" s="129">
        <f>I41*E52</f>
        <v>-148684.79999999999</v>
      </c>
      <c r="J52" s="130">
        <f>$J$5*E52</f>
        <v>-247808</v>
      </c>
      <c r="K52" s="132">
        <v>0.25</v>
      </c>
      <c r="L52" s="67">
        <f t="shared" si="12"/>
        <v>37171.199999999997</v>
      </c>
      <c r="M52" s="68"/>
      <c r="N52" s="31"/>
    </row>
    <row r="53" spans="1:19" ht="13.8" thickBot="1" x14ac:dyDescent="0.3">
      <c r="C53" s="24" t="s">
        <v>26</v>
      </c>
      <c r="D53" s="24"/>
      <c r="E53" s="57">
        <f>SUM(E43:E52)</f>
        <v>2478080</v>
      </c>
      <c r="F53" s="23"/>
      <c r="G53" s="23"/>
      <c r="H53" s="23"/>
      <c r="I53" s="23"/>
      <c r="J53" s="23"/>
      <c r="K53" s="152"/>
      <c r="L53" s="153"/>
      <c r="M53" s="154"/>
      <c r="N53" s="158"/>
      <c r="O53" s="17" t="s">
        <v>27</v>
      </c>
      <c r="P53" s="4" t="s">
        <v>28</v>
      </c>
      <c r="Q53" s="4" t="s">
        <v>29</v>
      </c>
      <c r="R53" s="39" t="s">
        <v>30</v>
      </c>
      <c r="S53" s="39"/>
    </row>
    <row r="54" spans="1:19" ht="14.4" customHeight="1" thickBot="1" x14ac:dyDescent="0.3">
      <c r="E54" s="7"/>
      <c r="F54" s="7"/>
      <c r="G54" s="7"/>
      <c r="H54" s="7"/>
      <c r="I54" s="7"/>
      <c r="J54" s="7"/>
      <c r="K54" s="155"/>
      <c r="L54" s="156"/>
      <c r="M54" s="157"/>
      <c r="N54" s="151"/>
      <c r="O54" s="21">
        <f>SUM(L43:L50)</f>
        <v>-943219.19999999995</v>
      </c>
      <c r="P54" s="34">
        <f>L51+L52</f>
        <v>92928</v>
      </c>
      <c r="Q54" s="35">
        <f>O54+P54</f>
        <v>-850291.19999999995</v>
      </c>
      <c r="R54" s="5">
        <f>RANK(Q54, $Q$18:$Q$162,1)</f>
        <v>2</v>
      </c>
      <c r="S54" s="39"/>
    </row>
    <row r="56" spans="1:19" ht="13.8" thickBot="1" x14ac:dyDescent="0.3"/>
    <row r="57" spans="1:19" ht="15" customHeight="1" thickBot="1" x14ac:dyDescent="0.3">
      <c r="K57" s="159" t="str">
        <f>'[1]TOTAAL NA'!K55</f>
        <v>Leverancier 4</v>
      </c>
      <c r="L57" s="160"/>
      <c r="M57" s="160"/>
      <c r="N57" s="161"/>
      <c r="R57" s="144"/>
      <c r="S57" s="144"/>
    </row>
    <row r="58" spans="1:19" ht="13.8" thickBot="1" x14ac:dyDescent="0.3">
      <c r="A58" s="8" t="s">
        <v>3</v>
      </c>
      <c r="B58" s="146" t="s">
        <v>4</v>
      </c>
      <c r="C58" s="146"/>
      <c r="D58" s="89"/>
      <c r="E58" s="25" t="s">
        <v>5</v>
      </c>
      <c r="F58" s="25" t="s">
        <v>6</v>
      </c>
      <c r="G58" s="25" t="s">
        <v>7</v>
      </c>
      <c r="H58" s="25" t="s">
        <v>8</v>
      </c>
      <c r="I58" s="25" t="s">
        <v>9</v>
      </c>
      <c r="J58" s="9" t="s">
        <v>10</v>
      </c>
      <c r="K58" s="91" t="s">
        <v>11</v>
      </c>
      <c r="L58" s="66" t="s">
        <v>12</v>
      </c>
      <c r="M58" s="26" t="s">
        <v>13</v>
      </c>
      <c r="N58" s="14" t="s">
        <v>14</v>
      </c>
    </row>
    <row r="59" spans="1:19" ht="13.8" thickBot="1" x14ac:dyDescent="0.3">
      <c r="A59" s="95"/>
      <c r="B59" s="148"/>
      <c r="C59" s="149"/>
      <c r="D59" s="96"/>
      <c r="E59" s="97"/>
      <c r="F59" s="98">
        <v>0.25</v>
      </c>
      <c r="G59" s="98">
        <v>0.15</v>
      </c>
      <c r="H59" s="98">
        <v>0</v>
      </c>
      <c r="I59" s="99">
        <v>-0.6</v>
      </c>
      <c r="J59" s="100">
        <v>-1</v>
      </c>
      <c r="K59" s="90"/>
      <c r="L59" s="66"/>
      <c r="M59" s="26"/>
      <c r="N59" s="14"/>
    </row>
    <row r="60" spans="1:19" x14ac:dyDescent="0.25">
      <c r="A60" s="101" t="s">
        <v>15</v>
      </c>
      <c r="B60" s="147" t="str">
        <f>$B$6</f>
        <v>Demo / use cases</v>
      </c>
      <c r="C60" s="147"/>
      <c r="D60" s="102">
        <v>0.7</v>
      </c>
      <c r="E60" s="103">
        <f>[1]Berekening!$E$10</f>
        <v>1300992</v>
      </c>
      <c r="F60" s="104">
        <f>F59*$E$6</f>
        <v>325248</v>
      </c>
      <c r="G60" s="104">
        <f>$G$5*$E$6</f>
        <v>195148.79999999999</v>
      </c>
      <c r="H60" s="104">
        <f>$H$5*E60</f>
        <v>0</v>
      </c>
      <c r="I60" s="105">
        <f>I59*$E$6</f>
        <v>-780595.19999999995</v>
      </c>
      <c r="J60" s="106">
        <f>J59*$E$6</f>
        <v>-1300992</v>
      </c>
      <c r="K60" s="107"/>
      <c r="L60" s="108"/>
      <c r="M60" s="109"/>
      <c r="N60" s="110"/>
    </row>
    <row r="61" spans="1:19" ht="13.2" customHeight="1" x14ac:dyDescent="0.25">
      <c r="A61" s="69"/>
      <c r="B61" s="145" t="s">
        <v>16</v>
      </c>
      <c r="C61" s="145"/>
      <c r="D61" s="111">
        <v>0.2</v>
      </c>
      <c r="E61" s="28">
        <f>E60*D61</f>
        <v>260198.40000000002</v>
      </c>
      <c r="F61" s="64">
        <f>D61*F60</f>
        <v>65049.600000000006</v>
      </c>
      <c r="G61" s="64">
        <f>D61*$G$6</f>
        <v>39029.760000000002</v>
      </c>
      <c r="H61" s="64">
        <f>D61*$H$6</f>
        <v>0</v>
      </c>
      <c r="I61" s="112">
        <f>D61*$I$6</f>
        <v>-156119.04000000001</v>
      </c>
      <c r="J61" s="112">
        <f>D61*$J$6</f>
        <v>-260198.40000000002</v>
      </c>
      <c r="K61" s="113">
        <v>1</v>
      </c>
      <c r="L61" s="20">
        <f t="shared" ref="L61:L70" si="18">IF(K61=0.25,G61,IF(K61=0,F61,IF(K61=0.75,I61,IF(K61=0.5,H61,IF(K61=1,J61,"fout")))))</f>
        <v>-260198.40000000002</v>
      </c>
      <c r="M61" s="29"/>
      <c r="N61" s="29"/>
    </row>
    <row r="62" spans="1:19" ht="13.2" customHeight="1" x14ac:dyDescent="0.25">
      <c r="A62" s="69"/>
      <c r="B62" s="145" t="s">
        <v>17</v>
      </c>
      <c r="C62" s="145"/>
      <c r="D62" s="111">
        <v>0.1</v>
      </c>
      <c r="E62" s="28">
        <f>E60*D62</f>
        <v>130099.20000000001</v>
      </c>
      <c r="F62" s="64">
        <f>D62*F60</f>
        <v>32524.800000000003</v>
      </c>
      <c r="G62" s="64">
        <f t="shared" ref="G62:G66" si="19">D62*$G$6</f>
        <v>19514.88</v>
      </c>
      <c r="H62" s="64">
        <f t="shared" ref="H62:H66" si="20">D62*$H$6</f>
        <v>0</v>
      </c>
      <c r="I62" s="112">
        <f t="shared" ref="I62:I66" si="21">D62*$I$6</f>
        <v>-78059.520000000004</v>
      </c>
      <c r="J62" s="112">
        <f t="shared" ref="J62:J66" si="22">D62*$J$6</f>
        <v>-130099.20000000001</v>
      </c>
      <c r="K62" s="113">
        <v>0.25</v>
      </c>
      <c r="L62" s="20">
        <f t="shared" si="18"/>
        <v>19514.88</v>
      </c>
      <c r="M62" s="29"/>
      <c r="N62" s="29"/>
    </row>
    <row r="63" spans="1:19" ht="13.2" customHeight="1" x14ac:dyDescent="0.25">
      <c r="A63" s="69"/>
      <c r="B63" s="138" t="s">
        <v>18</v>
      </c>
      <c r="C63" s="138"/>
      <c r="D63" s="111">
        <v>0.2</v>
      </c>
      <c r="E63" s="28">
        <f>E60*D63</f>
        <v>260198.40000000002</v>
      </c>
      <c r="F63" s="64">
        <f>D63*$F$6</f>
        <v>65049.600000000006</v>
      </c>
      <c r="G63" s="64">
        <f t="shared" si="19"/>
        <v>39029.760000000002</v>
      </c>
      <c r="H63" s="64">
        <f t="shared" si="20"/>
        <v>0</v>
      </c>
      <c r="I63" s="112">
        <f t="shared" si="21"/>
        <v>-156119.04000000001</v>
      </c>
      <c r="J63" s="112">
        <f t="shared" si="22"/>
        <v>-260198.40000000002</v>
      </c>
      <c r="K63" s="113">
        <v>0.25</v>
      </c>
      <c r="L63" s="20">
        <f t="shared" si="18"/>
        <v>39029.760000000002</v>
      </c>
      <c r="M63" s="29"/>
      <c r="N63" s="29"/>
    </row>
    <row r="64" spans="1:19" ht="13.2" customHeight="1" x14ac:dyDescent="0.25">
      <c r="A64" s="69"/>
      <c r="B64" s="138" t="s">
        <v>19</v>
      </c>
      <c r="C64" s="138"/>
      <c r="D64" s="111">
        <v>0.3</v>
      </c>
      <c r="E64" s="28">
        <f>E60*D64</f>
        <v>390297.59999999998</v>
      </c>
      <c r="F64" s="64">
        <f t="shared" ref="F64:F66" si="23">D64*$F$6</f>
        <v>97574.399999999994</v>
      </c>
      <c r="G64" s="64">
        <f t="shared" si="19"/>
        <v>58544.639999999992</v>
      </c>
      <c r="H64" s="64">
        <f t="shared" si="20"/>
        <v>0</v>
      </c>
      <c r="I64" s="112">
        <f t="shared" si="21"/>
        <v>-234178.55999999997</v>
      </c>
      <c r="J64" s="112">
        <f t="shared" si="22"/>
        <v>-390297.59999999998</v>
      </c>
      <c r="K64" s="113">
        <v>0.75</v>
      </c>
      <c r="L64" s="20">
        <f t="shared" si="18"/>
        <v>-234178.55999999997</v>
      </c>
      <c r="M64" s="29"/>
      <c r="N64" s="29"/>
    </row>
    <row r="65" spans="1:19" ht="13.2" customHeight="1" x14ac:dyDescent="0.25">
      <c r="A65" s="69"/>
      <c r="B65" s="138" t="s">
        <v>20</v>
      </c>
      <c r="C65" s="138"/>
      <c r="D65" s="111">
        <v>0.1</v>
      </c>
      <c r="E65" s="28">
        <f>E60*D65</f>
        <v>130099.20000000001</v>
      </c>
      <c r="F65" s="64">
        <f t="shared" si="23"/>
        <v>32524.800000000003</v>
      </c>
      <c r="G65" s="64">
        <f t="shared" si="19"/>
        <v>19514.88</v>
      </c>
      <c r="H65" s="64">
        <f t="shared" si="20"/>
        <v>0</v>
      </c>
      <c r="I65" s="112">
        <f t="shared" si="21"/>
        <v>-78059.520000000004</v>
      </c>
      <c r="J65" s="112">
        <f t="shared" si="22"/>
        <v>-130099.20000000001</v>
      </c>
      <c r="K65" s="113">
        <v>0.5</v>
      </c>
      <c r="L65" s="20">
        <f t="shared" si="18"/>
        <v>0</v>
      </c>
      <c r="M65" s="29"/>
      <c r="N65" s="29"/>
    </row>
    <row r="66" spans="1:19" ht="13.95" customHeight="1" thickBot="1" x14ac:dyDescent="0.3">
      <c r="A66" s="3"/>
      <c r="B66" s="139" t="s">
        <v>21</v>
      </c>
      <c r="C66" s="139"/>
      <c r="D66" s="114">
        <v>0.1</v>
      </c>
      <c r="E66" s="115">
        <f>E60*D66</f>
        <v>130099.20000000001</v>
      </c>
      <c r="F66" s="116">
        <f t="shared" si="23"/>
        <v>32524.800000000003</v>
      </c>
      <c r="G66" s="116">
        <f t="shared" si="19"/>
        <v>19514.88</v>
      </c>
      <c r="H66" s="116">
        <f t="shared" si="20"/>
        <v>0</v>
      </c>
      <c r="I66" s="117">
        <f t="shared" si="21"/>
        <v>-78059.520000000004</v>
      </c>
      <c r="J66" s="117">
        <f t="shared" si="22"/>
        <v>-130099.20000000001</v>
      </c>
      <c r="K66" s="118">
        <v>0.5</v>
      </c>
      <c r="L66" s="27">
        <f t="shared" si="18"/>
        <v>0</v>
      </c>
      <c r="M66" s="119"/>
      <c r="N66" s="31"/>
    </row>
    <row r="67" spans="1:19" ht="13.8" thickBot="1" x14ac:dyDescent="0.3">
      <c r="A67" s="120" t="s">
        <v>22</v>
      </c>
      <c r="B67" s="140" t="str">
        <f>$B$13</f>
        <v>Implementatie en aanpak</v>
      </c>
      <c r="C67" s="140"/>
      <c r="D67" s="134">
        <v>0.125</v>
      </c>
      <c r="E67" s="57">
        <f>[1]Berekening!$E$11</f>
        <v>232320</v>
      </c>
      <c r="F67" s="122">
        <f>$F$5*E67</f>
        <v>58080</v>
      </c>
      <c r="G67" s="122">
        <f>$G$5*$E$13</f>
        <v>34848</v>
      </c>
      <c r="H67" s="122">
        <f>$H$5*E67</f>
        <v>0</v>
      </c>
      <c r="I67" s="123">
        <f>I59*$E$13</f>
        <v>-139392</v>
      </c>
      <c r="J67" s="124">
        <f>$J$5*E67</f>
        <v>-232320</v>
      </c>
      <c r="K67" s="125">
        <v>0.5</v>
      </c>
      <c r="L67" s="122">
        <f t="shared" si="18"/>
        <v>0</v>
      </c>
      <c r="M67" s="126"/>
      <c r="N67" s="127"/>
    </row>
    <row r="68" spans="1:19" x14ac:dyDescent="0.25">
      <c r="A68" s="22" t="s">
        <v>23</v>
      </c>
      <c r="B68" s="137" t="str">
        <f>$B$14</f>
        <v>Werkwijze koppelingen</v>
      </c>
      <c r="C68" s="137"/>
      <c r="D68" s="134">
        <v>0.17499999999999999</v>
      </c>
      <c r="E68" s="28">
        <f>[1]Berekening!$E$12</f>
        <v>325248</v>
      </c>
      <c r="F68" s="20">
        <f>$F$5*E68</f>
        <v>81312</v>
      </c>
      <c r="G68" s="20">
        <f>$G$5*$E$14</f>
        <v>48787.199999999997</v>
      </c>
      <c r="H68" s="20">
        <f>$H$5*E68</f>
        <v>0</v>
      </c>
      <c r="I68" s="129">
        <f>I59*$E$14</f>
        <v>-195148.79999999999</v>
      </c>
      <c r="J68" s="130">
        <f>$J$5*E68</f>
        <v>-325248</v>
      </c>
      <c r="K68" s="113">
        <v>0.75</v>
      </c>
      <c r="L68" s="20">
        <f t="shared" si="18"/>
        <v>-195148.79999999999</v>
      </c>
      <c r="M68" s="29"/>
      <c r="N68" s="30"/>
    </row>
    <row r="69" spans="1:19" x14ac:dyDescent="0.25">
      <c r="A69" s="22" t="s">
        <v>24</v>
      </c>
      <c r="B69" s="135" t="str">
        <f>$B$15</f>
        <v>MVOI vraag 1 (60%)</v>
      </c>
      <c r="C69" s="136"/>
      <c r="D69" s="88"/>
      <c r="E69" s="28">
        <f>[1]Berekening!$F$13</f>
        <v>371712</v>
      </c>
      <c r="F69" s="63">
        <f>$F$5*E69</f>
        <v>92928</v>
      </c>
      <c r="G69" s="20">
        <f>$G$5*$E$15</f>
        <v>55756.799999999996</v>
      </c>
      <c r="H69" s="20">
        <f>$H$5*E69</f>
        <v>0</v>
      </c>
      <c r="I69" s="129">
        <f>I59*$E$15</f>
        <v>-223027.19999999998</v>
      </c>
      <c r="J69" s="130">
        <f>$J$5*E69</f>
        <v>-371712</v>
      </c>
      <c r="K69" s="113">
        <v>0.25</v>
      </c>
      <c r="L69" s="20">
        <f t="shared" si="18"/>
        <v>55756.799999999996</v>
      </c>
      <c r="M69" s="29"/>
      <c r="N69" s="30"/>
    </row>
    <row r="70" spans="1:19" ht="13.8" thickBot="1" x14ac:dyDescent="0.3">
      <c r="A70" s="22" t="s">
        <v>25</v>
      </c>
      <c r="B70" s="135" t="str">
        <f>$B$16</f>
        <v>MVOI vraag 2 (40%)</v>
      </c>
      <c r="C70" s="136"/>
      <c r="D70" s="88"/>
      <c r="E70" s="28">
        <f>[1]Berekening!$F$14</f>
        <v>247808</v>
      </c>
      <c r="F70" s="64">
        <f>$F$5*E70</f>
        <v>61952</v>
      </c>
      <c r="G70" s="20">
        <f>$G$5*$E$16</f>
        <v>37171.199999999997</v>
      </c>
      <c r="H70" s="20">
        <f>$H$5*E70</f>
        <v>0</v>
      </c>
      <c r="I70" s="129">
        <f>I59*E70</f>
        <v>-148684.79999999999</v>
      </c>
      <c r="J70" s="130">
        <f>$J$5*E70</f>
        <v>-247808</v>
      </c>
      <c r="K70" s="132">
        <v>0.25</v>
      </c>
      <c r="L70" s="67">
        <f t="shared" si="18"/>
        <v>37171.199999999997</v>
      </c>
      <c r="M70" s="68"/>
      <c r="N70" s="31"/>
    </row>
    <row r="71" spans="1:19" ht="13.8" thickBot="1" x14ac:dyDescent="0.3">
      <c r="C71" s="24" t="s">
        <v>26</v>
      </c>
      <c r="D71" s="24"/>
      <c r="E71" s="57">
        <f>SUM(E61:E70)</f>
        <v>2478080</v>
      </c>
      <c r="F71" s="23"/>
      <c r="G71" s="23"/>
      <c r="H71" s="23"/>
      <c r="I71" s="23"/>
      <c r="J71" s="23"/>
      <c r="K71" s="152"/>
      <c r="L71" s="153"/>
      <c r="M71" s="154"/>
      <c r="N71" s="158"/>
      <c r="O71" s="17" t="s">
        <v>27</v>
      </c>
      <c r="P71" s="4" t="s">
        <v>28</v>
      </c>
      <c r="Q71" s="4" t="s">
        <v>29</v>
      </c>
      <c r="R71" s="39" t="s">
        <v>30</v>
      </c>
      <c r="S71" s="39"/>
    </row>
    <row r="72" spans="1:19" ht="14.4" customHeight="1" thickBot="1" x14ac:dyDescent="0.3">
      <c r="E72" s="7"/>
      <c r="F72" s="7"/>
      <c r="G72" s="7"/>
      <c r="H72" s="7"/>
      <c r="I72" s="7"/>
      <c r="J72" s="7"/>
      <c r="K72" s="155"/>
      <c r="L72" s="156"/>
      <c r="M72" s="157"/>
      <c r="N72" s="151"/>
      <c r="O72" s="21">
        <f>SUM(L61:L68)</f>
        <v>-630981.11999999988</v>
      </c>
      <c r="P72" s="34">
        <f>L69+L70</f>
        <v>92928</v>
      </c>
      <c r="Q72" s="35">
        <f>O72+P72</f>
        <v>-538053.11999999988</v>
      </c>
      <c r="R72" s="5">
        <f>RANK(Q72, $Q$18:$Q$162,1)</f>
        <v>4</v>
      </c>
      <c r="S72" s="39"/>
    </row>
  </sheetData>
  <mergeCells count="69">
    <mergeCell ref="B70:C70"/>
    <mergeCell ref="K71:M72"/>
    <mergeCell ref="N71:N72"/>
    <mergeCell ref="B59:C59"/>
    <mergeCell ref="B62:C62"/>
    <mergeCell ref="B63:C63"/>
    <mergeCell ref="B64:C64"/>
    <mergeCell ref="B65:C65"/>
    <mergeCell ref="B68:C68"/>
    <mergeCell ref="B69:C69"/>
    <mergeCell ref="B60:C60"/>
    <mergeCell ref="B61:C61"/>
    <mergeCell ref="K53:M54"/>
    <mergeCell ref="N53:N54"/>
    <mergeCell ref="K57:N57"/>
    <mergeCell ref="R57:S57"/>
    <mergeCell ref="B58:C58"/>
    <mergeCell ref="K35:M36"/>
    <mergeCell ref="N35:N36"/>
    <mergeCell ref="K39:N39"/>
    <mergeCell ref="R39:S39"/>
    <mergeCell ref="B41:C41"/>
    <mergeCell ref="B40:C40"/>
    <mergeCell ref="B42:C42"/>
    <mergeCell ref="B43:C43"/>
    <mergeCell ref="B46:C46"/>
    <mergeCell ref="B67:C67"/>
    <mergeCell ref="B52:C52"/>
    <mergeCell ref="B47:C47"/>
    <mergeCell ref="B48:C48"/>
    <mergeCell ref="B44:C44"/>
    <mergeCell ref="B45:C45"/>
    <mergeCell ref="B49:C49"/>
    <mergeCell ref="B50:C50"/>
    <mergeCell ref="B51:C51"/>
    <mergeCell ref="B66:C66"/>
    <mergeCell ref="B22:C22"/>
    <mergeCell ref="B23:C23"/>
    <mergeCell ref="B24:C24"/>
    <mergeCell ref="B33:C33"/>
    <mergeCell ref="B34:C34"/>
    <mergeCell ref="B26:C26"/>
    <mergeCell ref="B27:C27"/>
    <mergeCell ref="B25:C25"/>
    <mergeCell ref="B31:C31"/>
    <mergeCell ref="B28:C28"/>
    <mergeCell ref="B29:C29"/>
    <mergeCell ref="B30:C30"/>
    <mergeCell ref="B32:C32"/>
    <mergeCell ref="B11:C11"/>
    <mergeCell ref="B12:C12"/>
    <mergeCell ref="B13:C13"/>
    <mergeCell ref="N17:N18"/>
    <mergeCell ref="R21:S21"/>
    <mergeCell ref="K17:M18"/>
    <mergeCell ref="K21:N21"/>
    <mergeCell ref="B14:C14"/>
    <mergeCell ref="B15:C15"/>
    <mergeCell ref="B16:C16"/>
    <mergeCell ref="B4:C4"/>
    <mergeCell ref="B5:C5"/>
    <mergeCell ref="F3:J3"/>
    <mergeCell ref="K3:N3"/>
    <mergeCell ref="R3:S3"/>
    <mergeCell ref="B6:C6"/>
    <mergeCell ref="B10:C10"/>
    <mergeCell ref="B7:C7"/>
    <mergeCell ref="B8:C8"/>
    <mergeCell ref="B9:C9"/>
  </mergeCells>
  <conditionalFormatting sqref="R18">
    <cfRule type="cellIs" dxfId="7" priority="4" operator="equal">
      <formula>1</formula>
    </cfRule>
  </conditionalFormatting>
  <conditionalFormatting sqref="R36">
    <cfRule type="cellIs" dxfId="6" priority="3" operator="equal">
      <formula>1</formula>
    </cfRule>
  </conditionalFormatting>
  <conditionalFormatting sqref="R54">
    <cfRule type="cellIs" dxfId="5" priority="2" operator="equal">
      <formula>1</formula>
    </cfRule>
  </conditionalFormatting>
  <conditionalFormatting sqref="R72">
    <cfRule type="cellIs" dxfId="4" priority="1" operator="equal">
      <formula>1</formula>
    </cfRule>
  </conditionalFormatting>
  <dataValidations count="1">
    <dataValidation type="list" allowBlank="1" showInputMessage="1" showErrorMessage="1" sqref="K17 K35 K53 K71" xr:uid="{BCF5E8D3-4720-4971-9779-25898ABD2141}">
      <formula1>$W$1:$W$2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38C40-6B4E-4DA9-B50A-A87F0D280805}">
  <dimension ref="A1:W72"/>
  <sheetViews>
    <sheetView workbookViewId="0">
      <selection activeCell="B12" sqref="B12:C12"/>
    </sheetView>
  </sheetViews>
  <sheetFormatPr defaultColWidth="8.88671875" defaultRowHeight="13.2" x14ac:dyDescent="0.25"/>
  <cols>
    <col min="1" max="1" width="13.5546875" style="1" customWidth="1"/>
    <col min="2" max="2" width="3.5546875" style="1" customWidth="1"/>
    <col min="3" max="3" width="22.5546875" style="1" customWidth="1"/>
    <col min="4" max="4" width="10" style="1" customWidth="1"/>
    <col min="5" max="5" width="16.88671875" style="1" customWidth="1"/>
    <col min="6" max="6" width="12.88671875" style="1" customWidth="1"/>
    <col min="7" max="7" width="13.88671875" style="1" customWidth="1"/>
    <col min="8" max="10" width="12.88671875" style="1" customWidth="1"/>
    <col min="11" max="11" width="8.88671875" style="7"/>
    <col min="12" max="12" width="13.5546875" style="65" bestFit="1" customWidth="1"/>
    <col min="13" max="13" width="44.5546875" style="1" customWidth="1"/>
    <col min="14" max="14" width="55.5546875" style="1" customWidth="1"/>
    <col min="15" max="15" width="12.88671875" style="1" bestFit="1" customWidth="1"/>
    <col min="16" max="16" width="13.109375" style="1" customWidth="1"/>
    <col min="17" max="17" width="16.109375" style="1" customWidth="1"/>
    <col min="18" max="22" width="8.88671875" style="1"/>
    <col min="23" max="23" width="9.88671875" style="1" bestFit="1" customWidth="1"/>
    <col min="24" max="16384" width="8.88671875" style="1"/>
  </cols>
  <sheetData>
    <row r="1" spans="1:23" ht="17.399999999999999" x14ac:dyDescent="0.3">
      <c r="A1" s="18" t="str">
        <f ca="1">MID(CELL("bestandsnaam",A1),SEARCH("]",CELL("bestandsnaam",A1),1)+1,99)</f>
        <v>enz</v>
      </c>
      <c r="G1" s="10" t="str">
        <f>'[1]TOTAAL NA'!E1</f>
        <v>Aanbesteding Source-to-Pay</v>
      </c>
      <c r="M1" s="10" t="s">
        <v>0</v>
      </c>
      <c r="W1" s="6">
        <v>0</v>
      </c>
    </row>
    <row r="2" spans="1:23" ht="13.8" thickBot="1" x14ac:dyDescent="0.3">
      <c r="W2" s="6">
        <v>0.25</v>
      </c>
    </row>
    <row r="3" spans="1:23" ht="15" customHeight="1" thickBot="1" x14ac:dyDescent="0.3">
      <c r="A3" s="87" t="s">
        <v>1</v>
      </c>
      <c r="B3" s="86"/>
      <c r="C3" s="86"/>
      <c r="D3" s="86"/>
      <c r="F3" s="150" t="s">
        <v>2</v>
      </c>
      <c r="G3" s="150"/>
      <c r="H3" s="150"/>
      <c r="I3" s="150"/>
      <c r="J3" s="151"/>
      <c r="K3" s="141" t="str">
        <f>'[1]TOTAAL NA'!K4</f>
        <v>Leverancier 1</v>
      </c>
      <c r="L3" s="142"/>
      <c r="M3" s="142"/>
      <c r="N3" s="143"/>
      <c r="R3" s="144"/>
      <c r="S3" s="144"/>
    </row>
    <row r="4" spans="1:23" ht="13.8" thickBot="1" x14ac:dyDescent="0.3">
      <c r="A4" s="8" t="s">
        <v>3</v>
      </c>
      <c r="B4" s="146" t="s">
        <v>4</v>
      </c>
      <c r="C4" s="146"/>
      <c r="D4" s="89"/>
      <c r="E4" s="25" t="s">
        <v>5</v>
      </c>
      <c r="F4" s="25" t="s">
        <v>6</v>
      </c>
      <c r="G4" s="25" t="s">
        <v>7</v>
      </c>
      <c r="H4" s="93" t="s">
        <v>8</v>
      </c>
      <c r="I4" s="93" t="s">
        <v>9</v>
      </c>
      <c r="J4" s="94" t="s">
        <v>10</v>
      </c>
      <c r="K4" s="91" t="s">
        <v>11</v>
      </c>
      <c r="L4" s="66" t="s">
        <v>12</v>
      </c>
      <c r="M4" s="26" t="s">
        <v>13</v>
      </c>
      <c r="N4" s="14" t="s">
        <v>14</v>
      </c>
    </row>
    <row r="5" spans="1:23" ht="13.8" thickBot="1" x14ac:dyDescent="0.3">
      <c r="A5" s="95"/>
      <c r="B5" s="148"/>
      <c r="C5" s="149"/>
      <c r="D5" s="96"/>
      <c r="E5" s="97"/>
      <c r="F5" s="98">
        <v>0.25</v>
      </c>
      <c r="G5" s="98">
        <v>0.15</v>
      </c>
      <c r="H5" s="99">
        <v>0</v>
      </c>
      <c r="I5" s="99">
        <v>-0.6</v>
      </c>
      <c r="J5" s="100">
        <v>-1</v>
      </c>
      <c r="K5" s="90"/>
      <c r="L5" s="66"/>
      <c r="M5" s="26"/>
      <c r="N5" s="14"/>
    </row>
    <row r="6" spans="1:23" x14ac:dyDescent="0.25">
      <c r="A6" s="101" t="s">
        <v>15</v>
      </c>
      <c r="B6" s="147" t="s">
        <v>35</v>
      </c>
      <c r="C6" s="147"/>
      <c r="D6" s="102">
        <v>0.7</v>
      </c>
      <c r="E6" s="103">
        <f>[1]Berekening!$E$10</f>
        <v>1300992</v>
      </c>
      <c r="F6" s="104">
        <f>F5*$E$6</f>
        <v>325248</v>
      </c>
      <c r="G6" s="104">
        <f>$G$5*$E$6</f>
        <v>195148.79999999999</v>
      </c>
      <c r="H6" s="105">
        <f>$H$5*E6</f>
        <v>0</v>
      </c>
      <c r="I6" s="105">
        <f>I5*$E$6</f>
        <v>-780595.19999999995</v>
      </c>
      <c r="J6" s="106">
        <f>J5*$E$6</f>
        <v>-1300992</v>
      </c>
      <c r="K6" s="107"/>
      <c r="L6" s="108"/>
      <c r="M6" s="109"/>
      <c r="N6" s="110"/>
    </row>
    <row r="7" spans="1:23" ht="14.4" customHeight="1" x14ac:dyDescent="0.25">
      <c r="A7" s="69"/>
      <c r="B7" s="145" t="s">
        <v>16</v>
      </c>
      <c r="C7" s="145"/>
      <c r="D7" s="111">
        <v>0.2</v>
      </c>
      <c r="E7" s="28">
        <f>E6*D7</f>
        <v>260198.40000000002</v>
      </c>
      <c r="F7" s="64">
        <f>D7*F6</f>
        <v>65049.600000000006</v>
      </c>
      <c r="G7" s="64">
        <f>D7*$G$6</f>
        <v>39029.760000000002</v>
      </c>
      <c r="H7" s="112">
        <f>D7*$H$6</f>
        <v>0</v>
      </c>
      <c r="I7" s="112">
        <f>D7*$I$6</f>
        <v>-156119.04000000001</v>
      </c>
      <c r="J7" s="112">
        <f>D7*$J$6</f>
        <v>-260198.40000000002</v>
      </c>
      <c r="K7" s="113">
        <v>0.75</v>
      </c>
      <c r="L7" s="20">
        <f t="shared" ref="L7:L16" si="0">IF(K7=0.25,G7,IF(K7=0,F7,IF(K7=0.75,I7,IF(K7=0.5,H7,IF(K7=1,J7,"fout")))))</f>
        <v>-156119.04000000001</v>
      </c>
      <c r="M7" s="29"/>
      <c r="N7" s="29"/>
    </row>
    <row r="8" spans="1:23" ht="25.95" customHeight="1" x14ac:dyDescent="0.25">
      <c r="A8" s="69"/>
      <c r="B8" s="145" t="s">
        <v>17</v>
      </c>
      <c r="C8" s="145"/>
      <c r="D8" s="111">
        <v>0.1</v>
      </c>
      <c r="E8" s="28">
        <f>E6*D8</f>
        <v>130099.20000000001</v>
      </c>
      <c r="F8" s="64">
        <f>D8*F6</f>
        <v>32524.800000000003</v>
      </c>
      <c r="G8" s="64">
        <f t="shared" ref="G8:G12" si="1">D8*$G$6</f>
        <v>19514.88</v>
      </c>
      <c r="H8" s="112">
        <f t="shared" ref="H8:H12" si="2">D8*$H$6</f>
        <v>0</v>
      </c>
      <c r="I8" s="112">
        <f t="shared" ref="I8:I12" si="3">D8*$I$6</f>
        <v>-78059.520000000004</v>
      </c>
      <c r="J8" s="112">
        <f t="shared" ref="J8:J12" si="4">D8*$J$6</f>
        <v>-130099.20000000001</v>
      </c>
      <c r="K8" s="113">
        <v>0.75</v>
      </c>
      <c r="L8" s="20">
        <f t="shared" si="0"/>
        <v>-78059.520000000004</v>
      </c>
      <c r="M8" s="29"/>
      <c r="N8" s="29"/>
    </row>
    <row r="9" spans="1:23" ht="14.4" customHeight="1" x14ac:dyDescent="0.25">
      <c r="A9" s="69"/>
      <c r="B9" s="138" t="s">
        <v>18</v>
      </c>
      <c r="C9" s="138"/>
      <c r="D9" s="111">
        <v>0.2</v>
      </c>
      <c r="E9" s="28">
        <f>E6*D9</f>
        <v>260198.40000000002</v>
      </c>
      <c r="F9" s="64">
        <f>D9*$F$6</f>
        <v>65049.600000000006</v>
      </c>
      <c r="G9" s="64">
        <f t="shared" si="1"/>
        <v>39029.760000000002</v>
      </c>
      <c r="H9" s="112">
        <f t="shared" si="2"/>
        <v>0</v>
      </c>
      <c r="I9" s="112">
        <f t="shared" si="3"/>
        <v>-156119.04000000001</v>
      </c>
      <c r="J9" s="112">
        <f t="shared" si="4"/>
        <v>-260198.40000000002</v>
      </c>
      <c r="K9" s="113">
        <v>0.75</v>
      </c>
      <c r="L9" s="20">
        <f t="shared" si="0"/>
        <v>-156119.04000000001</v>
      </c>
      <c r="M9" s="29"/>
      <c r="N9" s="29"/>
    </row>
    <row r="10" spans="1:23" ht="14.4" customHeight="1" x14ac:dyDescent="0.25">
      <c r="A10" s="69"/>
      <c r="B10" s="138" t="s">
        <v>19</v>
      </c>
      <c r="C10" s="138"/>
      <c r="D10" s="111">
        <v>0.3</v>
      </c>
      <c r="E10" s="28">
        <f>E6*D10</f>
        <v>390297.59999999998</v>
      </c>
      <c r="F10" s="64">
        <f t="shared" ref="F10:F12" si="5">D10*$F$6</f>
        <v>97574.399999999994</v>
      </c>
      <c r="G10" s="64">
        <f t="shared" si="1"/>
        <v>58544.639999999992</v>
      </c>
      <c r="H10" s="112">
        <f t="shared" si="2"/>
        <v>0</v>
      </c>
      <c r="I10" s="112">
        <f t="shared" si="3"/>
        <v>-234178.55999999997</v>
      </c>
      <c r="J10" s="112">
        <f t="shared" si="4"/>
        <v>-390297.59999999998</v>
      </c>
      <c r="K10" s="113">
        <v>0.75</v>
      </c>
      <c r="L10" s="20">
        <f t="shared" si="0"/>
        <v>-234178.55999999997</v>
      </c>
      <c r="M10" s="29"/>
      <c r="N10" s="29"/>
    </row>
    <row r="11" spans="1:23" ht="14.4" customHeight="1" x14ac:dyDescent="0.25">
      <c r="A11" s="69"/>
      <c r="B11" s="138" t="s">
        <v>20</v>
      </c>
      <c r="C11" s="138"/>
      <c r="D11" s="111">
        <v>0.1</v>
      </c>
      <c r="E11" s="28">
        <f>E6*D11</f>
        <v>130099.20000000001</v>
      </c>
      <c r="F11" s="64">
        <f t="shared" si="5"/>
        <v>32524.800000000003</v>
      </c>
      <c r="G11" s="64">
        <f t="shared" si="1"/>
        <v>19514.88</v>
      </c>
      <c r="H11" s="112">
        <f t="shared" si="2"/>
        <v>0</v>
      </c>
      <c r="I11" s="112">
        <f t="shared" si="3"/>
        <v>-78059.520000000004</v>
      </c>
      <c r="J11" s="112">
        <f t="shared" si="4"/>
        <v>-130099.20000000001</v>
      </c>
      <c r="K11" s="113">
        <v>0.75</v>
      </c>
      <c r="L11" s="20">
        <f t="shared" si="0"/>
        <v>-78059.520000000004</v>
      </c>
      <c r="M11" s="29"/>
      <c r="N11" s="29"/>
    </row>
    <row r="12" spans="1:23" ht="14.4" customHeight="1" thickBot="1" x14ac:dyDescent="0.3">
      <c r="A12" s="3"/>
      <c r="B12" s="139" t="s">
        <v>21</v>
      </c>
      <c r="C12" s="139"/>
      <c r="D12" s="114">
        <v>0.1</v>
      </c>
      <c r="E12" s="115">
        <f>E6*D12</f>
        <v>130099.20000000001</v>
      </c>
      <c r="F12" s="116">
        <f t="shared" si="5"/>
        <v>32524.800000000003</v>
      </c>
      <c r="G12" s="116">
        <f t="shared" si="1"/>
        <v>19514.88</v>
      </c>
      <c r="H12" s="117">
        <f t="shared" si="2"/>
        <v>0</v>
      </c>
      <c r="I12" s="117">
        <f t="shared" si="3"/>
        <v>-78059.520000000004</v>
      </c>
      <c r="J12" s="117">
        <f t="shared" si="4"/>
        <v>-130099.20000000001</v>
      </c>
      <c r="K12" s="113">
        <v>0.75</v>
      </c>
      <c r="L12" s="27">
        <f t="shared" si="0"/>
        <v>-78059.520000000004</v>
      </c>
      <c r="M12" s="119"/>
      <c r="N12" s="31"/>
    </row>
    <row r="13" spans="1:23" x14ac:dyDescent="0.25">
      <c r="A13" s="120" t="s">
        <v>22</v>
      </c>
      <c r="B13" s="140" t="s">
        <v>38</v>
      </c>
      <c r="C13" s="140"/>
      <c r="D13" s="121">
        <v>0.125</v>
      </c>
      <c r="E13" s="57">
        <f>[1]Berekening!$E$11</f>
        <v>232320</v>
      </c>
      <c r="F13" s="122">
        <f>$F$5*E13</f>
        <v>58080</v>
      </c>
      <c r="G13" s="122">
        <f>$G$5*$E$13</f>
        <v>34848</v>
      </c>
      <c r="H13" s="123">
        <f>$H$5*E13</f>
        <v>0</v>
      </c>
      <c r="I13" s="123">
        <f>I5*$E$13</f>
        <v>-139392</v>
      </c>
      <c r="J13" s="124">
        <f>$J$5*E13</f>
        <v>-232320</v>
      </c>
      <c r="K13" s="125">
        <v>0.5</v>
      </c>
      <c r="L13" s="122">
        <f t="shared" si="0"/>
        <v>0</v>
      </c>
      <c r="M13" s="126"/>
      <c r="N13" s="127"/>
    </row>
    <row r="14" spans="1:23" x14ac:dyDescent="0.25">
      <c r="A14" s="22" t="s">
        <v>23</v>
      </c>
      <c r="B14" s="137" t="s">
        <v>41</v>
      </c>
      <c r="C14" s="137"/>
      <c r="D14" s="128">
        <v>0.17499999999999999</v>
      </c>
      <c r="E14" s="28">
        <f>[1]Berekening!$E$12</f>
        <v>325248</v>
      </c>
      <c r="F14" s="20">
        <f>$F$5*E14</f>
        <v>81312</v>
      </c>
      <c r="G14" s="20">
        <f>$G$5*$E$14</f>
        <v>48787.199999999997</v>
      </c>
      <c r="H14" s="129">
        <f>$H$5*E14</f>
        <v>0</v>
      </c>
      <c r="I14" s="129">
        <f>I5*$E$14</f>
        <v>-195148.79999999999</v>
      </c>
      <c r="J14" s="130">
        <f>$J$5*E14</f>
        <v>-325248</v>
      </c>
      <c r="K14" s="113">
        <v>0</v>
      </c>
      <c r="L14" s="20">
        <f t="shared" si="0"/>
        <v>81312</v>
      </c>
      <c r="M14" s="29"/>
      <c r="N14" s="30"/>
    </row>
    <row r="15" spans="1:23" ht="14.4" customHeight="1" x14ac:dyDescent="0.25">
      <c r="A15" s="22" t="s">
        <v>24</v>
      </c>
      <c r="B15" s="135" t="s">
        <v>43</v>
      </c>
      <c r="C15" s="136"/>
      <c r="D15" s="131"/>
      <c r="E15" s="28">
        <f>[1]Berekening!$F$13</f>
        <v>371712</v>
      </c>
      <c r="F15" s="63">
        <f>$F$5*E15</f>
        <v>92928</v>
      </c>
      <c r="G15" s="20">
        <f>$G$5*$E$15</f>
        <v>55756.799999999996</v>
      </c>
      <c r="H15" s="129">
        <f>$H$5*E15</f>
        <v>0</v>
      </c>
      <c r="I15" s="129">
        <f>I5*$E$15</f>
        <v>-223027.19999999998</v>
      </c>
      <c r="J15" s="130">
        <f>$J$5*E15</f>
        <v>-371712</v>
      </c>
      <c r="K15" s="113">
        <v>0.25</v>
      </c>
      <c r="L15" s="20">
        <f t="shared" si="0"/>
        <v>55756.799999999996</v>
      </c>
      <c r="M15" s="29"/>
      <c r="N15" s="30"/>
    </row>
    <row r="16" spans="1:23" ht="14.4" customHeight="1" thickBot="1" x14ac:dyDescent="0.3">
      <c r="A16" s="22" t="s">
        <v>25</v>
      </c>
      <c r="B16" s="135" t="s">
        <v>44</v>
      </c>
      <c r="C16" s="136"/>
      <c r="D16" s="131"/>
      <c r="E16" s="28">
        <f>[1]Berekening!$F$14</f>
        <v>247808</v>
      </c>
      <c r="F16" s="64">
        <f>$F$5*E16</f>
        <v>61952</v>
      </c>
      <c r="G16" s="20">
        <f>$G$5*$E$16</f>
        <v>37171.199999999997</v>
      </c>
      <c r="H16" s="129">
        <f>$H$5*E16</f>
        <v>0</v>
      </c>
      <c r="I16" s="129">
        <f>I5*E16</f>
        <v>-148684.79999999999</v>
      </c>
      <c r="J16" s="130">
        <f>$J$5*E16</f>
        <v>-247808</v>
      </c>
      <c r="K16" s="132">
        <v>1</v>
      </c>
      <c r="L16" s="67">
        <f t="shared" si="0"/>
        <v>-247808</v>
      </c>
      <c r="M16" s="68"/>
      <c r="N16" s="31"/>
    </row>
    <row r="17" spans="1:23" ht="15" customHeight="1" thickBot="1" x14ac:dyDescent="0.3">
      <c r="C17" s="24" t="s">
        <v>26</v>
      </c>
      <c r="D17" s="133"/>
      <c r="E17" s="57">
        <f>SUM(E7:E16)</f>
        <v>2478080</v>
      </c>
      <c r="F17" s="23"/>
      <c r="G17" s="23"/>
      <c r="H17" s="23"/>
      <c r="I17" s="23"/>
      <c r="J17" s="23"/>
      <c r="K17" s="152"/>
      <c r="L17" s="153"/>
      <c r="M17" s="154"/>
      <c r="N17" s="158"/>
      <c r="O17" s="17" t="s">
        <v>27</v>
      </c>
      <c r="P17" s="4" t="s">
        <v>28</v>
      </c>
      <c r="Q17" s="4" t="s">
        <v>29</v>
      </c>
      <c r="R17" s="39" t="s">
        <v>30</v>
      </c>
      <c r="S17" s="39"/>
      <c r="W17" s="13"/>
    </row>
    <row r="18" spans="1:23" ht="14.4" customHeight="1" thickBot="1" x14ac:dyDescent="0.3">
      <c r="E18" s="7"/>
      <c r="F18" s="7"/>
      <c r="G18" s="7"/>
      <c r="H18" s="7"/>
      <c r="I18" s="7"/>
      <c r="J18" s="7"/>
      <c r="K18" s="155"/>
      <c r="L18" s="156"/>
      <c r="M18" s="157"/>
      <c r="N18" s="151"/>
      <c r="O18" s="21">
        <f>SUM(L7:L14)</f>
        <v>-699283.2</v>
      </c>
      <c r="P18" s="34">
        <f>L15+L16</f>
        <v>-192051.20000000001</v>
      </c>
      <c r="Q18" s="35">
        <f>O18+P18</f>
        <v>-891334.39999999991</v>
      </c>
      <c r="R18" s="5">
        <f>RANK(Q18, $Q$18:$Q$162,1)</f>
        <v>1</v>
      </c>
      <c r="S18" s="39"/>
    </row>
    <row r="20" spans="1:23" ht="13.8" thickBot="1" x14ac:dyDescent="0.3"/>
    <row r="21" spans="1:23" ht="15" customHeight="1" thickBot="1" x14ac:dyDescent="0.3">
      <c r="K21" s="159" t="e">
        <f>'[1]TOTAAL NA'!#REF!</f>
        <v>#REF!</v>
      </c>
      <c r="L21" s="160"/>
      <c r="M21" s="160"/>
      <c r="N21" s="161"/>
      <c r="R21" s="144"/>
      <c r="S21" s="144"/>
    </row>
    <row r="22" spans="1:23" ht="13.8" thickBot="1" x14ac:dyDescent="0.3">
      <c r="A22" s="8" t="s">
        <v>3</v>
      </c>
      <c r="B22" s="146" t="s">
        <v>4</v>
      </c>
      <c r="C22" s="146"/>
      <c r="D22" s="89"/>
      <c r="E22" s="25" t="s">
        <v>5</v>
      </c>
      <c r="F22" s="25" t="s">
        <v>6</v>
      </c>
      <c r="G22" s="25" t="s">
        <v>7</v>
      </c>
      <c r="H22" s="25" t="s">
        <v>8</v>
      </c>
      <c r="I22" s="25" t="s">
        <v>9</v>
      </c>
      <c r="J22" s="9" t="s">
        <v>10</v>
      </c>
      <c r="K22" s="91" t="s">
        <v>11</v>
      </c>
      <c r="L22" s="66" t="s">
        <v>12</v>
      </c>
      <c r="M22" s="26" t="s">
        <v>13</v>
      </c>
      <c r="N22" s="14" t="s">
        <v>14</v>
      </c>
    </row>
    <row r="23" spans="1:23" ht="13.8" thickBot="1" x14ac:dyDescent="0.3">
      <c r="A23" s="95"/>
      <c r="B23" s="148"/>
      <c r="C23" s="149"/>
      <c r="D23" s="96"/>
      <c r="E23" s="97"/>
      <c r="F23" s="98">
        <v>0.25</v>
      </c>
      <c r="G23" s="98">
        <v>0.15</v>
      </c>
      <c r="H23" s="98">
        <v>0</v>
      </c>
      <c r="I23" s="99">
        <v>-0.6</v>
      </c>
      <c r="J23" s="100">
        <v>-1</v>
      </c>
      <c r="K23" s="90"/>
      <c r="L23" s="66"/>
      <c r="M23" s="26"/>
      <c r="N23" s="14"/>
    </row>
    <row r="24" spans="1:23" x14ac:dyDescent="0.25">
      <c r="A24" s="101" t="s">
        <v>15</v>
      </c>
      <c r="B24" s="147" t="str">
        <f>$B$6</f>
        <v>Demo / use cases</v>
      </c>
      <c r="C24" s="147"/>
      <c r="D24" s="102">
        <v>0.7</v>
      </c>
      <c r="E24" s="103">
        <f>[1]Berekening!$E$10</f>
        <v>1300992</v>
      </c>
      <c r="F24" s="104">
        <f>F23*$E$6</f>
        <v>325248</v>
      </c>
      <c r="G24" s="104">
        <f>$G$5*$E$6</f>
        <v>195148.79999999999</v>
      </c>
      <c r="H24" s="104">
        <f>$H$5*E24</f>
        <v>0</v>
      </c>
      <c r="I24" s="105">
        <f>I23*$E$6</f>
        <v>-780595.19999999995</v>
      </c>
      <c r="J24" s="106">
        <f>J23*$E$6</f>
        <v>-1300992</v>
      </c>
      <c r="K24" s="107"/>
      <c r="L24" s="108"/>
      <c r="M24" s="109"/>
      <c r="N24" s="110"/>
    </row>
    <row r="25" spans="1:23" x14ac:dyDescent="0.25">
      <c r="A25" s="69"/>
      <c r="B25" s="145" t="s">
        <v>16</v>
      </c>
      <c r="C25" s="145"/>
      <c r="D25" s="111">
        <v>0.2</v>
      </c>
      <c r="E25" s="28">
        <f>E24*D25</f>
        <v>260198.40000000002</v>
      </c>
      <c r="F25" s="64">
        <f>D25*F24</f>
        <v>65049.600000000006</v>
      </c>
      <c r="G25" s="64">
        <f>D25*$G$6</f>
        <v>39029.760000000002</v>
      </c>
      <c r="H25" s="64">
        <f>D25*$H$6</f>
        <v>0</v>
      </c>
      <c r="I25" s="112">
        <f>D25*$I$6</f>
        <v>-156119.04000000001</v>
      </c>
      <c r="J25" s="112">
        <f>D25*$J$6</f>
        <v>-260198.40000000002</v>
      </c>
      <c r="K25" s="113">
        <v>0.25</v>
      </c>
      <c r="L25" s="20">
        <f t="shared" ref="L25:L34" si="6">IF(K25=0.25,G25,IF(K25=0,F25,IF(K25=0.75,I25,IF(K25=0.5,H25,IF(K25=1,J25,"fout")))))</f>
        <v>39029.760000000002</v>
      </c>
      <c r="M25" s="29"/>
      <c r="N25" s="29"/>
    </row>
    <row r="26" spans="1:23" x14ac:dyDescent="0.25">
      <c r="A26" s="69"/>
      <c r="B26" s="145" t="s">
        <v>17</v>
      </c>
      <c r="C26" s="145"/>
      <c r="D26" s="111">
        <v>0.1</v>
      </c>
      <c r="E26" s="28">
        <f>E24*D26</f>
        <v>130099.20000000001</v>
      </c>
      <c r="F26" s="64">
        <f>D26*F24</f>
        <v>32524.800000000003</v>
      </c>
      <c r="G26" s="64">
        <f t="shared" ref="G26:G30" si="7">D26*$G$6</f>
        <v>19514.88</v>
      </c>
      <c r="H26" s="64">
        <f t="shared" ref="H26:H30" si="8">D26*$H$6</f>
        <v>0</v>
      </c>
      <c r="I26" s="112">
        <f t="shared" ref="I26:I30" si="9">D26*$I$6</f>
        <v>-78059.520000000004</v>
      </c>
      <c r="J26" s="112">
        <f t="shared" ref="J26:J30" si="10">D26*$J$6</f>
        <v>-130099.20000000001</v>
      </c>
      <c r="K26" s="113">
        <v>0.25</v>
      </c>
      <c r="L26" s="20">
        <f t="shared" si="6"/>
        <v>19514.88</v>
      </c>
      <c r="M26" s="29"/>
      <c r="N26" s="29"/>
    </row>
    <row r="27" spans="1:23" x14ac:dyDescent="0.25">
      <c r="A27" s="69"/>
      <c r="B27" s="138" t="s">
        <v>18</v>
      </c>
      <c r="C27" s="138"/>
      <c r="D27" s="111">
        <v>0.2</v>
      </c>
      <c r="E27" s="28">
        <f>E24*D27</f>
        <v>260198.40000000002</v>
      </c>
      <c r="F27" s="64">
        <f>D27*$F$6</f>
        <v>65049.600000000006</v>
      </c>
      <c r="G27" s="64">
        <f t="shared" si="7"/>
        <v>39029.760000000002</v>
      </c>
      <c r="H27" s="64">
        <f t="shared" si="8"/>
        <v>0</v>
      </c>
      <c r="I27" s="112">
        <f t="shared" si="9"/>
        <v>-156119.04000000001</v>
      </c>
      <c r="J27" s="112">
        <f t="shared" si="10"/>
        <v>-260198.40000000002</v>
      </c>
      <c r="K27" s="113">
        <v>0.75</v>
      </c>
      <c r="L27" s="20">
        <f t="shared" si="6"/>
        <v>-156119.04000000001</v>
      </c>
      <c r="M27" s="29"/>
      <c r="N27" s="29"/>
    </row>
    <row r="28" spans="1:23" x14ac:dyDescent="0.25">
      <c r="A28" s="69"/>
      <c r="B28" s="138" t="s">
        <v>19</v>
      </c>
      <c r="C28" s="138"/>
      <c r="D28" s="111">
        <v>0.3</v>
      </c>
      <c r="E28" s="28">
        <f>E24*D28</f>
        <v>390297.59999999998</v>
      </c>
      <c r="F28" s="64">
        <f t="shared" ref="F28:F30" si="11">D28*$F$6</f>
        <v>97574.399999999994</v>
      </c>
      <c r="G28" s="64">
        <f t="shared" si="7"/>
        <v>58544.639999999992</v>
      </c>
      <c r="H28" s="64">
        <f t="shared" si="8"/>
        <v>0</v>
      </c>
      <c r="I28" s="112">
        <f t="shared" si="9"/>
        <v>-234178.55999999997</v>
      </c>
      <c r="J28" s="112">
        <f t="shared" si="10"/>
        <v>-390297.59999999998</v>
      </c>
      <c r="K28" s="113">
        <v>0.75</v>
      </c>
      <c r="L28" s="20">
        <f t="shared" si="6"/>
        <v>-234178.55999999997</v>
      </c>
      <c r="M28" s="29"/>
      <c r="N28" s="29"/>
    </row>
    <row r="29" spans="1:23" x14ac:dyDescent="0.25">
      <c r="A29" s="69"/>
      <c r="B29" s="138" t="s">
        <v>20</v>
      </c>
      <c r="C29" s="138"/>
      <c r="D29" s="111">
        <v>0.1</v>
      </c>
      <c r="E29" s="28">
        <f>E24*D29</f>
        <v>130099.20000000001</v>
      </c>
      <c r="F29" s="64">
        <f t="shared" si="11"/>
        <v>32524.800000000003</v>
      </c>
      <c r="G29" s="64">
        <f t="shared" si="7"/>
        <v>19514.88</v>
      </c>
      <c r="H29" s="64">
        <f t="shared" si="8"/>
        <v>0</v>
      </c>
      <c r="I29" s="112">
        <f t="shared" si="9"/>
        <v>-78059.520000000004</v>
      </c>
      <c r="J29" s="112">
        <f t="shared" si="10"/>
        <v>-130099.20000000001</v>
      </c>
      <c r="K29" s="113">
        <v>0.5</v>
      </c>
      <c r="L29" s="20">
        <f t="shared" si="6"/>
        <v>0</v>
      </c>
      <c r="M29" s="29"/>
      <c r="N29" s="29"/>
    </row>
    <row r="30" spans="1:23" ht="13.8" thickBot="1" x14ac:dyDescent="0.3">
      <c r="A30" s="3"/>
      <c r="B30" s="139" t="s">
        <v>21</v>
      </c>
      <c r="C30" s="139"/>
      <c r="D30" s="114">
        <v>0.1</v>
      </c>
      <c r="E30" s="115">
        <f>E24*D30</f>
        <v>130099.20000000001</v>
      </c>
      <c r="F30" s="116">
        <f t="shared" si="11"/>
        <v>32524.800000000003</v>
      </c>
      <c r="G30" s="116">
        <f t="shared" si="7"/>
        <v>19514.88</v>
      </c>
      <c r="H30" s="116">
        <f t="shared" si="8"/>
        <v>0</v>
      </c>
      <c r="I30" s="117">
        <f t="shared" si="9"/>
        <v>-78059.520000000004</v>
      </c>
      <c r="J30" s="117">
        <f t="shared" si="10"/>
        <v>-130099.20000000001</v>
      </c>
      <c r="K30" s="118">
        <v>1</v>
      </c>
      <c r="L30" s="27">
        <f t="shared" si="6"/>
        <v>-130099.20000000001</v>
      </c>
      <c r="M30" s="119"/>
      <c r="N30" s="31"/>
    </row>
    <row r="31" spans="1:23" ht="13.8" thickBot="1" x14ac:dyDescent="0.3">
      <c r="A31" s="120" t="s">
        <v>22</v>
      </c>
      <c r="B31" s="140" t="str">
        <f>$B$13</f>
        <v>Implementatie en aanpak</v>
      </c>
      <c r="C31" s="140"/>
      <c r="D31" s="134">
        <v>0.125</v>
      </c>
      <c r="E31" s="57">
        <f>[1]Berekening!$E$11</f>
        <v>232320</v>
      </c>
      <c r="F31" s="122">
        <f>$F$5*E31</f>
        <v>58080</v>
      </c>
      <c r="G31" s="122">
        <f>$G$5*$E$13</f>
        <v>34848</v>
      </c>
      <c r="H31" s="122">
        <f>$H$5*E31</f>
        <v>0</v>
      </c>
      <c r="I31" s="123">
        <f>I23*$E$13</f>
        <v>-139392</v>
      </c>
      <c r="J31" s="124">
        <f>$J$5*E31</f>
        <v>-232320</v>
      </c>
      <c r="K31" s="125">
        <v>0.5</v>
      </c>
      <c r="L31" s="122">
        <f t="shared" si="6"/>
        <v>0</v>
      </c>
      <c r="M31" s="126"/>
      <c r="N31" s="127"/>
    </row>
    <row r="32" spans="1:23" x14ac:dyDescent="0.25">
      <c r="A32" s="22" t="s">
        <v>23</v>
      </c>
      <c r="B32" s="137" t="str">
        <f>$B$14</f>
        <v>Werkwijze koppelingen</v>
      </c>
      <c r="C32" s="137"/>
      <c r="D32" s="134">
        <v>0.17499999999999999</v>
      </c>
      <c r="E32" s="28">
        <f>[1]Berekening!$E$12</f>
        <v>325248</v>
      </c>
      <c r="F32" s="20">
        <f>$F$5*E32</f>
        <v>81312</v>
      </c>
      <c r="G32" s="20">
        <f>$G$5*$E$14</f>
        <v>48787.199999999997</v>
      </c>
      <c r="H32" s="20">
        <f>$H$5*E32</f>
        <v>0</v>
      </c>
      <c r="I32" s="129">
        <f>I23*$E$14</f>
        <v>-195148.79999999999</v>
      </c>
      <c r="J32" s="130">
        <f>$J$5*E32</f>
        <v>-325248</v>
      </c>
      <c r="K32" s="113">
        <v>0.75</v>
      </c>
      <c r="L32" s="20">
        <f t="shared" si="6"/>
        <v>-195148.79999999999</v>
      </c>
      <c r="M32" s="29"/>
      <c r="N32" s="30"/>
    </row>
    <row r="33" spans="1:19" x14ac:dyDescent="0.25">
      <c r="A33" s="22" t="s">
        <v>24</v>
      </c>
      <c r="B33" s="135" t="str">
        <f>$B$15</f>
        <v>MVOI vraag 1 (60%)</v>
      </c>
      <c r="C33" s="136"/>
      <c r="D33" s="88"/>
      <c r="E33" s="28">
        <f>[1]Berekening!$F$13</f>
        <v>371712</v>
      </c>
      <c r="F33" s="63">
        <f>$F$5*E33</f>
        <v>92928</v>
      </c>
      <c r="G33" s="20">
        <f>$G$5*$E$15</f>
        <v>55756.799999999996</v>
      </c>
      <c r="H33" s="20">
        <f>$H$5*E33</f>
        <v>0</v>
      </c>
      <c r="I33" s="129">
        <f>I23*$E$15</f>
        <v>-223027.19999999998</v>
      </c>
      <c r="J33" s="130">
        <f>$J$5*E33</f>
        <v>-371712</v>
      </c>
      <c r="K33" s="113">
        <v>0.25</v>
      </c>
      <c r="L33" s="20">
        <f t="shared" si="6"/>
        <v>55756.799999999996</v>
      </c>
      <c r="M33" s="29"/>
      <c r="N33" s="30"/>
    </row>
    <row r="34" spans="1:19" ht="13.8" thickBot="1" x14ac:dyDescent="0.3">
      <c r="A34" s="22" t="s">
        <v>25</v>
      </c>
      <c r="B34" s="135" t="str">
        <f>$B$16</f>
        <v>MVOI vraag 2 (40%)</v>
      </c>
      <c r="C34" s="136"/>
      <c r="D34" s="88"/>
      <c r="E34" s="28">
        <f>[1]Berekening!$F$14</f>
        <v>247808</v>
      </c>
      <c r="F34" s="64">
        <f>$F$5*E34</f>
        <v>61952</v>
      </c>
      <c r="G34" s="20">
        <f>$G$5*$E$16</f>
        <v>37171.199999999997</v>
      </c>
      <c r="H34" s="20">
        <f>$H$5*E34</f>
        <v>0</v>
      </c>
      <c r="I34" s="129">
        <f>I23*E34</f>
        <v>-148684.79999999999</v>
      </c>
      <c r="J34" s="130">
        <f>$J$5*E34</f>
        <v>-247808</v>
      </c>
      <c r="K34" s="132">
        <v>0.25</v>
      </c>
      <c r="L34" s="67">
        <f t="shared" si="6"/>
        <v>37171.199999999997</v>
      </c>
      <c r="M34" s="68"/>
      <c r="N34" s="31"/>
    </row>
    <row r="35" spans="1:19" ht="13.8" thickBot="1" x14ac:dyDescent="0.3">
      <c r="C35" s="24" t="s">
        <v>26</v>
      </c>
      <c r="D35" s="24"/>
      <c r="E35" s="57">
        <f>SUM(E25:E34)</f>
        <v>2478080</v>
      </c>
      <c r="F35" s="23"/>
      <c r="G35" s="23"/>
      <c r="H35" s="23"/>
      <c r="I35" s="23"/>
      <c r="J35" s="23"/>
      <c r="K35" s="152"/>
      <c r="L35" s="153"/>
      <c r="M35" s="154"/>
      <c r="N35" s="158"/>
      <c r="O35" s="17" t="s">
        <v>27</v>
      </c>
      <c r="P35" s="4" t="s">
        <v>28</v>
      </c>
      <c r="Q35" s="4" t="s">
        <v>29</v>
      </c>
      <c r="R35" s="39" t="s">
        <v>30</v>
      </c>
      <c r="S35" s="39"/>
    </row>
    <row r="36" spans="1:19" ht="14.4" customHeight="1" thickBot="1" x14ac:dyDescent="0.3">
      <c r="E36" s="7"/>
      <c r="F36" s="7"/>
      <c r="G36" s="7"/>
      <c r="H36" s="7"/>
      <c r="I36" s="7"/>
      <c r="J36" s="7"/>
      <c r="K36" s="155"/>
      <c r="L36" s="156"/>
      <c r="M36" s="157"/>
      <c r="N36" s="151"/>
      <c r="O36" s="21">
        <f>SUM(L25:L32)</f>
        <v>-657000.95999999996</v>
      </c>
      <c r="P36" s="34">
        <f>L33+L34</f>
        <v>92928</v>
      </c>
      <c r="Q36" s="35">
        <f>O36+P36</f>
        <v>-564072.95999999996</v>
      </c>
      <c r="R36" s="5">
        <f>RANK(Q36, $Q$18:$Q$162,1)</f>
        <v>3</v>
      </c>
      <c r="S36" s="39"/>
    </row>
    <row r="38" spans="1:19" ht="13.8" thickBot="1" x14ac:dyDescent="0.3"/>
    <row r="39" spans="1:19" ht="15" customHeight="1" thickBot="1" x14ac:dyDescent="0.3">
      <c r="K39" s="159" t="e">
        <f>'[1]TOTAAL NA'!#REF!</f>
        <v>#REF!</v>
      </c>
      <c r="L39" s="160"/>
      <c r="M39" s="160"/>
      <c r="N39" s="161"/>
      <c r="R39" s="144"/>
      <c r="S39" s="144"/>
    </row>
    <row r="40" spans="1:19" ht="13.8" thickBot="1" x14ac:dyDescent="0.3">
      <c r="A40" s="8" t="s">
        <v>3</v>
      </c>
      <c r="B40" s="146" t="s">
        <v>4</v>
      </c>
      <c r="C40" s="146"/>
      <c r="D40" s="89"/>
      <c r="E40" s="25" t="s">
        <v>5</v>
      </c>
      <c r="F40" s="25" t="s">
        <v>6</v>
      </c>
      <c r="G40" s="25" t="s">
        <v>7</v>
      </c>
      <c r="H40" s="25" t="s">
        <v>8</v>
      </c>
      <c r="I40" s="25" t="s">
        <v>9</v>
      </c>
      <c r="J40" s="9" t="s">
        <v>10</v>
      </c>
      <c r="K40" s="91" t="s">
        <v>11</v>
      </c>
      <c r="L40" s="66" t="s">
        <v>12</v>
      </c>
      <c r="M40" s="26" t="s">
        <v>13</v>
      </c>
      <c r="N40" s="14" t="s">
        <v>14</v>
      </c>
    </row>
    <row r="41" spans="1:19" ht="13.8" thickBot="1" x14ac:dyDescent="0.3">
      <c r="A41" s="95"/>
      <c r="B41" s="148"/>
      <c r="C41" s="149"/>
      <c r="D41" s="96"/>
      <c r="E41" s="97"/>
      <c r="F41" s="98">
        <v>0.25</v>
      </c>
      <c r="G41" s="98">
        <v>0.15</v>
      </c>
      <c r="H41" s="98">
        <v>0</v>
      </c>
      <c r="I41" s="99">
        <v>-0.6</v>
      </c>
      <c r="J41" s="100">
        <v>-1</v>
      </c>
      <c r="K41" s="90"/>
      <c r="L41" s="66"/>
      <c r="M41" s="26"/>
      <c r="N41" s="14"/>
    </row>
    <row r="42" spans="1:19" x14ac:dyDescent="0.25">
      <c r="A42" s="101" t="s">
        <v>15</v>
      </c>
      <c r="B42" s="147" t="str">
        <f>$B$6</f>
        <v>Demo / use cases</v>
      </c>
      <c r="C42" s="147"/>
      <c r="D42" s="102">
        <v>0.7</v>
      </c>
      <c r="E42" s="103">
        <f>[1]Berekening!$E$10</f>
        <v>1300992</v>
      </c>
      <c r="F42" s="104">
        <f>F41*$E$6</f>
        <v>325248</v>
      </c>
      <c r="G42" s="104">
        <f>$G$5*$E$6</f>
        <v>195148.79999999999</v>
      </c>
      <c r="H42" s="104">
        <f>$H$5*E42</f>
        <v>0</v>
      </c>
      <c r="I42" s="105">
        <f>I41*$E$6</f>
        <v>-780595.19999999995</v>
      </c>
      <c r="J42" s="106">
        <f>J41*$E$6</f>
        <v>-1300992</v>
      </c>
      <c r="K42" s="107"/>
      <c r="L42" s="108"/>
      <c r="M42" s="109"/>
      <c r="N42" s="110"/>
    </row>
    <row r="43" spans="1:19" ht="13.2" customHeight="1" x14ac:dyDescent="0.25">
      <c r="A43" s="69"/>
      <c r="B43" s="145" t="s">
        <v>16</v>
      </c>
      <c r="C43" s="145"/>
      <c r="D43" s="111">
        <v>0.2</v>
      </c>
      <c r="E43" s="28">
        <f>E42*D43</f>
        <v>260198.40000000002</v>
      </c>
      <c r="F43" s="64">
        <f>D43*F42</f>
        <v>65049.600000000006</v>
      </c>
      <c r="G43" s="64">
        <f>D43*$G$6</f>
        <v>39029.760000000002</v>
      </c>
      <c r="H43" s="64">
        <f>D43*$H$6</f>
        <v>0</v>
      </c>
      <c r="I43" s="112">
        <f>D43*$I$6</f>
        <v>-156119.04000000001</v>
      </c>
      <c r="J43" s="112">
        <f>D43*$J$6</f>
        <v>-260198.40000000002</v>
      </c>
      <c r="K43" s="113">
        <v>1</v>
      </c>
      <c r="L43" s="20">
        <f t="shared" ref="L43:L52" si="12">IF(K43=0.25,G43,IF(K43=0,F43,IF(K43=0.75,I43,IF(K43=0.5,H43,IF(K43=1,J43,"fout")))))</f>
        <v>-260198.40000000002</v>
      </c>
      <c r="M43" s="29"/>
      <c r="N43" s="29"/>
    </row>
    <row r="44" spans="1:19" ht="13.2" customHeight="1" x14ac:dyDescent="0.25">
      <c r="A44" s="69"/>
      <c r="B44" s="145" t="s">
        <v>17</v>
      </c>
      <c r="C44" s="145"/>
      <c r="D44" s="111">
        <v>0.1</v>
      </c>
      <c r="E44" s="28">
        <f>E42*D44</f>
        <v>130099.20000000001</v>
      </c>
      <c r="F44" s="64">
        <f>D44*F42</f>
        <v>32524.800000000003</v>
      </c>
      <c r="G44" s="64">
        <f t="shared" ref="G44:G48" si="13">D44*$G$6</f>
        <v>19514.88</v>
      </c>
      <c r="H44" s="64">
        <f t="shared" ref="H44:H48" si="14">D44*$H$6</f>
        <v>0</v>
      </c>
      <c r="I44" s="112">
        <f t="shared" ref="I44:I48" si="15">D44*$I$6</f>
        <v>-78059.520000000004</v>
      </c>
      <c r="J44" s="112">
        <f t="shared" ref="J44:J48" si="16">D44*$J$6</f>
        <v>-130099.20000000001</v>
      </c>
      <c r="K44" s="113">
        <v>0</v>
      </c>
      <c r="L44" s="20">
        <f t="shared" si="12"/>
        <v>32524.800000000003</v>
      </c>
      <c r="M44" s="29"/>
      <c r="N44" s="29"/>
    </row>
    <row r="45" spans="1:19" ht="13.2" customHeight="1" x14ac:dyDescent="0.25">
      <c r="A45" s="69"/>
      <c r="B45" s="138" t="s">
        <v>18</v>
      </c>
      <c r="C45" s="138"/>
      <c r="D45" s="111">
        <v>0.2</v>
      </c>
      <c r="E45" s="28">
        <f>E42*D45</f>
        <v>260198.40000000002</v>
      </c>
      <c r="F45" s="64">
        <f>D45*$F$6</f>
        <v>65049.600000000006</v>
      </c>
      <c r="G45" s="64">
        <f t="shared" si="13"/>
        <v>39029.760000000002</v>
      </c>
      <c r="H45" s="64">
        <f t="shared" si="14"/>
        <v>0</v>
      </c>
      <c r="I45" s="112">
        <f t="shared" si="15"/>
        <v>-156119.04000000001</v>
      </c>
      <c r="J45" s="112">
        <f t="shared" si="16"/>
        <v>-260198.40000000002</v>
      </c>
      <c r="K45" s="113">
        <v>0.75</v>
      </c>
      <c r="L45" s="20">
        <f t="shared" si="12"/>
        <v>-156119.04000000001</v>
      </c>
      <c r="M45" s="29"/>
      <c r="N45" s="29"/>
    </row>
    <row r="46" spans="1:19" ht="13.2" customHeight="1" x14ac:dyDescent="0.25">
      <c r="A46" s="69"/>
      <c r="B46" s="138" t="s">
        <v>19</v>
      </c>
      <c r="C46" s="138"/>
      <c r="D46" s="111">
        <v>0.3</v>
      </c>
      <c r="E46" s="28">
        <f>E42*D46</f>
        <v>390297.59999999998</v>
      </c>
      <c r="F46" s="64">
        <f t="shared" ref="F46:F48" si="17">D46*$F$6</f>
        <v>97574.399999999994</v>
      </c>
      <c r="G46" s="64">
        <f t="shared" si="13"/>
        <v>58544.639999999992</v>
      </c>
      <c r="H46" s="64">
        <f t="shared" si="14"/>
        <v>0</v>
      </c>
      <c r="I46" s="112">
        <f t="shared" si="15"/>
        <v>-234178.55999999997</v>
      </c>
      <c r="J46" s="112">
        <f t="shared" si="16"/>
        <v>-390297.59999999998</v>
      </c>
      <c r="K46" s="113">
        <v>0.75</v>
      </c>
      <c r="L46" s="20">
        <f t="shared" si="12"/>
        <v>-234178.55999999997</v>
      </c>
      <c r="M46" s="29"/>
      <c r="N46" s="29"/>
    </row>
    <row r="47" spans="1:19" ht="13.2" customHeight="1" x14ac:dyDescent="0.25">
      <c r="A47" s="69"/>
      <c r="B47" s="138" t="s">
        <v>20</v>
      </c>
      <c r="C47" s="138"/>
      <c r="D47" s="111">
        <v>0.1</v>
      </c>
      <c r="E47" s="28">
        <f>E42*D47</f>
        <v>130099.20000000001</v>
      </c>
      <c r="F47" s="64">
        <f t="shared" si="17"/>
        <v>32524.800000000003</v>
      </c>
      <c r="G47" s="64">
        <f t="shared" si="13"/>
        <v>19514.88</v>
      </c>
      <c r="H47" s="64">
        <f t="shared" si="14"/>
        <v>0</v>
      </c>
      <c r="I47" s="112">
        <f t="shared" si="15"/>
        <v>-78059.520000000004</v>
      </c>
      <c r="J47" s="112">
        <f t="shared" si="16"/>
        <v>-130099.20000000001</v>
      </c>
      <c r="K47" s="113">
        <v>0.5</v>
      </c>
      <c r="L47" s="20">
        <f t="shared" si="12"/>
        <v>0</v>
      </c>
      <c r="M47" s="29"/>
      <c r="N47" s="29"/>
    </row>
    <row r="48" spans="1:19" ht="13.95" customHeight="1" thickBot="1" x14ac:dyDescent="0.3">
      <c r="A48" s="3"/>
      <c r="B48" s="139" t="s">
        <v>21</v>
      </c>
      <c r="C48" s="139"/>
      <c r="D48" s="114">
        <v>0.1</v>
      </c>
      <c r="E48" s="115">
        <f>E42*D48</f>
        <v>130099.20000000001</v>
      </c>
      <c r="F48" s="116">
        <f t="shared" si="17"/>
        <v>32524.800000000003</v>
      </c>
      <c r="G48" s="116">
        <f t="shared" si="13"/>
        <v>19514.88</v>
      </c>
      <c r="H48" s="116">
        <f t="shared" si="14"/>
        <v>0</v>
      </c>
      <c r="I48" s="117">
        <f t="shared" si="15"/>
        <v>-78059.520000000004</v>
      </c>
      <c r="J48" s="117">
        <f t="shared" si="16"/>
        <v>-130099.20000000001</v>
      </c>
      <c r="K48" s="118">
        <v>1</v>
      </c>
      <c r="L48" s="27">
        <f t="shared" si="12"/>
        <v>-130099.20000000001</v>
      </c>
      <c r="M48" s="119"/>
      <c r="N48" s="31"/>
    </row>
    <row r="49" spans="1:19" ht="13.8" thickBot="1" x14ac:dyDescent="0.3">
      <c r="A49" s="120" t="s">
        <v>22</v>
      </c>
      <c r="B49" s="140" t="str">
        <f>$B$13</f>
        <v>Implementatie en aanpak</v>
      </c>
      <c r="C49" s="140"/>
      <c r="D49" s="134">
        <v>0.125</v>
      </c>
      <c r="E49" s="57">
        <f>[1]Berekening!$E$11</f>
        <v>232320</v>
      </c>
      <c r="F49" s="122">
        <f>$F$5*E49</f>
        <v>58080</v>
      </c>
      <c r="G49" s="122">
        <f>$G$5*$E$13</f>
        <v>34848</v>
      </c>
      <c r="H49" s="122">
        <f>$H$5*E49</f>
        <v>0</v>
      </c>
      <c r="I49" s="123">
        <f>I41*$E$13</f>
        <v>-139392</v>
      </c>
      <c r="J49" s="124">
        <f>$J$5*E49</f>
        <v>-232320</v>
      </c>
      <c r="K49" s="125">
        <v>0.5</v>
      </c>
      <c r="L49" s="122">
        <f t="shared" si="12"/>
        <v>0</v>
      </c>
      <c r="M49" s="126"/>
      <c r="N49" s="127"/>
    </row>
    <row r="50" spans="1:19" x14ac:dyDescent="0.25">
      <c r="A50" s="22" t="s">
        <v>23</v>
      </c>
      <c r="B50" s="137" t="str">
        <f>$B$14</f>
        <v>Werkwijze koppelingen</v>
      </c>
      <c r="C50" s="137"/>
      <c r="D50" s="134">
        <v>0.17499999999999999</v>
      </c>
      <c r="E50" s="28">
        <f>[1]Berekening!$E$12</f>
        <v>325248</v>
      </c>
      <c r="F50" s="20">
        <f>$F$5*E50</f>
        <v>81312</v>
      </c>
      <c r="G50" s="20">
        <f>$G$5*$E$14</f>
        <v>48787.199999999997</v>
      </c>
      <c r="H50" s="20">
        <f>$H$5*E50</f>
        <v>0</v>
      </c>
      <c r="I50" s="129">
        <f>I41*$E$14</f>
        <v>-195148.79999999999</v>
      </c>
      <c r="J50" s="130">
        <f>$J$5*E50</f>
        <v>-325248</v>
      </c>
      <c r="K50" s="113">
        <v>0.75</v>
      </c>
      <c r="L50" s="20">
        <f t="shared" si="12"/>
        <v>-195148.79999999999</v>
      </c>
      <c r="M50" s="29"/>
      <c r="N50" s="30"/>
    </row>
    <row r="51" spans="1:19" x14ac:dyDescent="0.25">
      <c r="A51" s="22" t="s">
        <v>24</v>
      </c>
      <c r="B51" s="135" t="str">
        <f>$B$15</f>
        <v>MVOI vraag 1 (60%)</v>
      </c>
      <c r="C51" s="136"/>
      <c r="D51" s="88"/>
      <c r="E51" s="28">
        <f>[1]Berekening!$F$13</f>
        <v>371712</v>
      </c>
      <c r="F51" s="63">
        <f>$F$5*E51</f>
        <v>92928</v>
      </c>
      <c r="G51" s="20">
        <f>$G$5*$E$15</f>
        <v>55756.799999999996</v>
      </c>
      <c r="H51" s="20">
        <f>$H$5*E51</f>
        <v>0</v>
      </c>
      <c r="I51" s="129">
        <f>I41*$E$15</f>
        <v>-223027.19999999998</v>
      </c>
      <c r="J51" s="130">
        <f>$J$5*E51</f>
        <v>-371712</v>
      </c>
      <c r="K51" s="113">
        <v>0.25</v>
      </c>
      <c r="L51" s="20">
        <f t="shared" si="12"/>
        <v>55756.799999999996</v>
      </c>
      <c r="M51" s="29"/>
      <c r="N51" s="30"/>
    </row>
    <row r="52" spans="1:19" ht="13.8" thickBot="1" x14ac:dyDescent="0.3">
      <c r="A52" s="22" t="s">
        <v>25</v>
      </c>
      <c r="B52" s="135" t="str">
        <f>$B$16</f>
        <v>MVOI vraag 2 (40%)</v>
      </c>
      <c r="C52" s="136"/>
      <c r="D52" s="88"/>
      <c r="E52" s="28">
        <f>[1]Berekening!$F$14</f>
        <v>247808</v>
      </c>
      <c r="F52" s="64">
        <f>$F$5*E52</f>
        <v>61952</v>
      </c>
      <c r="G52" s="20">
        <f>$G$5*$E$16</f>
        <v>37171.199999999997</v>
      </c>
      <c r="H52" s="20">
        <f>$H$5*E52</f>
        <v>0</v>
      </c>
      <c r="I52" s="129">
        <f>I41*E52</f>
        <v>-148684.79999999999</v>
      </c>
      <c r="J52" s="130">
        <f>$J$5*E52</f>
        <v>-247808</v>
      </c>
      <c r="K52" s="132">
        <v>0.25</v>
      </c>
      <c r="L52" s="67">
        <f t="shared" si="12"/>
        <v>37171.199999999997</v>
      </c>
      <c r="M52" s="68"/>
      <c r="N52" s="31"/>
    </row>
    <row r="53" spans="1:19" ht="13.8" thickBot="1" x14ac:dyDescent="0.3">
      <c r="C53" s="24" t="s">
        <v>26</v>
      </c>
      <c r="D53" s="24"/>
      <c r="E53" s="57">
        <f>SUM(E43:E52)</f>
        <v>2478080</v>
      </c>
      <c r="F53" s="23"/>
      <c r="G53" s="23"/>
      <c r="H53" s="23"/>
      <c r="I53" s="23"/>
      <c r="J53" s="23"/>
      <c r="K53" s="152"/>
      <c r="L53" s="153"/>
      <c r="M53" s="154"/>
      <c r="N53" s="158"/>
      <c r="O53" s="17" t="s">
        <v>27</v>
      </c>
      <c r="P53" s="4" t="s">
        <v>28</v>
      </c>
      <c r="Q53" s="4" t="s">
        <v>29</v>
      </c>
      <c r="R53" s="39" t="s">
        <v>30</v>
      </c>
      <c r="S53" s="39"/>
    </row>
    <row r="54" spans="1:19" ht="14.4" customHeight="1" thickBot="1" x14ac:dyDescent="0.3">
      <c r="E54" s="7"/>
      <c r="F54" s="7"/>
      <c r="G54" s="7"/>
      <c r="H54" s="7"/>
      <c r="I54" s="7"/>
      <c r="J54" s="7"/>
      <c r="K54" s="155"/>
      <c r="L54" s="156"/>
      <c r="M54" s="157"/>
      <c r="N54" s="151"/>
      <c r="O54" s="21">
        <f>SUM(L43:L50)</f>
        <v>-943219.19999999995</v>
      </c>
      <c r="P54" s="34">
        <f>L51+L52</f>
        <v>92928</v>
      </c>
      <c r="Q54" s="35">
        <f>O54+P54</f>
        <v>-850291.19999999995</v>
      </c>
      <c r="R54" s="5">
        <f>RANK(Q54, $Q$18:$Q$162,1)</f>
        <v>2</v>
      </c>
      <c r="S54" s="39"/>
    </row>
    <row r="56" spans="1:19" ht="13.8" thickBot="1" x14ac:dyDescent="0.3"/>
    <row r="57" spans="1:19" ht="15" customHeight="1" thickBot="1" x14ac:dyDescent="0.3">
      <c r="K57" s="159" t="str">
        <f>'[1]TOTAAL NA'!K55</f>
        <v>Leverancier 4</v>
      </c>
      <c r="L57" s="160"/>
      <c r="M57" s="160"/>
      <c r="N57" s="161"/>
      <c r="R57" s="144"/>
      <c r="S57" s="144"/>
    </row>
    <row r="58" spans="1:19" ht="13.8" thickBot="1" x14ac:dyDescent="0.3">
      <c r="A58" s="8" t="s">
        <v>3</v>
      </c>
      <c r="B58" s="146" t="s">
        <v>4</v>
      </c>
      <c r="C58" s="146"/>
      <c r="D58" s="89"/>
      <c r="E58" s="25" t="s">
        <v>5</v>
      </c>
      <c r="F58" s="25" t="s">
        <v>6</v>
      </c>
      <c r="G58" s="25" t="s">
        <v>7</v>
      </c>
      <c r="H58" s="25" t="s">
        <v>8</v>
      </c>
      <c r="I58" s="25" t="s">
        <v>9</v>
      </c>
      <c r="J58" s="9" t="s">
        <v>10</v>
      </c>
      <c r="K58" s="91" t="s">
        <v>11</v>
      </c>
      <c r="L58" s="66" t="s">
        <v>12</v>
      </c>
      <c r="M58" s="26" t="s">
        <v>13</v>
      </c>
      <c r="N58" s="14" t="s">
        <v>14</v>
      </c>
    </row>
    <row r="59" spans="1:19" ht="13.8" thickBot="1" x14ac:dyDescent="0.3">
      <c r="A59" s="95"/>
      <c r="B59" s="148"/>
      <c r="C59" s="149"/>
      <c r="D59" s="96"/>
      <c r="E59" s="97"/>
      <c r="F59" s="98">
        <v>0.25</v>
      </c>
      <c r="G59" s="98">
        <v>0.15</v>
      </c>
      <c r="H59" s="98">
        <v>0</v>
      </c>
      <c r="I59" s="99">
        <v>-0.6</v>
      </c>
      <c r="J59" s="100">
        <v>-1</v>
      </c>
      <c r="K59" s="90"/>
      <c r="L59" s="66"/>
      <c r="M59" s="26"/>
      <c r="N59" s="14"/>
    </row>
    <row r="60" spans="1:19" x14ac:dyDescent="0.25">
      <c r="A60" s="101" t="s">
        <v>15</v>
      </c>
      <c r="B60" s="147" t="str">
        <f>$B$6</f>
        <v>Demo / use cases</v>
      </c>
      <c r="C60" s="147"/>
      <c r="D60" s="102">
        <v>0.7</v>
      </c>
      <c r="E60" s="103">
        <f>[1]Berekening!$E$10</f>
        <v>1300992</v>
      </c>
      <c r="F60" s="104">
        <f>F59*$E$6</f>
        <v>325248</v>
      </c>
      <c r="G60" s="104">
        <f>$G$5*$E$6</f>
        <v>195148.79999999999</v>
      </c>
      <c r="H60" s="104">
        <f>$H$5*E60</f>
        <v>0</v>
      </c>
      <c r="I60" s="105">
        <f>I59*$E$6</f>
        <v>-780595.19999999995</v>
      </c>
      <c r="J60" s="106">
        <f>J59*$E$6</f>
        <v>-1300992</v>
      </c>
      <c r="K60" s="107"/>
      <c r="L60" s="108"/>
      <c r="M60" s="109"/>
      <c r="N60" s="110"/>
    </row>
    <row r="61" spans="1:19" ht="13.2" customHeight="1" x14ac:dyDescent="0.25">
      <c r="A61" s="69"/>
      <c r="B61" s="145" t="s">
        <v>16</v>
      </c>
      <c r="C61" s="145"/>
      <c r="D61" s="111">
        <v>0.2</v>
      </c>
      <c r="E61" s="28">
        <f>E60*D61</f>
        <v>260198.40000000002</v>
      </c>
      <c r="F61" s="64">
        <f>D61*F60</f>
        <v>65049.600000000006</v>
      </c>
      <c r="G61" s="64">
        <f>D61*$G$6</f>
        <v>39029.760000000002</v>
      </c>
      <c r="H61" s="64">
        <f>D61*$H$6</f>
        <v>0</v>
      </c>
      <c r="I61" s="112">
        <f>D61*$I$6</f>
        <v>-156119.04000000001</v>
      </c>
      <c r="J61" s="112">
        <f>D61*$J$6</f>
        <v>-260198.40000000002</v>
      </c>
      <c r="K61" s="113">
        <v>1</v>
      </c>
      <c r="L61" s="20">
        <f t="shared" ref="L61:L70" si="18">IF(K61=0.25,G61,IF(K61=0,F61,IF(K61=0.75,I61,IF(K61=0.5,H61,IF(K61=1,J61,"fout")))))</f>
        <v>-260198.40000000002</v>
      </c>
      <c r="M61" s="29"/>
      <c r="N61" s="29"/>
    </row>
    <row r="62" spans="1:19" ht="13.2" customHeight="1" x14ac:dyDescent="0.25">
      <c r="A62" s="69"/>
      <c r="B62" s="145" t="s">
        <v>17</v>
      </c>
      <c r="C62" s="145"/>
      <c r="D62" s="111">
        <v>0.1</v>
      </c>
      <c r="E62" s="28">
        <f>E60*D62</f>
        <v>130099.20000000001</v>
      </c>
      <c r="F62" s="64">
        <f>D62*F60</f>
        <v>32524.800000000003</v>
      </c>
      <c r="G62" s="64">
        <f t="shared" ref="G62:G66" si="19">D62*$G$6</f>
        <v>19514.88</v>
      </c>
      <c r="H62" s="64">
        <f t="shared" ref="H62:H66" si="20">D62*$H$6</f>
        <v>0</v>
      </c>
      <c r="I62" s="112">
        <f t="shared" ref="I62:I66" si="21">D62*$I$6</f>
        <v>-78059.520000000004</v>
      </c>
      <c r="J62" s="112">
        <f t="shared" ref="J62:J66" si="22">D62*$J$6</f>
        <v>-130099.20000000001</v>
      </c>
      <c r="K62" s="113">
        <v>0.25</v>
      </c>
      <c r="L62" s="20">
        <f t="shared" si="18"/>
        <v>19514.88</v>
      </c>
      <c r="M62" s="29"/>
      <c r="N62" s="29"/>
    </row>
    <row r="63" spans="1:19" ht="13.2" customHeight="1" x14ac:dyDescent="0.25">
      <c r="A63" s="69"/>
      <c r="B63" s="138" t="s">
        <v>18</v>
      </c>
      <c r="C63" s="138"/>
      <c r="D63" s="111">
        <v>0.2</v>
      </c>
      <c r="E63" s="28">
        <f>E60*D63</f>
        <v>260198.40000000002</v>
      </c>
      <c r="F63" s="64">
        <f>D63*$F$6</f>
        <v>65049.600000000006</v>
      </c>
      <c r="G63" s="64">
        <f t="shared" si="19"/>
        <v>39029.760000000002</v>
      </c>
      <c r="H63" s="64">
        <f t="shared" si="20"/>
        <v>0</v>
      </c>
      <c r="I63" s="112">
        <f t="shared" si="21"/>
        <v>-156119.04000000001</v>
      </c>
      <c r="J63" s="112">
        <f t="shared" si="22"/>
        <v>-260198.40000000002</v>
      </c>
      <c r="K63" s="113">
        <v>0.25</v>
      </c>
      <c r="L63" s="20">
        <f t="shared" si="18"/>
        <v>39029.760000000002</v>
      </c>
      <c r="M63" s="29"/>
      <c r="N63" s="29"/>
    </row>
    <row r="64" spans="1:19" ht="13.2" customHeight="1" x14ac:dyDescent="0.25">
      <c r="A64" s="69"/>
      <c r="B64" s="138" t="s">
        <v>19</v>
      </c>
      <c r="C64" s="138"/>
      <c r="D64" s="111">
        <v>0.3</v>
      </c>
      <c r="E64" s="28">
        <f>E60*D64</f>
        <v>390297.59999999998</v>
      </c>
      <c r="F64" s="64">
        <f t="shared" ref="F64:F66" si="23">D64*$F$6</f>
        <v>97574.399999999994</v>
      </c>
      <c r="G64" s="64">
        <f t="shared" si="19"/>
        <v>58544.639999999992</v>
      </c>
      <c r="H64" s="64">
        <f t="shared" si="20"/>
        <v>0</v>
      </c>
      <c r="I64" s="112">
        <f t="shared" si="21"/>
        <v>-234178.55999999997</v>
      </c>
      <c r="J64" s="112">
        <f t="shared" si="22"/>
        <v>-390297.59999999998</v>
      </c>
      <c r="K64" s="113">
        <v>0.75</v>
      </c>
      <c r="L64" s="20">
        <f t="shared" si="18"/>
        <v>-234178.55999999997</v>
      </c>
      <c r="M64" s="29"/>
      <c r="N64" s="29"/>
    </row>
    <row r="65" spans="1:19" ht="13.2" customHeight="1" x14ac:dyDescent="0.25">
      <c r="A65" s="69"/>
      <c r="B65" s="138" t="s">
        <v>20</v>
      </c>
      <c r="C65" s="138"/>
      <c r="D65" s="111">
        <v>0.1</v>
      </c>
      <c r="E65" s="28">
        <f>E60*D65</f>
        <v>130099.20000000001</v>
      </c>
      <c r="F65" s="64">
        <f t="shared" si="23"/>
        <v>32524.800000000003</v>
      </c>
      <c r="G65" s="64">
        <f t="shared" si="19"/>
        <v>19514.88</v>
      </c>
      <c r="H65" s="64">
        <f t="shared" si="20"/>
        <v>0</v>
      </c>
      <c r="I65" s="112">
        <f t="shared" si="21"/>
        <v>-78059.520000000004</v>
      </c>
      <c r="J65" s="112">
        <f t="shared" si="22"/>
        <v>-130099.20000000001</v>
      </c>
      <c r="K65" s="113">
        <v>0.5</v>
      </c>
      <c r="L65" s="20">
        <f t="shared" si="18"/>
        <v>0</v>
      </c>
      <c r="M65" s="29"/>
      <c r="N65" s="29"/>
    </row>
    <row r="66" spans="1:19" ht="13.95" customHeight="1" thickBot="1" x14ac:dyDescent="0.3">
      <c r="A66" s="3"/>
      <c r="B66" s="139" t="s">
        <v>21</v>
      </c>
      <c r="C66" s="139"/>
      <c r="D66" s="114">
        <v>0.1</v>
      </c>
      <c r="E66" s="115">
        <f>E60*D66</f>
        <v>130099.20000000001</v>
      </c>
      <c r="F66" s="116">
        <f t="shared" si="23"/>
        <v>32524.800000000003</v>
      </c>
      <c r="G66" s="116">
        <f t="shared" si="19"/>
        <v>19514.88</v>
      </c>
      <c r="H66" s="116">
        <f t="shared" si="20"/>
        <v>0</v>
      </c>
      <c r="I66" s="117">
        <f t="shared" si="21"/>
        <v>-78059.520000000004</v>
      </c>
      <c r="J66" s="117">
        <f t="shared" si="22"/>
        <v>-130099.20000000001</v>
      </c>
      <c r="K66" s="118">
        <v>0.5</v>
      </c>
      <c r="L66" s="27">
        <f t="shared" si="18"/>
        <v>0</v>
      </c>
      <c r="M66" s="119"/>
      <c r="N66" s="31"/>
    </row>
    <row r="67" spans="1:19" ht="13.8" thickBot="1" x14ac:dyDescent="0.3">
      <c r="A67" s="120" t="s">
        <v>22</v>
      </c>
      <c r="B67" s="140" t="str">
        <f>$B$13</f>
        <v>Implementatie en aanpak</v>
      </c>
      <c r="C67" s="140"/>
      <c r="D67" s="134">
        <v>0.125</v>
      </c>
      <c r="E67" s="57">
        <f>[1]Berekening!$E$11</f>
        <v>232320</v>
      </c>
      <c r="F67" s="122">
        <f>$F$5*E67</f>
        <v>58080</v>
      </c>
      <c r="G67" s="122">
        <f>$G$5*$E$13</f>
        <v>34848</v>
      </c>
      <c r="H67" s="122">
        <f>$H$5*E67</f>
        <v>0</v>
      </c>
      <c r="I67" s="123">
        <f>I59*$E$13</f>
        <v>-139392</v>
      </c>
      <c r="J67" s="124">
        <f>$J$5*E67</f>
        <v>-232320</v>
      </c>
      <c r="K67" s="125">
        <v>0.5</v>
      </c>
      <c r="L67" s="122">
        <f t="shared" si="18"/>
        <v>0</v>
      </c>
      <c r="M67" s="126"/>
      <c r="N67" s="127"/>
    </row>
    <row r="68" spans="1:19" x14ac:dyDescent="0.25">
      <c r="A68" s="22" t="s">
        <v>23</v>
      </c>
      <c r="B68" s="137" t="str">
        <f>$B$14</f>
        <v>Werkwijze koppelingen</v>
      </c>
      <c r="C68" s="137"/>
      <c r="D68" s="134">
        <v>0.17499999999999999</v>
      </c>
      <c r="E68" s="28">
        <f>[1]Berekening!$E$12</f>
        <v>325248</v>
      </c>
      <c r="F68" s="20">
        <f>$F$5*E68</f>
        <v>81312</v>
      </c>
      <c r="G68" s="20">
        <f>$G$5*$E$14</f>
        <v>48787.199999999997</v>
      </c>
      <c r="H68" s="20">
        <f>$H$5*E68</f>
        <v>0</v>
      </c>
      <c r="I68" s="129">
        <f>I59*$E$14</f>
        <v>-195148.79999999999</v>
      </c>
      <c r="J68" s="130">
        <f>$J$5*E68</f>
        <v>-325248</v>
      </c>
      <c r="K68" s="113">
        <v>0.75</v>
      </c>
      <c r="L68" s="20">
        <f t="shared" si="18"/>
        <v>-195148.79999999999</v>
      </c>
      <c r="M68" s="29"/>
      <c r="N68" s="30"/>
    </row>
    <row r="69" spans="1:19" x14ac:dyDescent="0.25">
      <c r="A69" s="22" t="s">
        <v>24</v>
      </c>
      <c r="B69" s="135" t="str">
        <f>$B$15</f>
        <v>MVOI vraag 1 (60%)</v>
      </c>
      <c r="C69" s="136"/>
      <c r="D69" s="88"/>
      <c r="E69" s="28">
        <f>[1]Berekening!$F$13</f>
        <v>371712</v>
      </c>
      <c r="F69" s="63">
        <f>$F$5*E69</f>
        <v>92928</v>
      </c>
      <c r="G69" s="20">
        <f>$G$5*$E$15</f>
        <v>55756.799999999996</v>
      </c>
      <c r="H69" s="20">
        <f>$H$5*E69</f>
        <v>0</v>
      </c>
      <c r="I69" s="129">
        <f>I59*$E$15</f>
        <v>-223027.19999999998</v>
      </c>
      <c r="J69" s="130">
        <f>$J$5*E69</f>
        <v>-371712</v>
      </c>
      <c r="K69" s="113">
        <v>0.25</v>
      </c>
      <c r="L69" s="20">
        <f t="shared" si="18"/>
        <v>55756.799999999996</v>
      </c>
      <c r="M69" s="29"/>
      <c r="N69" s="30"/>
    </row>
    <row r="70" spans="1:19" ht="13.8" thickBot="1" x14ac:dyDescent="0.3">
      <c r="A70" s="22" t="s">
        <v>25</v>
      </c>
      <c r="B70" s="135" t="str">
        <f>$B$16</f>
        <v>MVOI vraag 2 (40%)</v>
      </c>
      <c r="C70" s="136"/>
      <c r="D70" s="88"/>
      <c r="E70" s="28">
        <f>[1]Berekening!$F$14</f>
        <v>247808</v>
      </c>
      <c r="F70" s="64">
        <f>$F$5*E70</f>
        <v>61952</v>
      </c>
      <c r="G70" s="20">
        <f>$G$5*$E$16</f>
        <v>37171.199999999997</v>
      </c>
      <c r="H70" s="20">
        <f>$H$5*E70</f>
        <v>0</v>
      </c>
      <c r="I70" s="129">
        <f>I59*E70</f>
        <v>-148684.79999999999</v>
      </c>
      <c r="J70" s="130">
        <f>$J$5*E70</f>
        <v>-247808</v>
      </c>
      <c r="K70" s="132">
        <v>0.25</v>
      </c>
      <c r="L70" s="67">
        <f t="shared" si="18"/>
        <v>37171.199999999997</v>
      </c>
      <c r="M70" s="68"/>
      <c r="N70" s="31"/>
    </row>
    <row r="71" spans="1:19" ht="13.8" thickBot="1" x14ac:dyDescent="0.3">
      <c r="C71" s="24" t="s">
        <v>26</v>
      </c>
      <c r="D71" s="24"/>
      <c r="E71" s="57">
        <f>SUM(E61:E70)</f>
        <v>2478080</v>
      </c>
      <c r="F71" s="23"/>
      <c r="G71" s="23"/>
      <c r="H71" s="23"/>
      <c r="I71" s="23"/>
      <c r="J71" s="23"/>
      <c r="K71" s="152"/>
      <c r="L71" s="153"/>
      <c r="M71" s="154"/>
      <c r="N71" s="158"/>
      <c r="O71" s="17" t="s">
        <v>27</v>
      </c>
      <c r="P71" s="4" t="s">
        <v>28</v>
      </c>
      <c r="Q71" s="4" t="s">
        <v>29</v>
      </c>
      <c r="R71" s="39" t="s">
        <v>30</v>
      </c>
      <c r="S71" s="39"/>
    </row>
    <row r="72" spans="1:19" ht="14.4" customHeight="1" thickBot="1" x14ac:dyDescent="0.3">
      <c r="E72" s="7"/>
      <c r="F72" s="7"/>
      <c r="G72" s="7"/>
      <c r="H72" s="7"/>
      <c r="I72" s="7"/>
      <c r="J72" s="7"/>
      <c r="K72" s="155"/>
      <c r="L72" s="156"/>
      <c r="M72" s="157"/>
      <c r="N72" s="151"/>
      <c r="O72" s="21">
        <f>SUM(L61:L68)</f>
        <v>-630981.11999999988</v>
      </c>
      <c r="P72" s="34">
        <f>L69+L70</f>
        <v>92928</v>
      </c>
      <c r="Q72" s="35">
        <f>O72+P72</f>
        <v>-538053.11999999988</v>
      </c>
      <c r="R72" s="5">
        <f>RANK(Q72, $Q$18:$Q$162,1)</f>
        <v>4</v>
      </c>
      <c r="S72" s="39"/>
    </row>
  </sheetData>
  <mergeCells count="69">
    <mergeCell ref="B70:C70"/>
    <mergeCell ref="K71:M72"/>
    <mergeCell ref="N71:N72"/>
    <mergeCell ref="B59:C59"/>
    <mergeCell ref="B62:C62"/>
    <mergeCell ref="B63:C63"/>
    <mergeCell ref="B64:C64"/>
    <mergeCell ref="B65:C65"/>
    <mergeCell ref="B68:C68"/>
    <mergeCell ref="B69:C69"/>
    <mergeCell ref="B60:C60"/>
    <mergeCell ref="B61:C61"/>
    <mergeCell ref="K53:M54"/>
    <mergeCell ref="N53:N54"/>
    <mergeCell ref="K57:N57"/>
    <mergeCell ref="R57:S57"/>
    <mergeCell ref="B58:C58"/>
    <mergeCell ref="K35:M36"/>
    <mergeCell ref="N35:N36"/>
    <mergeCell ref="K39:N39"/>
    <mergeCell ref="R39:S39"/>
    <mergeCell ref="B41:C41"/>
    <mergeCell ref="B40:C40"/>
    <mergeCell ref="R21:S21"/>
    <mergeCell ref="B22:C22"/>
    <mergeCell ref="B23:C23"/>
    <mergeCell ref="B24:C24"/>
    <mergeCell ref="B28:C28"/>
    <mergeCell ref="K21:N21"/>
    <mergeCell ref="B42:C42"/>
    <mergeCell ref="B43:C43"/>
    <mergeCell ref="B46:C46"/>
    <mergeCell ref="B67:C67"/>
    <mergeCell ref="B52:C52"/>
    <mergeCell ref="B47:C47"/>
    <mergeCell ref="B48:C48"/>
    <mergeCell ref="B44:C44"/>
    <mergeCell ref="B45:C45"/>
    <mergeCell ref="B49:C49"/>
    <mergeCell ref="B50:C50"/>
    <mergeCell ref="B51:C51"/>
    <mergeCell ref="B66:C66"/>
    <mergeCell ref="B34:C34"/>
    <mergeCell ref="B26:C26"/>
    <mergeCell ref="B27:C27"/>
    <mergeCell ref="B14:C14"/>
    <mergeCell ref="B25:C25"/>
    <mergeCell ref="B15:C15"/>
    <mergeCell ref="B16:C16"/>
    <mergeCell ref="B31:C31"/>
    <mergeCell ref="B29:C29"/>
    <mergeCell ref="B30:C30"/>
    <mergeCell ref="B32:C32"/>
    <mergeCell ref="B33:C33"/>
    <mergeCell ref="B11:C11"/>
    <mergeCell ref="B12:C12"/>
    <mergeCell ref="B13:C13"/>
    <mergeCell ref="K17:M18"/>
    <mergeCell ref="N17:N18"/>
    <mergeCell ref="B4:C4"/>
    <mergeCell ref="B5:C5"/>
    <mergeCell ref="F3:J3"/>
    <mergeCell ref="K3:N3"/>
    <mergeCell ref="R3:S3"/>
    <mergeCell ref="B6:C6"/>
    <mergeCell ref="B10:C10"/>
    <mergeCell ref="B7:C7"/>
    <mergeCell ref="B8:C8"/>
    <mergeCell ref="B9:C9"/>
  </mergeCells>
  <conditionalFormatting sqref="R18">
    <cfRule type="cellIs" dxfId="3" priority="4" operator="equal">
      <formula>1</formula>
    </cfRule>
  </conditionalFormatting>
  <conditionalFormatting sqref="R36">
    <cfRule type="cellIs" dxfId="2" priority="3" operator="equal">
      <formula>1</formula>
    </cfRule>
  </conditionalFormatting>
  <conditionalFormatting sqref="R54">
    <cfRule type="cellIs" dxfId="1" priority="2" operator="equal">
      <formula>1</formula>
    </cfRule>
  </conditionalFormatting>
  <conditionalFormatting sqref="R72">
    <cfRule type="cellIs" dxfId="0" priority="1" operator="equal">
      <formula>1</formula>
    </cfRule>
  </conditionalFormatting>
  <dataValidations count="1">
    <dataValidation type="list" allowBlank="1" showInputMessage="1" showErrorMessage="1" sqref="K17 K35 K53 K71" xr:uid="{414400C9-B143-4637-90EA-3FDA63D2629E}">
      <formula1>$W$1:$W$2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EF013-3993-4A53-842D-3D38CDFE1F35}">
  <dimension ref="A1:Y48"/>
  <sheetViews>
    <sheetView zoomScaleNormal="100" workbookViewId="0">
      <selection activeCell="J7" sqref="J7"/>
    </sheetView>
  </sheetViews>
  <sheetFormatPr defaultColWidth="8.88671875" defaultRowHeight="13.2" x14ac:dyDescent="0.25"/>
  <cols>
    <col min="1" max="1" width="6.109375" style="1" customWidth="1"/>
    <col min="2" max="2" width="8.88671875" style="1"/>
    <col min="3" max="3" width="15.109375" style="1" customWidth="1"/>
    <col min="4" max="4" width="12" style="1" bestFit="1" customWidth="1"/>
    <col min="5" max="5" width="15.109375" style="1" customWidth="1"/>
    <col min="6" max="6" width="13" style="1" customWidth="1"/>
    <col min="7" max="8" width="11.88671875" style="1" customWidth="1"/>
    <col min="9" max="9" width="12.44140625" style="1" bestFit="1" customWidth="1"/>
    <col min="10" max="10" width="8.88671875" style="1"/>
    <col min="11" max="11" width="14.6640625" style="19" customWidth="1"/>
    <col min="12" max="12" width="44.5546875" style="1" customWidth="1"/>
    <col min="13" max="13" width="55.5546875" style="1" customWidth="1"/>
    <col min="14" max="14" width="15.44140625" style="1" customWidth="1"/>
    <col min="15" max="15" width="10.88671875" style="1" customWidth="1"/>
    <col min="16" max="16" width="14.44140625" style="1" customWidth="1"/>
    <col min="17" max="24" width="8.88671875" style="1"/>
    <col min="25" max="25" width="9.88671875" style="1" bestFit="1" customWidth="1"/>
    <col min="26" max="16384" width="8.88671875" style="1"/>
  </cols>
  <sheetData>
    <row r="1" spans="1:25" ht="15" x14ac:dyDescent="0.25">
      <c r="A1" s="38" t="s">
        <v>31</v>
      </c>
      <c r="L1" s="10" t="s">
        <v>32</v>
      </c>
      <c r="Y1" s="6">
        <v>0</v>
      </c>
    </row>
    <row r="2" spans="1:25" ht="15.6" thickBot="1" x14ac:dyDescent="0.3">
      <c r="L2" s="10" t="s">
        <v>33</v>
      </c>
      <c r="Y2" s="6">
        <v>0.25</v>
      </c>
    </row>
    <row r="3" spans="1:25" ht="15" customHeight="1" thickBot="1" x14ac:dyDescent="0.3">
      <c r="J3" s="165" t="s">
        <v>34</v>
      </c>
      <c r="K3" s="166"/>
      <c r="L3" s="166"/>
      <c r="M3" s="167"/>
      <c r="S3" s="144"/>
      <c r="T3" s="144"/>
      <c r="U3" s="144"/>
    </row>
    <row r="4" spans="1:25" ht="27" thickBot="1" x14ac:dyDescent="0.3">
      <c r="A4" s="32" t="s">
        <v>3</v>
      </c>
      <c r="B4" s="169" t="s">
        <v>4</v>
      </c>
      <c r="C4" s="169"/>
      <c r="D4" s="33" t="s">
        <v>5</v>
      </c>
      <c r="E4" s="33" t="s">
        <v>6</v>
      </c>
      <c r="F4" s="33" t="s">
        <v>7</v>
      </c>
      <c r="G4" s="33" t="s">
        <v>8</v>
      </c>
      <c r="H4" s="33" t="s">
        <v>9</v>
      </c>
      <c r="I4" s="185" t="s">
        <v>10</v>
      </c>
      <c r="J4" s="53" t="s">
        <v>11</v>
      </c>
      <c r="K4" s="72" t="s">
        <v>12</v>
      </c>
      <c r="L4" s="26" t="s">
        <v>13</v>
      </c>
      <c r="M4" s="14" t="s">
        <v>14</v>
      </c>
    </row>
    <row r="5" spans="1:25" x14ac:dyDescent="0.25">
      <c r="A5" s="173"/>
      <c r="B5" s="174"/>
      <c r="C5" s="174"/>
      <c r="D5" s="175"/>
      <c r="E5" s="55">
        <v>0.25</v>
      </c>
      <c r="F5" s="55">
        <v>0.15</v>
      </c>
      <c r="G5" s="55">
        <v>0</v>
      </c>
      <c r="H5" s="55">
        <v>0.6</v>
      </c>
      <c r="I5" s="56">
        <v>-1</v>
      </c>
      <c r="J5" s="69"/>
      <c r="K5" s="23"/>
      <c r="L5" s="2"/>
      <c r="M5" s="51"/>
    </row>
    <row r="6" spans="1:25" x14ac:dyDescent="0.25">
      <c r="A6" s="54" t="str">
        <f>'Beoordelaar 1'!A6</f>
        <v>A</v>
      </c>
      <c r="B6" s="170" t="s">
        <v>35</v>
      </c>
      <c r="C6" s="170"/>
      <c r="D6" s="20">
        <v>1300992</v>
      </c>
      <c r="E6" s="20">
        <v>325248</v>
      </c>
      <c r="F6" s="20">
        <v>195148.79999999999</v>
      </c>
      <c r="G6" s="129">
        <v>0</v>
      </c>
      <c r="H6" s="129">
        <v>-780595.19999999995</v>
      </c>
      <c r="I6" s="130">
        <v>-1300992</v>
      </c>
      <c r="J6" s="113">
        <v>0.75</v>
      </c>
      <c r="K6" s="20">
        <f>IF(J6=0.25,F6,IF(J6=0,E6,IF(J6=0.75,H6,IF(J6=0.5,0,IF(J6=1,I6,"fout")))))</f>
        <v>-780595.19999999995</v>
      </c>
      <c r="L6" s="36" t="s">
        <v>36</v>
      </c>
      <c r="M6" s="37" t="s">
        <v>37</v>
      </c>
      <c r="S6" s="12"/>
    </row>
    <row r="7" spans="1:25" x14ac:dyDescent="0.25">
      <c r="A7" s="54" t="s">
        <v>22</v>
      </c>
      <c r="B7" s="170" t="s">
        <v>38</v>
      </c>
      <c r="C7" s="170"/>
      <c r="D7" s="20">
        <v>232320</v>
      </c>
      <c r="E7" s="20">
        <v>58080</v>
      </c>
      <c r="F7" s="20">
        <v>34848</v>
      </c>
      <c r="G7" s="129">
        <v>0</v>
      </c>
      <c r="H7" s="129">
        <v>-139392</v>
      </c>
      <c r="I7" s="130">
        <v>-232320</v>
      </c>
      <c r="J7" s="125">
        <v>0.5</v>
      </c>
      <c r="K7" s="20">
        <f t="shared" ref="K7:K10" si="0">IF(J7=0.25,F7,IF(J7=0,E7,IF(J7=0.75,H7,IF(J7=0.5,0,IF(J7=1,I7,"fout")))))</f>
        <v>0</v>
      </c>
      <c r="L7" s="36" t="s">
        <v>39</v>
      </c>
      <c r="M7" s="37" t="s">
        <v>40</v>
      </c>
      <c r="S7" s="12"/>
    </row>
    <row r="8" spans="1:25" x14ac:dyDescent="0.25">
      <c r="A8" s="54" t="s">
        <v>23</v>
      </c>
      <c r="B8" s="170" t="s">
        <v>41</v>
      </c>
      <c r="C8" s="170"/>
      <c r="D8" s="20">
        <v>325248</v>
      </c>
      <c r="E8" s="20">
        <v>81312</v>
      </c>
      <c r="F8" s="20">
        <v>48787.199999999997</v>
      </c>
      <c r="G8" s="129">
        <v>0</v>
      </c>
      <c r="H8" s="129">
        <v>-195148.79999999999</v>
      </c>
      <c r="I8" s="130">
        <v>-325248</v>
      </c>
      <c r="J8" s="113">
        <v>0.75</v>
      </c>
      <c r="K8" s="20">
        <f t="shared" si="0"/>
        <v>-195148.79999999999</v>
      </c>
      <c r="L8" s="36" t="s">
        <v>42</v>
      </c>
      <c r="M8" s="37"/>
      <c r="S8" s="12"/>
    </row>
    <row r="9" spans="1:25" x14ac:dyDescent="0.25">
      <c r="A9" s="54" t="s">
        <v>24</v>
      </c>
      <c r="B9" s="170" t="s">
        <v>43</v>
      </c>
      <c r="C9" s="170"/>
      <c r="D9" s="20">
        <v>371712</v>
      </c>
      <c r="E9" s="20">
        <v>92928</v>
      </c>
      <c r="F9" s="20">
        <v>55756.799999999996</v>
      </c>
      <c r="G9" s="129">
        <v>0</v>
      </c>
      <c r="H9" s="129">
        <v>-223027.19999999998</v>
      </c>
      <c r="I9" s="130">
        <v>-371712</v>
      </c>
      <c r="J9" s="113">
        <v>0.5</v>
      </c>
      <c r="K9" s="20">
        <f t="shared" si="0"/>
        <v>0</v>
      </c>
      <c r="L9" s="36"/>
      <c r="M9" s="37"/>
      <c r="S9" s="12"/>
    </row>
    <row r="10" spans="1:25" x14ac:dyDescent="0.25">
      <c r="A10" s="54" t="s">
        <v>25</v>
      </c>
      <c r="B10" s="170" t="s">
        <v>44</v>
      </c>
      <c r="C10" s="170"/>
      <c r="D10" s="20">
        <v>247808</v>
      </c>
      <c r="E10" s="20">
        <v>61952</v>
      </c>
      <c r="F10" s="20">
        <v>37171.199999999997</v>
      </c>
      <c r="G10" s="129">
        <v>0</v>
      </c>
      <c r="H10" s="129">
        <v>-148684.79999999999</v>
      </c>
      <c r="I10" s="130">
        <v>-247808</v>
      </c>
      <c r="J10" s="113">
        <v>0.25</v>
      </c>
      <c r="K10" s="27">
        <f t="shared" si="0"/>
        <v>37171.199999999997</v>
      </c>
      <c r="L10" s="70"/>
      <c r="M10" s="71"/>
      <c r="S10" s="12"/>
    </row>
    <row r="11" spans="1:25" ht="15" customHeight="1" x14ac:dyDescent="0.25">
      <c r="C11" s="54" t="s">
        <v>26</v>
      </c>
      <c r="D11" s="28">
        <f>SUM(D6:D10)</f>
        <v>2478080</v>
      </c>
      <c r="J11" s="171"/>
      <c r="K11" s="186"/>
      <c r="L11" s="172"/>
      <c r="M11" s="162"/>
      <c r="N11" s="17" t="s">
        <v>27</v>
      </c>
      <c r="O11" s="4" t="s">
        <v>28</v>
      </c>
      <c r="P11" s="4" t="s">
        <v>29</v>
      </c>
      <c r="Q11" s="3"/>
      <c r="S11" s="164"/>
      <c r="T11" s="164"/>
      <c r="U11" s="164"/>
      <c r="Y11" s="13"/>
    </row>
    <row r="12" spans="1:25" ht="14.4" customHeight="1" thickBot="1" x14ac:dyDescent="0.3">
      <c r="D12" s="7"/>
      <c r="E12" s="7"/>
      <c r="F12" s="7"/>
      <c r="G12" s="7"/>
      <c r="H12" s="7"/>
      <c r="I12" s="7"/>
      <c r="J12" s="155"/>
      <c r="K12" s="156"/>
      <c r="L12" s="157"/>
      <c r="M12" s="163"/>
      <c r="N12" s="21">
        <f>SUM(K6:K8)</f>
        <v>-975744</v>
      </c>
      <c r="O12" s="34">
        <f>K9+K10</f>
        <v>37171.199999999997</v>
      </c>
      <c r="P12" s="35">
        <f>N12+O12</f>
        <v>-938572.80000000005</v>
      </c>
      <c r="Q12" s="3" t="s">
        <v>30</v>
      </c>
      <c r="R12" s="5">
        <f>RANK(P12, $P$11:$P$52,1)</f>
        <v>1</v>
      </c>
      <c r="S12" s="164"/>
      <c r="T12" s="164"/>
      <c r="U12" s="164"/>
    </row>
    <row r="14" spans="1:25" ht="13.8" thickBot="1" x14ac:dyDescent="0.3"/>
    <row r="15" spans="1:25" ht="15" customHeight="1" thickBot="1" x14ac:dyDescent="0.3">
      <c r="J15" s="176" t="s">
        <v>45</v>
      </c>
      <c r="K15" s="177"/>
      <c r="L15" s="177"/>
      <c r="M15" s="178"/>
    </row>
    <row r="16" spans="1:25" ht="27" thickBot="1" x14ac:dyDescent="0.3">
      <c r="A16" s="60" t="s">
        <v>3</v>
      </c>
      <c r="B16" s="168" t="s">
        <v>4</v>
      </c>
      <c r="C16" s="169"/>
      <c r="D16" s="33" t="s">
        <v>5</v>
      </c>
      <c r="E16" s="33" t="s">
        <v>6</v>
      </c>
      <c r="F16" s="33" t="s">
        <v>7</v>
      </c>
      <c r="G16" s="33" t="s">
        <v>8</v>
      </c>
      <c r="H16" s="33" t="s">
        <v>9</v>
      </c>
      <c r="I16" s="185" t="s">
        <v>10</v>
      </c>
      <c r="J16" s="53" t="s">
        <v>11</v>
      </c>
      <c r="K16" s="72" t="s">
        <v>12</v>
      </c>
      <c r="L16" s="26" t="s">
        <v>13</v>
      </c>
      <c r="M16" s="14" t="s">
        <v>14</v>
      </c>
    </row>
    <row r="17" spans="1:25" x14ac:dyDescent="0.25">
      <c r="A17" s="173"/>
      <c r="B17" s="174"/>
      <c r="C17" s="174"/>
      <c r="D17" s="175"/>
      <c r="E17" s="55">
        <v>0.25</v>
      </c>
      <c r="F17" s="55">
        <v>0.15</v>
      </c>
      <c r="G17" s="55">
        <v>0</v>
      </c>
      <c r="H17" s="55">
        <v>0.6</v>
      </c>
      <c r="I17" s="56">
        <v>-1</v>
      </c>
      <c r="J17" s="69"/>
      <c r="K17" s="23"/>
      <c r="L17" s="2"/>
      <c r="M17" s="51"/>
    </row>
    <row r="18" spans="1:25" x14ac:dyDescent="0.25">
      <c r="A18" s="54" t="str">
        <f>$A$6</f>
        <v>A</v>
      </c>
      <c r="B18" s="170" t="s">
        <v>35</v>
      </c>
      <c r="C18" s="170"/>
      <c r="D18" s="20">
        <v>1300992</v>
      </c>
      <c r="E18" s="20">
        <f>D18*$E$5</f>
        <v>325248</v>
      </c>
      <c r="F18" s="20">
        <f>$F$5*D18</f>
        <v>195148.79999999999</v>
      </c>
      <c r="G18" s="129">
        <f>$G$5*D18</f>
        <v>0</v>
      </c>
      <c r="H18" s="129">
        <f>$H$5*D18</f>
        <v>780595.19999999995</v>
      </c>
      <c r="I18" s="130">
        <f>$I$5*D18</f>
        <v>-1300992</v>
      </c>
      <c r="J18" s="113">
        <v>0.5</v>
      </c>
      <c r="K18" s="20">
        <f>IF(J18=0.25,F18,IF(J18=0,E18,IF(J18=0.75,H18,IF(J18=0.5,0,IF(J18=1,I18,"fout")))))</f>
        <v>0</v>
      </c>
      <c r="L18" s="36"/>
      <c r="M18" s="37"/>
      <c r="S18" s="12"/>
    </row>
    <row r="19" spans="1:25" x14ac:dyDescent="0.25">
      <c r="A19" s="54" t="str">
        <f>$A$7</f>
        <v>B</v>
      </c>
      <c r="B19" s="170" t="s">
        <v>38</v>
      </c>
      <c r="C19" s="170"/>
      <c r="D19" s="20">
        <v>232320</v>
      </c>
      <c r="E19" s="20">
        <f t="shared" ref="E19:E22" si="1">D19*$E$5</f>
        <v>58080</v>
      </c>
      <c r="F19" s="20">
        <f t="shared" ref="F19:F22" si="2">$F$5*D19</f>
        <v>34848</v>
      </c>
      <c r="G19" s="129">
        <f t="shared" ref="G19:G22" si="3">$G$5*D19</f>
        <v>0</v>
      </c>
      <c r="H19" s="129">
        <f t="shared" ref="H19:H22" si="4">$H$5*D19</f>
        <v>139392</v>
      </c>
      <c r="I19" s="130">
        <f t="shared" ref="I19:I22" si="5">$I$5*D19</f>
        <v>-232320</v>
      </c>
      <c r="J19" s="125">
        <v>0.5</v>
      </c>
      <c r="K19" s="20">
        <f>IF(J19=0.25,F19,IF(J19=0,E19,IF(J19=0.75,H19,IF(J19=0.5,0,IF(J19=1,I19,"fout")))))</f>
        <v>0</v>
      </c>
      <c r="L19" s="36"/>
      <c r="M19" s="37"/>
      <c r="S19" s="12"/>
    </row>
    <row r="20" spans="1:25" x14ac:dyDescent="0.25">
      <c r="A20" s="54" t="str">
        <f>$A$8</f>
        <v>C</v>
      </c>
      <c r="B20" s="170" t="s">
        <v>41</v>
      </c>
      <c r="C20" s="170"/>
      <c r="D20" s="20">
        <v>325248</v>
      </c>
      <c r="E20" s="20">
        <f t="shared" si="1"/>
        <v>81312</v>
      </c>
      <c r="F20" s="20">
        <f t="shared" si="2"/>
        <v>48787.199999999997</v>
      </c>
      <c r="G20" s="129">
        <f t="shared" si="3"/>
        <v>0</v>
      </c>
      <c r="H20" s="129">
        <f t="shared" si="4"/>
        <v>195148.79999999999</v>
      </c>
      <c r="I20" s="130">
        <f t="shared" si="5"/>
        <v>-325248</v>
      </c>
      <c r="J20" s="113">
        <v>0.75</v>
      </c>
      <c r="K20" s="20">
        <f>IF(J20=0.25,F20,IF(J20=0,E20,IF(J20=0.75,H20,IF(J20=0.5,0,IF(J20=1,I20,"fout")))))</f>
        <v>195148.79999999999</v>
      </c>
      <c r="L20" s="36"/>
      <c r="M20" s="37"/>
      <c r="S20" s="12"/>
    </row>
    <row r="21" spans="1:25" x14ac:dyDescent="0.25">
      <c r="A21" s="54" t="str">
        <f>$A$9</f>
        <v>D1</v>
      </c>
      <c r="B21" s="170" t="s">
        <v>43</v>
      </c>
      <c r="C21" s="170"/>
      <c r="D21" s="20">
        <v>371712</v>
      </c>
      <c r="E21" s="20">
        <f t="shared" si="1"/>
        <v>92928</v>
      </c>
      <c r="F21" s="20">
        <f t="shared" si="2"/>
        <v>55756.799999999996</v>
      </c>
      <c r="G21" s="129">
        <f t="shared" si="3"/>
        <v>0</v>
      </c>
      <c r="H21" s="129">
        <f t="shared" si="4"/>
        <v>223027.19999999998</v>
      </c>
      <c r="I21" s="130">
        <f t="shared" si="5"/>
        <v>-371712</v>
      </c>
      <c r="J21" s="113">
        <v>0.5</v>
      </c>
      <c r="K21" s="20">
        <f>IF(J21=0.25,F21,IF(J21=0,E21,IF(J21=0.75,H21,IF(J21=0.5,0,IF(J21=1,I21,"fout")))))</f>
        <v>0</v>
      </c>
      <c r="L21" s="36"/>
      <c r="M21" s="37"/>
      <c r="S21" s="12"/>
    </row>
    <row r="22" spans="1:25" x14ac:dyDescent="0.25">
      <c r="A22" s="54" t="str">
        <f>$A$10</f>
        <v>D2</v>
      </c>
      <c r="B22" s="170" t="s">
        <v>44</v>
      </c>
      <c r="C22" s="170"/>
      <c r="D22" s="20">
        <v>247808</v>
      </c>
      <c r="E22" s="20">
        <f t="shared" si="1"/>
        <v>61952</v>
      </c>
      <c r="F22" s="20">
        <f t="shared" si="2"/>
        <v>37171.199999999997</v>
      </c>
      <c r="G22" s="129">
        <f t="shared" si="3"/>
        <v>0</v>
      </c>
      <c r="H22" s="129">
        <f t="shared" si="4"/>
        <v>148684.79999999999</v>
      </c>
      <c r="I22" s="130">
        <f t="shared" si="5"/>
        <v>-247808</v>
      </c>
      <c r="J22" s="113">
        <v>0.25</v>
      </c>
      <c r="K22" s="27">
        <f>IF(J22=0.25,F22,IF(J22=0,E22,IF(J22=0.75,H22,IF(J22=0.5,0,IF(J22=1,I22,"fout")))))</f>
        <v>37171.199999999997</v>
      </c>
      <c r="L22" s="70"/>
      <c r="M22" s="71"/>
      <c r="S22" s="12"/>
    </row>
    <row r="23" spans="1:25" ht="15" customHeight="1" x14ac:dyDescent="0.25">
      <c r="C23" s="54" t="s">
        <v>26</v>
      </c>
      <c r="D23" s="28">
        <v>1040000</v>
      </c>
      <c r="J23" s="171"/>
      <c r="K23" s="186"/>
      <c r="L23" s="172"/>
      <c r="M23" s="162"/>
      <c r="N23" s="17" t="s">
        <v>27</v>
      </c>
      <c r="O23" s="4" t="s">
        <v>28</v>
      </c>
      <c r="P23" s="4" t="s">
        <v>29</v>
      </c>
      <c r="Q23" s="3"/>
      <c r="S23" s="164"/>
      <c r="T23" s="164"/>
      <c r="U23" s="164"/>
      <c r="Y23" s="13"/>
    </row>
    <row r="24" spans="1:25" ht="14.4" customHeight="1" thickBot="1" x14ac:dyDescent="0.3">
      <c r="D24" s="7"/>
      <c r="E24" s="7"/>
      <c r="F24" s="7"/>
      <c r="G24" s="7"/>
      <c r="H24" s="7"/>
      <c r="I24" s="7"/>
      <c r="J24" s="155"/>
      <c r="K24" s="156"/>
      <c r="L24" s="157"/>
      <c r="M24" s="163"/>
      <c r="N24" s="21">
        <f>SUM(K18:K20)</f>
        <v>195148.79999999999</v>
      </c>
      <c r="O24" s="61">
        <f>K21+K22</f>
        <v>37171.199999999997</v>
      </c>
      <c r="P24" s="62">
        <f>N24+O24</f>
        <v>232320</v>
      </c>
      <c r="Q24" s="60" t="s">
        <v>30</v>
      </c>
      <c r="R24" s="5">
        <f>RANK(P24, $P$11:$P$51,1)</f>
        <v>4</v>
      </c>
      <c r="S24" s="164"/>
      <c r="T24" s="164"/>
      <c r="U24" s="164"/>
    </row>
    <row r="25" spans="1:25" ht="14.4" customHeight="1" x14ac:dyDescent="0.25">
      <c r="D25" s="7"/>
      <c r="E25" s="7"/>
      <c r="F25" s="7"/>
      <c r="G25" s="7"/>
      <c r="H25" s="7"/>
      <c r="I25" s="7"/>
      <c r="J25" s="52"/>
      <c r="K25" s="52"/>
      <c r="L25" s="52"/>
      <c r="M25" s="7"/>
      <c r="N25" s="58"/>
      <c r="O25" s="58"/>
      <c r="P25" s="59"/>
      <c r="R25" s="13"/>
      <c r="S25" s="52"/>
      <c r="T25" s="52"/>
      <c r="U25" s="52"/>
    </row>
    <row r="26" spans="1:25" ht="14.4" customHeight="1" thickBot="1" x14ac:dyDescent="0.3">
      <c r="D26" s="7"/>
      <c r="E26" s="7"/>
      <c r="F26" s="7"/>
      <c r="G26" s="7"/>
      <c r="H26" s="7"/>
      <c r="I26" s="7"/>
      <c r="J26" s="52"/>
      <c r="K26" s="52"/>
      <c r="L26" s="52"/>
      <c r="M26" s="7"/>
      <c r="N26" s="58"/>
      <c r="O26" s="58"/>
      <c r="P26" s="59"/>
      <c r="R26" s="13"/>
      <c r="S26" s="52"/>
      <c r="T26" s="52"/>
      <c r="U26" s="52"/>
    </row>
    <row r="27" spans="1:25" ht="15" customHeight="1" thickBot="1" x14ac:dyDescent="0.3">
      <c r="J27" s="179" t="s">
        <v>46</v>
      </c>
      <c r="K27" s="180"/>
      <c r="L27" s="180"/>
      <c r="M27" s="181"/>
      <c r="S27" s="144"/>
      <c r="T27" s="144"/>
      <c r="U27" s="144"/>
    </row>
    <row r="28" spans="1:25" ht="27" thickBot="1" x14ac:dyDescent="0.3">
      <c r="A28" s="32" t="s">
        <v>3</v>
      </c>
      <c r="B28" s="169" t="s">
        <v>4</v>
      </c>
      <c r="C28" s="169"/>
      <c r="D28" s="33" t="s">
        <v>5</v>
      </c>
      <c r="E28" s="33" t="s">
        <v>6</v>
      </c>
      <c r="F28" s="33" t="s">
        <v>7</v>
      </c>
      <c r="G28" s="33" t="s">
        <v>8</v>
      </c>
      <c r="H28" s="33" t="s">
        <v>9</v>
      </c>
      <c r="I28" s="185" t="s">
        <v>10</v>
      </c>
      <c r="J28" s="53" t="s">
        <v>11</v>
      </c>
      <c r="K28" s="72" t="s">
        <v>12</v>
      </c>
      <c r="L28" s="26" t="s">
        <v>13</v>
      </c>
      <c r="M28" s="14" t="s">
        <v>14</v>
      </c>
    </row>
    <row r="29" spans="1:25" x14ac:dyDescent="0.25">
      <c r="A29" s="173"/>
      <c r="B29" s="174"/>
      <c r="C29" s="174"/>
      <c r="D29" s="175"/>
      <c r="E29" s="55">
        <v>0.25</v>
      </c>
      <c r="F29" s="55">
        <v>0.15</v>
      </c>
      <c r="G29" s="55">
        <v>0</v>
      </c>
      <c r="H29" s="55">
        <v>0.6</v>
      </c>
      <c r="I29" s="56">
        <v>-1</v>
      </c>
      <c r="J29" s="69"/>
      <c r="K29" s="23"/>
      <c r="L29" s="2"/>
      <c r="M29" s="51"/>
    </row>
    <row r="30" spans="1:25" x14ac:dyDescent="0.25">
      <c r="A30" s="54" t="str">
        <f>$A$6</f>
        <v>A</v>
      </c>
      <c r="B30" s="170" t="s">
        <v>35</v>
      </c>
      <c r="C30" s="170"/>
      <c r="D30" s="20">
        <v>1300992</v>
      </c>
      <c r="E30" s="20">
        <f>D30*$E$5</f>
        <v>325248</v>
      </c>
      <c r="F30" s="20">
        <f>$F$5*D30</f>
        <v>195148.79999999999</v>
      </c>
      <c r="G30" s="129">
        <f>$G$5*D30</f>
        <v>0</v>
      </c>
      <c r="H30" s="129">
        <f>$H$5*D30</f>
        <v>780595.19999999995</v>
      </c>
      <c r="I30" s="130">
        <f>$I$5*D30</f>
        <v>-1300992</v>
      </c>
      <c r="J30" s="113">
        <v>1</v>
      </c>
      <c r="K30" s="20">
        <f>IF(J30=0.25,F30,IF(J30=0,E30,IF(J30=0.75,H30,IF(J30=0.5,0,IF(J30=1,I30,"fout")))))</f>
        <v>-1300992</v>
      </c>
      <c r="L30" s="36"/>
      <c r="M30" s="37"/>
      <c r="S30" s="12"/>
    </row>
    <row r="31" spans="1:25" x14ac:dyDescent="0.25">
      <c r="A31" s="54" t="str">
        <f>$A$7</f>
        <v>B</v>
      </c>
      <c r="B31" s="170" t="s">
        <v>38</v>
      </c>
      <c r="C31" s="170"/>
      <c r="D31" s="20">
        <v>232320</v>
      </c>
      <c r="E31" s="20">
        <f t="shared" ref="E31:E34" si="6">D31*$E$5</f>
        <v>58080</v>
      </c>
      <c r="F31" s="20">
        <f t="shared" ref="F31:F34" si="7">$F$5*D31</f>
        <v>34848</v>
      </c>
      <c r="G31" s="129">
        <f t="shared" ref="G31:G34" si="8">$G$5*D31</f>
        <v>0</v>
      </c>
      <c r="H31" s="129">
        <f t="shared" ref="H31:H34" si="9">$H$5*D31</f>
        <v>139392</v>
      </c>
      <c r="I31" s="130">
        <f t="shared" ref="I31:I34" si="10">$I$5*D31</f>
        <v>-232320</v>
      </c>
      <c r="J31" s="125">
        <v>0.5</v>
      </c>
      <c r="K31" s="20">
        <f>IF(J31=0.25,F31,IF(J31=0,E31,IF(J31=0.75,H31,IF(J31=0.5,0,IF(J31=1,I31,"fout")))))</f>
        <v>0</v>
      </c>
      <c r="L31" s="36"/>
      <c r="M31" s="37"/>
      <c r="S31" s="12"/>
    </row>
    <row r="32" spans="1:25" x14ac:dyDescent="0.25">
      <c r="A32" s="54" t="str">
        <f>$A$8</f>
        <v>C</v>
      </c>
      <c r="B32" s="170" t="s">
        <v>41</v>
      </c>
      <c r="C32" s="170"/>
      <c r="D32" s="20">
        <v>325248</v>
      </c>
      <c r="E32" s="20">
        <f t="shared" si="6"/>
        <v>81312</v>
      </c>
      <c r="F32" s="20">
        <f t="shared" si="7"/>
        <v>48787.199999999997</v>
      </c>
      <c r="G32" s="129">
        <f t="shared" si="8"/>
        <v>0</v>
      </c>
      <c r="H32" s="129">
        <f t="shared" si="9"/>
        <v>195148.79999999999</v>
      </c>
      <c r="I32" s="130">
        <f t="shared" si="10"/>
        <v>-325248</v>
      </c>
      <c r="J32" s="113">
        <v>0.75</v>
      </c>
      <c r="K32" s="20">
        <f>IF(J32=0.25,F32,IF(J32=0,E32,IF(J32=0.75,H32,IF(J32=0.5,0,IF(J32=1,I32,"fout")))))</f>
        <v>195148.79999999999</v>
      </c>
      <c r="L32" s="36"/>
      <c r="M32" s="37"/>
      <c r="S32" s="12"/>
    </row>
    <row r="33" spans="1:25" x14ac:dyDescent="0.25">
      <c r="A33" s="54" t="str">
        <f>$A$9</f>
        <v>D1</v>
      </c>
      <c r="B33" s="170" t="s">
        <v>43</v>
      </c>
      <c r="C33" s="170"/>
      <c r="D33" s="20">
        <v>371712</v>
      </c>
      <c r="E33" s="20">
        <f t="shared" si="6"/>
        <v>92928</v>
      </c>
      <c r="F33" s="20">
        <f t="shared" si="7"/>
        <v>55756.799999999996</v>
      </c>
      <c r="G33" s="129">
        <f t="shared" si="8"/>
        <v>0</v>
      </c>
      <c r="H33" s="129">
        <f t="shared" si="9"/>
        <v>223027.19999999998</v>
      </c>
      <c r="I33" s="130">
        <f t="shared" si="10"/>
        <v>-371712</v>
      </c>
      <c r="J33" s="113">
        <v>0.75</v>
      </c>
      <c r="K33" s="20">
        <f>IF(J33=0.25,F33,IF(J33=0,E33,IF(J33=0.75,H33,IF(J33=0.5,0,IF(J33=1,I33,"fout")))))</f>
        <v>223027.19999999998</v>
      </c>
      <c r="L33" s="36"/>
      <c r="M33" s="37"/>
      <c r="S33" s="12"/>
    </row>
    <row r="34" spans="1:25" ht="13.8" thickBot="1" x14ac:dyDescent="0.3">
      <c r="A34" s="54" t="str">
        <f>$A$10</f>
        <v>D2</v>
      </c>
      <c r="B34" s="170" t="s">
        <v>44</v>
      </c>
      <c r="C34" s="170"/>
      <c r="D34" s="20">
        <v>247808</v>
      </c>
      <c r="E34" s="20">
        <f t="shared" si="6"/>
        <v>61952</v>
      </c>
      <c r="F34" s="20">
        <f t="shared" si="7"/>
        <v>37171.199999999997</v>
      </c>
      <c r="G34" s="129">
        <f t="shared" si="8"/>
        <v>0</v>
      </c>
      <c r="H34" s="129">
        <f t="shared" si="9"/>
        <v>148684.79999999999</v>
      </c>
      <c r="I34" s="130">
        <f t="shared" si="10"/>
        <v>-247808</v>
      </c>
      <c r="J34" s="118">
        <v>0.25</v>
      </c>
      <c r="K34" s="27">
        <f>IF(J34=0.25,F34,IF(J34=0,E34,IF(J34=0.75,H34,IF(J34=0.5,0,IF(J34=1,I34,"fout")))))</f>
        <v>37171.199999999997</v>
      </c>
      <c r="L34" s="70"/>
      <c r="M34" s="71"/>
      <c r="S34" s="12"/>
    </row>
    <row r="35" spans="1:25" ht="15" customHeight="1" thickBot="1" x14ac:dyDescent="0.3">
      <c r="C35" s="54" t="s">
        <v>26</v>
      </c>
      <c r="D35" s="28">
        <v>1040000</v>
      </c>
      <c r="J35" s="171"/>
      <c r="K35" s="164"/>
      <c r="L35" s="172"/>
      <c r="M35" s="162"/>
      <c r="N35" s="17" t="s">
        <v>27</v>
      </c>
      <c r="O35" s="4" t="s">
        <v>28</v>
      </c>
      <c r="P35" s="4" t="s">
        <v>29</v>
      </c>
      <c r="Q35" s="3"/>
      <c r="S35" s="164"/>
      <c r="T35" s="164"/>
      <c r="U35" s="164"/>
      <c r="Y35" s="13"/>
    </row>
    <row r="36" spans="1:25" ht="14.4" customHeight="1" thickBot="1" x14ac:dyDescent="0.3">
      <c r="D36" s="7"/>
      <c r="E36" s="7"/>
      <c r="F36" s="7"/>
      <c r="G36" s="7"/>
      <c r="H36" s="7"/>
      <c r="I36" s="7"/>
      <c r="J36" s="155"/>
      <c r="K36" s="156"/>
      <c r="L36" s="157"/>
      <c r="M36" s="163"/>
      <c r="N36" s="21">
        <f>SUM(K30:K32)</f>
        <v>-1105843.2</v>
      </c>
      <c r="O36" s="34">
        <f>K33+K34</f>
        <v>260198.39999999997</v>
      </c>
      <c r="P36" s="35">
        <f>N36+O36</f>
        <v>-845644.80000000005</v>
      </c>
      <c r="Q36" s="3" t="s">
        <v>30</v>
      </c>
      <c r="R36" s="5">
        <f>RANK(P36, $P$11:$P$51,1)</f>
        <v>2</v>
      </c>
      <c r="S36" s="164"/>
      <c r="T36" s="164"/>
      <c r="U36" s="164"/>
    </row>
    <row r="38" spans="1:25" ht="13.8" thickBot="1" x14ac:dyDescent="0.3"/>
    <row r="39" spans="1:25" ht="15" customHeight="1" thickBot="1" x14ac:dyDescent="0.3">
      <c r="J39" s="165" t="s">
        <v>47</v>
      </c>
      <c r="K39" s="166"/>
      <c r="L39" s="166"/>
      <c r="M39" s="167"/>
    </row>
    <row r="40" spans="1:25" ht="27" thickBot="1" x14ac:dyDescent="0.3">
      <c r="A40" s="60" t="s">
        <v>3</v>
      </c>
      <c r="B40" s="168" t="s">
        <v>4</v>
      </c>
      <c r="C40" s="169"/>
      <c r="D40" s="33" t="s">
        <v>5</v>
      </c>
      <c r="E40" s="33" t="s">
        <v>6</v>
      </c>
      <c r="F40" s="33" t="s">
        <v>7</v>
      </c>
      <c r="G40" s="33" t="s">
        <v>8</v>
      </c>
      <c r="H40" s="33" t="s">
        <v>9</v>
      </c>
      <c r="I40" s="185" t="s">
        <v>10</v>
      </c>
      <c r="J40" s="53" t="s">
        <v>11</v>
      </c>
      <c r="K40" s="72" t="s">
        <v>12</v>
      </c>
      <c r="L40" s="26" t="s">
        <v>13</v>
      </c>
      <c r="M40" s="14" t="s">
        <v>14</v>
      </c>
    </row>
    <row r="41" spans="1:25" x14ac:dyDescent="0.25">
      <c r="A41" s="173"/>
      <c r="B41" s="174"/>
      <c r="C41" s="174"/>
      <c r="D41" s="175"/>
      <c r="E41" s="55">
        <v>0.25</v>
      </c>
      <c r="F41" s="55">
        <v>0.15</v>
      </c>
      <c r="G41" s="55">
        <v>0</v>
      </c>
      <c r="H41" s="55">
        <v>0.6</v>
      </c>
      <c r="I41" s="56">
        <v>-1</v>
      </c>
      <c r="J41" s="69"/>
      <c r="K41" s="23"/>
      <c r="L41" s="2"/>
      <c r="M41" s="51"/>
    </row>
    <row r="42" spans="1:25" x14ac:dyDescent="0.25">
      <c r="A42" s="54" t="str">
        <f>$A$6</f>
        <v>A</v>
      </c>
      <c r="B42" s="170" t="s">
        <v>35</v>
      </c>
      <c r="C42" s="170"/>
      <c r="D42" s="20"/>
      <c r="E42" s="20">
        <f>D42*$E$5</f>
        <v>0</v>
      </c>
      <c r="F42" s="20">
        <f>$F$5*D42</f>
        <v>0</v>
      </c>
      <c r="G42" s="129">
        <f>$G$5*D42</f>
        <v>0</v>
      </c>
      <c r="H42" s="129">
        <f>$H$5*D42</f>
        <v>0</v>
      </c>
      <c r="I42" s="130">
        <f>$I$5*D42</f>
        <v>0</v>
      </c>
      <c r="J42" s="113">
        <v>1</v>
      </c>
      <c r="K42" s="20">
        <f>IF(J42=0.25,F42,IF(J42=0,E42,IF(J42=0.75,H42,IF(J42=0.5,0,IF(J42=1,I42,"fout")))))</f>
        <v>0</v>
      </c>
      <c r="L42" s="36"/>
      <c r="M42" s="37"/>
      <c r="S42" s="12"/>
    </row>
    <row r="43" spans="1:25" x14ac:dyDescent="0.25">
      <c r="A43" s="54" t="str">
        <f>$A$7</f>
        <v>B</v>
      </c>
      <c r="B43" s="170" t="s">
        <v>38</v>
      </c>
      <c r="C43" s="170"/>
      <c r="D43" s="20">
        <v>232320</v>
      </c>
      <c r="E43" s="20">
        <f t="shared" ref="E43:E46" si="11">D43*$E$5</f>
        <v>58080</v>
      </c>
      <c r="F43" s="20">
        <f t="shared" ref="F43:F46" si="12">$F$5*D43</f>
        <v>34848</v>
      </c>
      <c r="G43" s="129">
        <f t="shared" ref="G43:G46" si="13">$G$5*D43</f>
        <v>0</v>
      </c>
      <c r="H43" s="129">
        <f t="shared" ref="H43:H46" si="14">$H$5*D43</f>
        <v>139392</v>
      </c>
      <c r="I43" s="130">
        <f t="shared" ref="I43:I46" si="15">$I$5*D43</f>
        <v>-232320</v>
      </c>
      <c r="J43" s="125">
        <v>0.5</v>
      </c>
      <c r="K43" s="20">
        <f>IF(J43=0.25,F43,IF(J43=0,E43,IF(J43=0.75,H43,IF(J43=0.5,0,IF(J43=1,I43,"fout")))))</f>
        <v>0</v>
      </c>
      <c r="L43" s="36"/>
      <c r="M43" s="37"/>
      <c r="S43" s="12"/>
    </row>
    <row r="44" spans="1:25" x14ac:dyDescent="0.25">
      <c r="A44" s="54" t="str">
        <f>$A$8</f>
        <v>C</v>
      </c>
      <c r="B44" s="170" t="s">
        <v>41</v>
      </c>
      <c r="C44" s="170"/>
      <c r="D44" s="20">
        <v>325248</v>
      </c>
      <c r="E44" s="20">
        <f t="shared" si="11"/>
        <v>81312</v>
      </c>
      <c r="F44" s="20">
        <f t="shared" si="12"/>
        <v>48787.199999999997</v>
      </c>
      <c r="G44" s="129">
        <f t="shared" si="13"/>
        <v>0</v>
      </c>
      <c r="H44" s="129">
        <f t="shared" si="14"/>
        <v>195148.79999999999</v>
      </c>
      <c r="I44" s="130">
        <f t="shared" si="15"/>
        <v>-325248</v>
      </c>
      <c r="J44" s="113">
        <v>1</v>
      </c>
      <c r="K44" s="20">
        <f>IF(J44=0.25,F44,IF(J44=0,E44,IF(J44=0.75,H44,IF(J44=0.5,0,IF(J44=1,I44,"fout")))))</f>
        <v>-325248</v>
      </c>
      <c r="L44" s="36"/>
      <c r="M44" s="37"/>
      <c r="S44" s="12"/>
    </row>
    <row r="45" spans="1:25" x14ac:dyDescent="0.25">
      <c r="A45" s="54" t="str">
        <f>$A$9</f>
        <v>D1</v>
      </c>
      <c r="B45" s="170" t="s">
        <v>43</v>
      </c>
      <c r="C45" s="170"/>
      <c r="D45" s="20">
        <v>371712</v>
      </c>
      <c r="E45" s="20">
        <f t="shared" si="11"/>
        <v>92928</v>
      </c>
      <c r="F45" s="20">
        <f t="shared" si="12"/>
        <v>55756.799999999996</v>
      </c>
      <c r="G45" s="129">
        <f t="shared" si="13"/>
        <v>0</v>
      </c>
      <c r="H45" s="129">
        <f t="shared" si="14"/>
        <v>223027.19999999998</v>
      </c>
      <c r="I45" s="130">
        <f t="shared" si="15"/>
        <v>-371712</v>
      </c>
      <c r="J45" s="113">
        <v>0.75</v>
      </c>
      <c r="K45" s="20">
        <f>IF(J45=0.25,F45,IF(J45=0,E45,IF(J45=0.75,H45,IF(J45=0.5,0,IF(J45=1,I45,"fout")))))</f>
        <v>223027.19999999998</v>
      </c>
      <c r="L45" s="36"/>
      <c r="M45" s="37"/>
      <c r="S45" s="12"/>
    </row>
    <row r="46" spans="1:25" ht="13.8" thickBot="1" x14ac:dyDescent="0.3">
      <c r="A46" s="54" t="str">
        <f>$A$10</f>
        <v>D2</v>
      </c>
      <c r="B46" s="170" t="s">
        <v>44</v>
      </c>
      <c r="C46" s="170"/>
      <c r="D46" s="20">
        <v>247808</v>
      </c>
      <c r="E46" s="20">
        <f t="shared" si="11"/>
        <v>61952</v>
      </c>
      <c r="F46" s="20">
        <f t="shared" si="12"/>
        <v>37171.199999999997</v>
      </c>
      <c r="G46" s="129">
        <f t="shared" si="13"/>
        <v>0</v>
      </c>
      <c r="H46" s="129">
        <f t="shared" si="14"/>
        <v>148684.79999999999</v>
      </c>
      <c r="I46" s="130">
        <f t="shared" si="15"/>
        <v>-247808</v>
      </c>
      <c r="J46" s="118">
        <v>0.25</v>
      </c>
      <c r="K46" s="27">
        <f>IF(J46=0.25,F46,IF(J46=0,E46,IF(J46=0.75,H46,IF(J46=0.5,0,IF(J46=1,I46,"fout")))))</f>
        <v>37171.199999999997</v>
      </c>
      <c r="L46" s="70"/>
      <c r="M46" s="71"/>
      <c r="S46" s="12"/>
    </row>
    <row r="47" spans="1:25" ht="15" customHeight="1" thickBot="1" x14ac:dyDescent="0.3">
      <c r="C47" s="54" t="s">
        <v>26</v>
      </c>
      <c r="D47" s="28">
        <v>1040000</v>
      </c>
      <c r="J47" s="171"/>
      <c r="K47" s="164"/>
      <c r="L47" s="172"/>
      <c r="M47" s="162"/>
      <c r="N47" s="17" t="s">
        <v>27</v>
      </c>
      <c r="O47" s="4" t="s">
        <v>28</v>
      </c>
      <c r="P47" s="4" t="s">
        <v>29</v>
      </c>
      <c r="Q47" s="3"/>
      <c r="S47" s="164"/>
      <c r="T47" s="164"/>
      <c r="U47" s="164"/>
      <c r="Y47" s="13"/>
    </row>
    <row r="48" spans="1:25" ht="14.4" customHeight="1" thickBot="1" x14ac:dyDescent="0.3">
      <c r="D48" s="7"/>
      <c r="E48" s="7"/>
      <c r="F48" s="7"/>
      <c r="G48" s="7"/>
      <c r="H48" s="7"/>
      <c r="I48" s="7"/>
      <c r="J48" s="155"/>
      <c r="K48" s="156"/>
      <c r="L48" s="157"/>
      <c r="M48" s="163"/>
      <c r="N48" s="21">
        <f>SUM(K42:K44)</f>
        <v>-325248</v>
      </c>
      <c r="O48" s="61">
        <f>K45+K46</f>
        <v>260198.39999999997</v>
      </c>
      <c r="P48" s="62">
        <f>N48+O48</f>
        <v>-65049.600000000035</v>
      </c>
      <c r="Q48" s="60" t="s">
        <v>30</v>
      </c>
      <c r="R48" s="5">
        <f>RANK(P48, $P$11:$P$52,1)</f>
        <v>3</v>
      </c>
      <c r="S48" s="164"/>
      <c r="T48" s="164"/>
      <c r="U48" s="164"/>
    </row>
  </sheetData>
  <mergeCells count="46">
    <mergeCell ref="J47:L48"/>
    <mergeCell ref="M47:M48"/>
    <mergeCell ref="S47:U48"/>
    <mergeCell ref="A41:D41"/>
    <mergeCell ref="B43:C43"/>
    <mergeCell ref="B44:C44"/>
    <mergeCell ref="B45:C45"/>
    <mergeCell ref="B46:C46"/>
    <mergeCell ref="B42:C42"/>
    <mergeCell ref="J27:M27"/>
    <mergeCell ref="S27:U27"/>
    <mergeCell ref="A29:D29"/>
    <mergeCell ref="B31:C31"/>
    <mergeCell ref="B30:C30"/>
    <mergeCell ref="J15:M15"/>
    <mergeCell ref="J23:L24"/>
    <mergeCell ref="M23:M24"/>
    <mergeCell ref="S3:U3"/>
    <mergeCell ref="J11:L12"/>
    <mergeCell ref="S11:U12"/>
    <mergeCell ref="J3:M3"/>
    <mergeCell ref="M11:M12"/>
    <mergeCell ref="S23:U24"/>
    <mergeCell ref="B4:C4"/>
    <mergeCell ref="B18:C18"/>
    <mergeCell ref="B20:C20"/>
    <mergeCell ref="B28:C28"/>
    <mergeCell ref="B6:C6"/>
    <mergeCell ref="B7:C7"/>
    <mergeCell ref="B9:C9"/>
    <mergeCell ref="B16:C16"/>
    <mergeCell ref="B8:C8"/>
    <mergeCell ref="A5:D5"/>
    <mergeCell ref="A17:D17"/>
    <mergeCell ref="B19:C19"/>
    <mergeCell ref="B21:C21"/>
    <mergeCell ref="B22:C22"/>
    <mergeCell ref="B10:C10"/>
    <mergeCell ref="M35:M36"/>
    <mergeCell ref="S35:U36"/>
    <mergeCell ref="J39:M39"/>
    <mergeCell ref="B40:C40"/>
    <mergeCell ref="B32:C32"/>
    <mergeCell ref="B33:C33"/>
    <mergeCell ref="B34:C34"/>
    <mergeCell ref="J35:L36"/>
  </mergeCells>
  <conditionalFormatting sqref="R12">
    <cfRule type="cellIs" dxfId="12" priority="44" operator="equal">
      <formula>1</formula>
    </cfRule>
  </conditionalFormatting>
  <conditionalFormatting sqref="R24:R26">
    <cfRule type="cellIs" dxfId="11" priority="9" operator="equal">
      <formula>1</formula>
    </cfRule>
  </conditionalFormatting>
  <conditionalFormatting sqref="R36">
    <cfRule type="cellIs" dxfId="10" priority="6" operator="equal">
      <formula>1</formula>
    </cfRule>
  </conditionalFormatting>
  <conditionalFormatting sqref="R48">
    <cfRule type="cellIs" dxfId="9" priority="3" operator="equal">
      <formula>1</formula>
    </cfRule>
  </conditionalFormatting>
  <dataValidations count="1">
    <dataValidation type="list" allowBlank="1" showInputMessage="1" showErrorMessage="1" sqref="S42:S47 S6:S11 S30:S35 S18:S23" xr:uid="{CDA39F32-A990-4358-B117-33019ED9B721}">
      <formula1>$Y$1:$Y$2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39CA8-86E6-4EE4-AA79-303699B908E8}">
  <dimension ref="A2:H19"/>
  <sheetViews>
    <sheetView workbookViewId="0">
      <selection activeCell="B9" sqref="B9"/>
    </sheetView>
  </sheetViews>
  <sheetFormatPr defaultColWidth="8.5546875" defaultRowHeight="13.8" x14ac:dyDescent="0.25"/>
  <cols>
    <col min="1" max="1" width="13.109375" style="11" customWidth="1"/>
    <col min="2" max="2" width="23.44140625" style="11" customWidth="1"/>
    <col min="3" max="3" width="3.44140625" style="11" customWidth="1"/>
    <col min="4" max="4" width="20.44140625" style="11" customWidth="1"/>
    <col min="5" max="5" width="15.109375" style="11" bestFit="1" customWidth="1"/>
    <col min="6" max="6" width="3.44140625" style="11" customWidth="1"/>
    <col min="7" max="7" width="21.44140625" style="15" bestFit="1" customWidth="1"/>
    <col min="8" max="8" width="8.5546875" style="40"/>
    <col min="9" max="16384" width="8.5546875" style="11"/>
  </cols>
  <sheetData>
    <row r="2" spans="1:8" x14ac:dyDescent="0.25">
      <c r="A2" s="11" t="str">
        <f>'TOTAAL NA'!L2</f>
        <v>Aanbesteding Source to Pay</v>
      </c>
    </row>
    <row r="3" spans="1:8" x14ac:dyDescent="0.25">
      <c r="A3" s="11" t="s">
        <v>48</v>
      </c>
    </row>
    <row r="4" spans="1:8" x14ac:dyDescent="0.25">
      <c r="A4" s="11" t="s">
        <v>49</v>
      </c>
    </row>
    <row r="5" spans="1:8" ht="14.4" thickBot="1" x14ac:dyDescent="0.3"/>
    <row r="6" spans="1:8" ht="14.4" thickBot="1" x14ac:dyDescent="0.3">
      <c r="D6" s="182" t="s">
        <v>50</v>
      </c>
      <c r="E6" s="183"/>
    </row>
    <row r="7" spans="1:8" ht="14.4" thickBot="1" x14ac:dyDescent="0.3">
      <c r="B7" s="46" t="s">
        <v>51</v>
      </c>
      <c r="C7" s="47"/>
      <c r="D7" s="46" t="s">
        <v>52</v>
      </c>
      <c r="E7" s="47" t="s">
        <v>53</v>
      </c>
      <c r="F7" s="46"/>
      <c r="G7" s="47" t="s">
        <v>54</v>
      </c>
      <c r="H7" s="48" t="s">
        <v>55</v>
      </c>
    </row>
    <row r="8" spans="1:8" x14ac:dyDescent="0.25">
      <c r="A8" s="73" t="str">
        <f>'TOTAAL NA'!J3</f>
        <v>Inschrijver 1</v>
      </c>
      <c r="B8" s="75">
        <v>1500000</v>
      </c>
      <c r="C8" s="76"/>
      <c r="D8" s="77">
        <f>'TOTAAL NA'!N12</f>
        <v>-975744</v>
      </c>
      <c r="E8" s="77">
        <f>'TOTAAL NA'!O12</f>
        <v>37171.199999999997</v>
      </c>
      <c r="F8" s="78"/>
      <c r="G8" s="77">
        <f>SUM(B8+D8+E8)</f>
        <v>561427.19999999995</v>
      </c>
      <c r="H8" s="49">
        <f>RANK(G8,G8:G11,1)</f>
        <v>1</v>
      </c>
    </row>
    <row r="9" spans="1:8" x14ac:dyDescent="0.25">
      <c r="A9" s="74" t="str">
        <f>'TOTAAL NA'!J15</f>
        <v>Inschrijver 2</v>
      </c>
      <c r="B9" s="79">
        <v>1900000</v>
      </c>
      <c r="C9" s="80"/>
      <c r="D9" s="79">
        <f>'TOTAAL NA'!N24</f>
        <v>195148.79999999999</v>
      </c>
      <c r="E9" s="79">
        <f>'TOTAAL NA'!O24</f>
        <v>37171.199999999997</v>
      </c>
      <c r="F9" s="81"/>
      <c r="G9" s="79">
        <f t="shared" ref="G9:G10" si="0">SUM(B9+D9+E9)</f>
        <v>2132320</v>
      </c>
      <c r="H9" s="50">
        <f>RANK(G9,G8:G11,1)</f>
        <v>3</v>
      </c>
    </row>
    <row r="10" spans="1:8" x14ac:dyDescent="0.25">
      <c r="A10" s="85" t="str">
        <f>'TOTAAL NA'!J27</f>
        <v>Inschrijver 3</v>
      </c>
      <c r="B10" s="79">
        <v>2100000</v>
      </c>
      <c r="C10" s="80"/>
      <c r="D10" s="79">
        <f>'TOTAAL NA'!N36</f>
        <v>-1105843.2</v>
      </c>
      <c r="E10" s="80">
        <f>'TOTAAL NA'!O36</f>
        <v>260198.39999999997</v>
      </c>
      <c r="F10" s="81"/>
      <c r="G10" s="80">
        <f t="shared" si="0"/>
        <v>1254355.2</v>
      </c>
      <c r="H10" s="50">
        <f>RANK(G10,G8:G11,1)</f>
        <v>2</v>
      </c>
    </row>
    <row r="11" spans="1:8" ht="14.4" thickBot="1" x14ac:dyDescent="0.3">
      <c r="A11" s="16" t="str">
        <f>'TOTAAL NA'!J39</f>
        <v>Inschrijver 4</v>
      </c>
      <c r="B11" s="82">
        <v>1000000</v>
      </c>
      <c r="C11" s="83"/>
      <c r="D11" s="82"/>
      <c r="E11" s="83"/>
      <c r="F11" s="84"/>
      <c r="G11" s="83" t="s">
        <v>56</v>
      </c>
      <c r="H11" s="92"/>
    </row>
    <row r="12" spans="1:8" x14ac:dyDescent="0.25">
      <c r="B12" s="45"/>
      <c r="C12" s="42"/>
      <c r="D12" s="45"/>
      <c r="E12" s="42"/>
      <c r="G12" s="43"/>
      <c r="H12" s="44"/>
    </row>
    <row r="15" spans="1:8" x14ac:dyDescent="0.25">
      <c r="A15" s="11" t="s">
        <v>57</v>
      </c>
      <c r="B15" s="187">
        <v>1161600</v>
      </c>
    </row>
    <row r="16" spans="1:8" x14ac:dyDescent="0.25">
      <c r="A16" s="11" t="s">
        <v>26</v>
      </c>
      <c r="B16" s="187">
        <v>2710400</v>
      </c>
    </row>
    <row r="17" spans="1:7" x14ac:dyDescent="0.25">
      <c r="A17" s="184"/>
      <c r="B17" s="184"/>
      <c r="C17" s="184"/>
      <c r="D17" s="184"/>
      <c r="E17" s="184"/>
      <c r="F17" s="184"/>
      <c r="G17" s="184"/>
    </row>
    <row r="18" spans="1:7" x14ac:dyDescent="0.25">
      <c r="D18" s="41"/>
    </row>
    <row r="19" spans="1:7" x14ac:dyDescent="0.25">
      <c r="D19" s="41"/>
    </row>
  </sheetData>
  <mergeCells count="2">
    <mergeCell ref="D6:E6"/>
    <mergeCell ref="A17:G17"/>
  </mergeCells>
  <conditionalFormatting sqref="H8:H11">
    <cfRule type="cellIs" dxfId="8" priority="1" operator="equal">
      <formula>1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3CF18370F9B147954AAA17291A728D" ma:contentTypeVersion="14" ma:contentTypeDescription="Een nieuw document maken." ma:contentTypeScope="" ma:versionID="6e4bb30c6566b2ac015154662828bd37">
  <xsd:schema xmlns:xsd="http://www.w3.org/2001/XMLSchema" xmlns:xs="http://www.w3.org/2001/XMLSchema" xmlns:p="http://schemas.microsoft.com/office/2006/metadata/properties" xmlns:ns2="a68daf15-d93a-4a04-a210-e95dac5c030d" xmlns:ns3="1bf52a0b-aedb-4c64-a3c2-099d9f33ad79" targetNamespace="http://schemas.microsoft.com/office/2006/metadata/properties" ma:root="true" ma:fieldsID="b86bd1c07f12315315afa10617741359" ns2:_="" ns3:_="">
    <xsd:import namespace="a68daf15-d93a-4a04-a210-e95dac5c030d"/>
    <xsd:import namespace="1bf52a0b-aedb-4c64-a3c2-099d9f33ad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8daf15-d93a-4a04-a210-e95dac5c03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c7c10262-724b-4469-a671-39891be7a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f52a0b-aedb-4c64-a3c2-099d9f33ad7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9a32422-c125-4562-8117-68ed29e8a6b0}" ma:internalName="TaxCatchAll" ma:showField="CatchAllData" ma:web="1bf52a0b-aedb-4c64-a3c2-099d9f33ad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68daf15-d93a-4a04-a210-e95dac5c030d">
      <Terms xmlns="http://schemas.microsoft.com/office/infopath/2007/PartnerControls"/>
    </lcf76f155ced4ddcb4097134ff3c332f>
    <TaxCatchAll xmlns="1bf52a0b-aedb-4c64-a3c2-099d9f33ad79" xsi:nil="true"/>
  </documentManagement>
</p:properties>
</file>

<file path=customXml/itemProps1.xml><?xml version="1.0" encoding="utf-8"?>
<ds:datastoreItem xmlns:ds="http://schemas.openxmlformats.org/officeDocument/2006/customXml" ds:itemID="{BFA7D9FA-7BF4-477C-93E6-DFC3E4907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8daf15-d93a-4a04-a210-e95dac5c030d"/>
    <ds:schemaRef ds:uri="1bf52a0b-aedb-4c64-a3c2-099d9f33a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5CA9D2-6CA9-4A40-9260-78E613652E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BFA8AC-A094-4DA6-A19E-0667A60CAE34}">
  <ds:schemaRefs>
    <ds:schemaRef ds:uri="http://schemas.microsoft.com/office/2006/metadata/properties"/>
    <ds:schemaRef ds:uri="http://schemas.microsoft.com/office/infopath/2007/PartnerControls"/>
    <ds:schemaRef ds:uri="a68daf15-d93a-4a04-a210-e95dac5c030d"/>
    <ds:schemaRef ds:uri="1bf52a0b-aedb-4c64-a3c2-099d9f33ad7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Beoordelaar 1</vt:lpstr>
      <vt:lpstr>Beoordelaar 2</vt:lpstr>
      <vt:lpstr>enz</vt:lpstr>
      <vt:lpstr>TOTAAL NA</vt:lpstr>
      <vt:lpstr>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Vermeeren</dc:creator>
  <cp:keywords/>
  <dc:description/>
  <cp:lastModifiedBy>Erik Vermeeren</cp:lastModifiedBy>
  <cp:revision/>
  <dcterms:created xsi:type="dcterms:W3CDTF">2018-07-04T13:39:25Z</dcterms:created>
  <dcterms:modified xsi:type="dcterms:W3CDTF">2024-06-05T15:39:00Z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0x010100C63CF18370F9B147954AAA17291A728D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