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 yWindow="885" windowWidth="20700" windowHeight="4215" tabRatio="964" activeTab="3"/>
  </bookViews>
  <sheets>
    <sheet name="Toelichting calculatiemodel" sheetId="21" r:id="rId1"/>
    <sheet name="Info blad" sheetId="11" r:id="rId2"/>
    <sheet name="1-Contractblad" sheetId="4" r:id="rId3"/>
    <sheet name="2-Kengetal" sheetId="1" r:id="rId4"/>
    <sheet name="Locatieoverzicht" sheetId="23" r:id="rId5"/>
    <sheet name="3-Basis ruimtestaat" sheetId="2" r:id="rId6"/>
    <sheet name="4-Premies en opslagen" sheetId="17" r:id="rId7"/>
    <sheet name="5-Opbouw uurtarieven" sheetId="18" r:id="rId8"/>
    <sheet name="6- toeslagenmatrix" sheetId="19" r:id="rId9"/>
    <sheet name="7-Machine-investeringskosten" sheetId="10" r:id="rId10"/>
    <sheet name="8-Afroepprijs" sheetId="5" r:id="rId11"/>
    <sheet name="9-glasbewassing" sheetId="24" r:id="rId12"/>
    <sheet name="10-Sanitaire supplies" sheetId="26" r:id="rId13"/>
  </sheets>
  <externalReferences>
    <externalReference r:id="rId14"/>
    <externalReference r:id="rId15"/>
    <externalReference r:id="rId16"/>
  </externalReferences>
  <definedNames>
    <definedName name="_1_0_F" localSheetId="12" hidden="1">[1]Blad1!#REF!</definedName>
    <definedName name="_1_0_F" hidden="1">[1]Blad1!#REF!</definedName>
    <definedName name="_Fill" localSheetId="12" hidden="1">'[2]#REF'!#REF!</definedName>
    <definedName name="_Fill" localSheetId="11" hidden="1">'[2]#REF'!#REF!</definedName>
    <definedName name="_Fill" localSheetId="1" hidden="1">'[3]#REF'!#REF!</definedName>
    <definedName name="_Fill" hidden="1">'[3]#REF'!#REF!</definedName>
    <definedName name="_xlnm._FilterDatabase" localSheetId="12" hidden="1">'10-Sanitaire supplies'!#REF!</definedName>
    <definedName name="_xlnm._FilterDatabase" localSheetId="2" hidden="1">'1-Contractblad'!#REF!</definedName>
    <definedName name="_xlnm._FilterDatabase" localSheetId="3" hidden="1">'2-Kengetal'!$A$9:$K$46</definedName>
    <definedName name="_xlnm._FilterDatabase" localSheetId="5" hidden="1">'3-Basis ruimtestaat'!$A$9:$T$435</definedName>
    <definedName name="_xlnm._FilterDatabase" localSheetId="11" hidden="1">'9-glasbewassing'!$B$21:$L$50</definedName>
    <definedName name="_xlnm._FilterDatabase" localSheetId="4" hidden="1">Locatieoverzicht!$A$12:$L$22</definedName>
    <definedName name="_Key1" localSheetId="12" hidden="1">'[2]#REF'!#REF!</definedName>
    <definedName name="_Key1" localSheetId="11" hidden="1">'[2]#REF'!#REF!</definedName>
    <definedName name="_Key1" localSheetId="1" hidden="1">'[3]#REF'!#REF!</definedName>
    <definedName name="_Key1" hidden="1">'[3]#REF'!#REF!</definedName>
    <definedName name="_Key2" localSheetId="12" hidden="1">#REF!</definedName>
    <definedName name="_Key2" hidden="1">#REF!</definedName>
    <definedName name="_Order1" hidden="1">255</definedName>
    <definedName name="_Order2" hidden="1">255</definedName>
    <definedName name="_Sort" localSheetId="12" hidden="1">#REF!</definedName>
    <definedName name="_Sort" hidden="1">#REF!</definedName>
    <definedName name="_xlnm.Print_Area" localSheetId="2">'1-Contractblad'!$A$3:$G$54</definedName>
    <definedName name="_xlnm.Print_Area" localSheetId="3">'2-Kengetal'!$A$1:$K$60</definedName>
    <definedName name="_xlnm.Print_Area" localSheetId="5">'3-Basis ruimtestaat'!$B$3:$T$83</definedName>
    <definedName name="_xlnm.Print_Area" localSheetId="6">'4-Premies en opslagen'!$A$2:$E$58</definedName>
    <definedName name="_xlnm.Print_Area" localSheetId="7">'5-Opbouw uurtarieven'!$J$2:$AK$47</definedName>
    <definedName name="_xlnm.Print_Area" localSheetId="9">'7-Machine-investeringskosten'!$A$3:$D$118</definedName>
    <definedName name="_xlnm.Print_Area" localSheetId="10">'8-Afroepprijs'!$A$3:$F$48</definedName>
    <definedName name="_xlnm.Print_Area" localSheetId="1">'Info blad'!$A$1:$F$20</definedName>
    <definedName name="_xlnm.Print_Area" localSheetId="0">'Toelichting calculatiemodel'!$A$1:$F$44</definedName>
    <definedName name="_xlnm.Print_Titles" localSheetId="2">'1-Contractblad'!$3:$15</definedName>
    <definedName name="_xlnm.Print_Titles" localSheetId="3">'2-Kengetal'!$9:$9</definedName>
    <definedName name="_xlnm.Print_Titles" localSheetId="5">'3-Basis ruimtestaat'!$9:$9</definedName>
    <definedName name="_xlnm.Print_Titles" localSheetId="7">'5-Opbouw uurtarieven'!$A:$C</definedName>
    <definedName name="_xlnm.Print_Titles" localSheetId="10">'8-Afroepprijs'!$6:$11</definedName>
    <definedName name="gebouw">'3-Basis ruimtestaat'!$B:$B</definedName>
    <definedName name="han" localSheetId="12" hidden="1">'[2]#REF'!#REF!</definedName>
    <definedName name="han" localSheetId="11" hidden="1">'[2]#REF'!#REF!</definedName>
    <definedName name="han" hidden="1">'[3]#REF'!#REF!</definedName>
    <definedName name="html" hidden="1">{"'Blad1'!$A$1:$Q$51"}</definedName>
    <definedName name="HTML_CodePage" hidden="1">1252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html2" hidden="1">{"'Blad1'!$A$1:$Q$51"}</definedName>
    <definedName name="html3" hidden="1">{"'Blad1'!$A$1:$Q$51"}</definedName>
    <definedName name="Kengetal">'2-Kengetal'!$A$10:$K$46</definedName>
    <definedName name="Mutatiederdekwartaal" hidden="1">{"'ma_vr'!$A$1:$AA$42"}</definedName>
    <definedName name="test" hidden="1">{"'ma_vr'!$A$1:$AA$42"}</definedName>
    <definedName name="uren_mavr">'3-Basis ruimtestaat'!$M:$M</definedName>
    <definedName name="uren_naloop">'3-Basis ruimtestaat'!$N:$N</definedName>
    <definedName name="ww" hidden="1">{"'ma_vr'!$A$1:$AA$42"}</definedName>
  </definedNames>
  <calcPr calcId="145621"/>
</workbook>
</file>

<file path=xl/calcChain.xml><?xml version="1.0" encoding="utf-8"?>
<calcChain xmlns="http://schemas.openxmlformats.org/spreadsheetml/2006/main">
  <c r="G37" i="1" l="1"/>
  <c r="H37" i="1"/>
  <c r="I37" i="1" s="1"/>
  <c r="G35" i="1"/>
  <c r="H35" i="1"/>
  <c r="I35" i="1" s="1"/>
  <c r="G33" i="1"/>
  <c r="H33" i="1"/>
  <c r="I33" i="1" s="1"/>
  <c r="G31" i="1"/>
  <c r="H31" i="1"/>
  <c r="I31" i="1" s="1"/>
  <c r="G29" i="1"/>
  <c r="H29" i="1"/>
  <c r="I29" i="1" s="1"/>
  <c r="D10" i="2" l="1"/>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D383" i="2"/>
  <c r="D384" i="2"/>
  <c r="D385" i="2"/>
  <c r="D386" i="2"/>
  <c r="D387" i="2"/>
  <c r="D388" i="2"/>
  <c r="D389" i="2"/>
  <c r="D390" i="2"/>
  <c r="D391" i="2"/>
  <c r="D392" i="2"/>
  <c r="D393" i="2"/>
  <c r="D394" i="2"/>
  <c r="D395" i="2"/>
  <c r="D396" i="2"/>
  <c r="D397" i="2"/>
  <c r="D398" i="2"/>
  <c r="D399" i="2"/>
  <c r="D400" i="2"/>
  <c r="D401" i="2"/>
  <c r="D402" i="2"/>
  <c r="D403" i="2"/>
  <c r="D404" i="2"/>
  <c r="D405" i="2"/>
  <c r="D406" i="2"/>
  <c r="D407" i="2"/>
  <c r="D408" i="2"/>
  <c r="D409" i="2"/>
  <c r="D410" i="2"/>
  <c r="D411" i="2"/>
  <c r="D412" i="2"/>
  <c r="D413" i="2"/>
  <c r="D414" i="2"/>
  <c r="D415" i="2"/>
  <c r="D416" i="2"/>
  <c r="D417" i="2"/>
  <c r="D418" i="2"/>
  <c r="D419" i="2"/>
  <c r="D420" i="2"/>
  <c r="D421" i="2"/>
  <c r="D422" i="2"/>
  <c r="D423" i="2"/>
  <c r="D424" i="2"/>
  <c r="D425" i="2"/>
  <c r="D426" i="2"/>
  <c r="D427" i="2"/>
  <c r="D428" i="2"/>
  <c r="D429" i="2"/>
  <c r="D430" i="2"/>
  <c r="D431" i="2"/>
  <c r="D432" i="2"/>
  <c r="D433" i="2"/>
  <c r="D434" i="2"/>
  <c r="D435" i="2"/>
  <c r="C10" i="26" l="1"/>
  <c r="C9" i="26"/>
  <c r="C8" i="26"/>
  <c r="C7" i="26"/>
  <c r="C6" i="26"/>
  <c r="C4" i="26"/>
  <c r="R10" i="2" l="1"/>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87" i="2"/>
  <c r="R288" i="2"/>
  <c r="R289" i="2"/>
  <c r="R290" i="2"/>
  <c r="R291" i="2"/>
  <c r="R292" i="2"/>
  <c r="R293" i="2"/>
  <c r="R294" i="2"/>
  <c r="R295" i="2"/>
  <c r="R296" i="2"/>
  <c r="R297" i="2"/>
  <c r="R298" i="2"/>
  <c r="R299" i="2"/>
  <c r="R300" i="2"/>
  <c r="R301" i="2"/>
  <c r="R302" i="2"/>
  <c r="R303" i="2"/>
  <c r="R304" i="2"/>
  <c r="R305" i="2"/>
  <c r="R306" i="2"/>
  <c r="R307" i="2"/>
  <c r="R308" i="2"/>
  <c r="R309" i="2"/>
  <c r="R310" i="2"/>
  <c r="R311" i="2"/>
  <c r="R312" i="2"/>
  <c r="R313" i="2"/>
  <c r="R314" i="2"/>
  <c r="R315" i="2"/>
  <c r="R316" i="2"/>
  <c r="R317" i="2"/>
  <c r="R318" i="2"/>
  <c r="R319" i="2"/>
  <c r="R320" i="2"/>
  <c r="R321" i="2"/>
  <c r="R322" i="2"/>
  <c r="R323" i="2"/>
  <c r="R324" i="2"/>
  <c r="R325" i="2"/>
  <c r="R326" i="2"/>
  <c r="R327" i="2"/>
  <c r="R328" i="2"/>
  <c r="R329" i="2"/>
  <c r="R330" i="2"/>
  <c r="R331" i="2"/>
  <c r="R332" i="2"/>
  <c r="R333" i="2"/>
  <c r="R334" i="2"/>
  <c r="R335" i="2"/>
  <c r="R336" i="2"/>
  <c r="R337" i="2"/>
  <c r="R338" i="2"/>
  <c r="R339" i="2"/>
  <c r="R340" i="2"/>
  <c r="R341" i="2"/>
  <c r="R342" i="2"/>
  <c r="R343" i="2"/>
  <c r="R344" i="2"/>
  <c r="R345" i="2"/>
  <c r="R346" i="2"/>
  <c r="R347" i="2"/>
  <c r="R348" i="2"/>
  <c r="R349" i="2"/>
  <c r="R350" i="2"/>
  <c r="R351" i="2"/>
  <c r="R352" i="2"/>
  <c r="R353" i="2"/>
  <c r="R354" i="2"/>
  <c r="R355" i="2"/>
  <c r="R356" i="2"/>
  <c r="R357" i="2"/>
  <c r="R358" i="2"/>
  <c r="R359" i="2"/>
  <c r="R360" i="2"/>
  <c r="R361" i="2"/>
  <c r="R362" i="2"/>
  <c r="R363" i="2"/>
  <c r="R364" i="2"/>
  <c r="R365" i="2"/>
  <c r="R366" i="2"/>
  <c r="R367" i="2"/>
  <c r="R368" i="2"/>
  <c r="R369" i="2"/>
  <c r="R370" i="2"/>
  <c r="R371" i="2"/>
  <c r="R372" i="2"/>
  <c r="R373" i="2"/>
  <c r="R374" i="2"/>
  <c r="R375" i="2"/>
  <c r="R376" i="2"/>
  <c r="R377" i="2"/>
  <c r="R378" i="2"/>
  <c r="R379" i="2"/>
  <c r="R380" i="2"/>
  <c r="R381" i="2"/>
  <c r="R382" i="2"/>
  <c r="R383" i="2"/>
  <c r="R384" i="2"/>
  <c r="R385" i="2"/>
  <c r="R386" i="2"/>
  <c r="R387" i="2"/>
  <c r="R388" i="2"/>
  <c r="R389" i="2"/>
  <c r="R390" i="2"/>
  <c r="R391" i="2"/>
  <c r="R392" i="2"/>
  <c r="R393" i="2"/>
  <c r="R394" i="2"/>
  <c r="R395" i="2"/>
  <c r="R396" i="2"/>
  <c r="R397" i="2"/>
  <c r="R398" i="2"/>
  <c r="R399" i="2"/>
  <c r="R400" i="2"/>
  <c r="R401" i="2"/>
  <c r="R402" i="2"/>
  <c r="R403" i="2"/>
  <c r="R404" i="2"/>
  <c r="R405" i="2"/>
  <c r="R406" i="2"/>
  <c r="R407" i="2"/>
  <c r="R408" i="2"/>
  <c r="R409" i="2"/>
  <c r="R410" i="2"/>
  <c r="R411" i="2"/>
  <c r="R412" i="2"/>
  <c r="R413" i="2"/>
  <c r="R414" i="2"/>
  <c r="R415" i="2"/>
  <c r="R416" i="2"/>
  <c r="R417" i="2"/>
  <c r="R418" i="2"/>
  <c r="R419" i="2"/>
  <c r="R420" i="2"/>
  <c r="R421" i="2"/>
  <c r="R422" i="2"/>
  <c r="R423" i="2"/>
  <c r="R424" i="2"/>
  <c r="R425" i="2"/>
  <c r="R426" i="2"/>
  <c r="R427" i="2"/>
  <c r="R428" i="2"/>
  <c r="R429" i="2"/>
  <c r="R430" i="2"/>
  <c r="R431" i="2"/>
  <c r="R432" i="2"/>
  <c r="R433" i="2"/>
  <c r="R434" i="2"/>
  <c r="R435" i="2"/>
  <c r="J48" i="24" l="1"/>
  <c r="J47" i="24"/>
  <c r="J46" i="24"/>
  <c r="J44" i="24"/>
  <c r="J43" i="24"/>
  <c r="J42" i="24"/>
  <c r="J40" i="24"/>
  <c r="J39" i="24"/>
  <c r="J38" i="24"/>
  <c r="J36" i="24"/>
  <c r="J35" i="24"/>
  <c r="J34" i="24"/>
  <c r="J32" i="24"/>
  <c r="J31" i="24"/>
  <c r="J30" i="24"/>
  <c r="J28" i="24"/>
  <c r="J27" i="24"/>
  <c r="J26" i="24"/>
  <c r="J24" i="24"/>
  <c r="J23" i="24"/>
  <c r="J22" i="24"/>
  <c r="G17" i="1" l="1"/>
  <c r="G45" i="1"/>
  <c r="G44" i="1"/>
  <c r="G43" i="1"/>
  <c r="G42" i="1"/>
  <c r="G41" i="1"/>
  <c r="G40" i="1"/>
  <c r="G39" i="1"/>
  <c r="G38" i="1"/>
  <c r="G36" i="1"/>
  <c r="G34" i="1"/>
  <c r="G32" i="1"/>
  <c r="G30" i="1"/>
  <c r="G28" i="1"/>
  <c r="G27" i="1"/>
  <c r="G26" i="1"/>
  <c r="G25" i="1"/>
  <c r="G24" i="1"/>
  <c r="G23" i="1"/>
  <c r="G22" i="1"/>
  <c r="G21" i="1"/>
  <c r="G20" i="1"/>
  <c r="G19" i="1"/>
  <c r="G18" i="1"/>
  <c r="G16" i="1"/>
  <c r="G15" i="1"/>
  <c r="G14" i="1"/>
  <c r="G13" i="1"/>
  <c r="G12" i="1"/>
  <c r="G11" i="1"/>
  <c r="G43" i="4"/>
  <c r="D112" i="10"/>
  <c r="D103" i="10"/>
  <c r="D98" i="10"/>
  <c r="D105" i="10" s="1"/>
  <c r="D83" i="10"/>
  <c r="D78" i="10"/>
  <c r="D85" i="10" s="1"/>
  <c r="D86" i="10" l="1"/>
  <c r="D88" i="10" s="1"/>
  <c r="D90" i="10" s="1"/>
  <c r="D106" i="10"/>
  <c r="D108" i="10" s="1"/>
  <c r="D110" i="10" s="1"/>
  <c r="H24" i="1"/>
  <c r="I24" i="1" s="1"/>
  <c r="H25" i="1"/>
  <c r="I25" i="1" s="1"/>
  <c r="H26" i="1"/>
  <c r="I26" i="1" s="1"/>
  <c r="H27" i="1"/>
  <c r="I27" i="1" s="1"/>
  <c r="H28" i="1"/>
  <c r="H30" i="1"/>
  <c r="I30" i="1" s="1"/>
  <c r="H32" i="1"/>
  <c r="I32" i="1" s="1"/>
  <c r="H34" i="1"/>
  <c r="I34" i="1" s="1"/>
  <c r="H36" i="1"/>
  <c r="I36" i="1" s="1"/>
  <c r="H12" i="1"/>
  <c r="I12" i="1" s="1"/>
  <c r="H13" i="1"/>
  <c r="I13" i="1" s="1"/>
  <c r="H14" i="1"/>
  <c r="I14" i="1" s="1"/>
  <c r="H17" i="1"/>
  <c r="I17" i="1" s="1"/>
  <c r="H15" i="1"/>
  <c r="I15" i="1" s="1"/>
  <c r="D58" i="10" l="1"/>
  <c r="D63" i="10" s="1"/>
  <c r="D38" i="10"/>
  <c r="D46" i="10" s="1"/>
  <c r="D18" i="10"/>
  <c r="D23" i="10" s="1"/>
  <c r="D45" i="10" l="1"/>
  <c r="D66" i="10"/>
  <c r="D43" i="10"/>
  <c r="D26" i="10"/>
  <c r="D25" i="10"/>
  <c r="D65" i="10"/>
  <c r="D68" i="10" s="1"/>
  <c r="D70" i="10" s="1"/>
  <c r="D48" i="10" l="1"/>
  <c r="D50" i="10" s="1"/>
  <c r="D28" i="10"/>
  <c r="D30" i="10" s="1"/>
  <c r="C6" i="24"/>
  <c r="C7" i="24"/>
  <c r="C8" i="24"/>
  <c r="C9" i="24"/>
  <c r="C10" i="24"/>
  <c r="C4" i="24"/>
  <c r="F50" i="24"/>
  <c r="K48" i="24"/>
  <c r="K47" i="24"/>
  <c r="K46" i="24"/>
  <c r="K44" i="24"/>
  <c r="K43" i="24"/>
  <c r="K42" i="24"/>
  <c r="K40" i="24"/>
  <c r="K39" i="24"/>
  <c r="K38" i="24"/>
  <c r="K36" i="24"/>
  <c r="K35" i="24"/>
  <c r="K34" i="24"/>
  <c r="K32" i="24"/>
  <c r="K31" i="24"/>
  <c r="K30" i="24"/>
  <c r="K28" i="24"/>
  <c r="K27" i="24"/>
  <c r="K26" i="24"/>
  <c r="K24" i="24"/>
  <c r="K23" i="24"/>
  <c r="K22" i="24"/>
  <c r="K50" i="24" l="1"/>
  <c r="H11" i="2" l="1"/>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177" i="2"/>
  <c r="H178" i="2"/>
  <c r="H179" i="2"/>
  <c r="H180" i="2"/>
  <c r="H181" i="2"/>
  <c r="H182" i="2"/>
  <c r="H426" i="2"/>
  <c r="H427" i="2"/>
  <c r="H428" i="2"/>
  <c r="H429" i="2"/>
  <c r="H430" i="2"/>
  <c r="H431" i="2"/>
  <c r="H432" i="2"/>
  <c r="H433" i="2"/>
  <c r="H434" i="2"/>
  <c r="H435" i="2"/>
  <c r="H349" i="2"/>
  <c r="H350" i="2"/>
  <c r="H351" i="2"/>
  <c r="H352" i="2"/>
  <c r="H353" i="2"/>
  <c r="H354" i="2"/>
  <c r="H355" i="2"/>
  <c r="H356" i="2"/>
  <c r="H357" i="2"/>
  <c r="H358" i="2"/>
  <c r="H359" i="2"/>
  <c r="H360" i="2"/>
  <c r="H361"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7" i="2"/>
  <c r="H408" i="2"/>
  <c r="H409" i="2"/>
  <c r="H410" i="2"/>
  <c r="H411" i="2"/>
  <c r="H412" i="2"/>
  <c r="H413" i="2"/>
  <c r="H414" i="2"/>
  <c r="H415" i="2"/>
  <c r="H416" i="2"/>
  <c r="H417" i="2"/>
  <c r="H418" i="2"/>
  <c r="H419" i="2"/>
  <c r="H420" i="2"/>
  <c r="H421" i="2"/>
  <c r="H422" i="2"/>
  <c r="H423" i="2"/>
  <c r="H424" i="2"/>
  <c r="H425" i="2"/>
  <c r="L11" i="2"/>
  <c r="O11" i="2"/>
  <c r="M11" i="2" s="1"/>
  <c r="P11" i="2"/>
  <c r="N11" i="2" s="1"/>
  <c r="L12" i="2"/>
  <c r="O12" i="2"/>
  <c r="M12" i="2" s="1"/>
  <c r="P12" i="2"/>
  <c r="N12" i="2" s="1"/>
  <c r="L13" i="2"/>
  <c r="O13" i="2"/>
  <c r="M13" i="2" s="1"/>
  <c r="P13" i="2"/>
  <c r="N13" i="2" s="1"/>
  <c r="L14" i="2"/>
  <c r="O14" i="2"/>
  <c r="M14" i="2" s="1"/>
  <c r="P14" i="2"/>
  <c r="N14" i="2" s="1"/>
  <c r="L15" i="2"/>
  <c r="O15" i="2"/>
  <c r="M15" i="2" s="1"/>
  <c r="P15" i="2"/>
  <c r="N15" i="2" s="1"/>
  <c r="L16" i="2"/>
  <c r="O16" i="2"/>
  <c r="M16" i="2" s="1"/>
  <c r="P16" i="2"/>
  <c r="N16" i="2" s="1"/>
  <c r="L17" i="2"/>
  <c r="O17" i="2"/>
  <c r="M17" i="2" s="1"/>
  <c r="P17" i="2"/>
  <c r="N17" i="2" s="1"/>
  <c r="L18" i="2"/>
  <c r="O18" i="2"/>
  <c r="M18" i="2" s="1"/>
  <c r="P18" i="2"/>
  <c r="N18" i="2" s="1"/>
  <c r="L19" i="2"/>
  <c r="O19" i="2"/>
  <c r="M19" i="2" s="1"/>
  <c r="P19" i="2"/>
  <c r="N19" i="2" s="1"/>
  <c r="L20" i="2"/>
  <c r="O20" i="2"/>
  <c r="M20" i="2" s="1"/>
  <c r="P20" i="2"/>
  <c r="N20" i="2" s="1"/>
  <c r="L21" i="2"/>
  <c r="O21" i="2"/>
  <c r="M21" i="2" s="1"/>
  <c r="P21" i="2"/>
  <c r="N21" i="2" s="1"/>
  <c r="L22" i="2"/>
  <c r="O22" i="2"/>
  <c r="M22" i="2" s="1"/>
  <c r="P22" i="2"/>
  <c r="N22" i="2" s="1"/>
  <c r="L23" i="2"/>
  <c r="O23" i="2"/>
  <c r="M23" i="2" s="1"/>
  <c r="P23" i="2"/>
  <c r="N23" i="2" s="1"/>
  <c r="L24" i="2"/>
  <c r="O24" i="2"/>
  <c r="M24" i="2" s="1"/>
  <c r="P24" i="2"/>
  <c r="N24" i="2" s="1"/>
  <c r="L25" i="2"/>
  <c r="O25" i="2"/>
  <c r="M25" i="2" s="1"/>
  <c r="P25" i="2"/>
  <c r="N25" i="2" s="1"/>
  <c r="L26" i="2"/>
  <c r="O26" i="2"/>
  <c r="M26" i="2" s="1"/>
  <c r="P26" i="2"/>
  <c r="N26" i="2" s="1"/>
  <c r="L27" i="2"/>
  <c r="O27" i="2"/>
  <c r="M27" i="2" s="1"/>
  <c r="P27" i="2"/>
  <c r="N27" i="2" s="1"/>
  <c r="L28" i="2"/>
  <c r="O28" i="2"/>
  <c r="M28" i="2" s="1"/>
  <c r="P28" i="2"/>
  <c r="N28" i="2" s="1"/>
  <c r="L29" i="2"/>
  <c r="O29" i="2"/>
  <c r="M29" i="2" s="1"/>
  <c r="P29" i="2"/>
  <c r="N29" i="2" s="1"/>
  <c r="L30" i="2"/>
  <c r="O30" i="2"/>
  <c r="M30" i="2" s="1"/>
  <c r="P30" i="2"/>
  <c r="N30" i="2" s="1"/>
  <c r="L31" i="2"/>
  <c r="O31" i="2"/>
  <c r="M31" i="2" s="1"/>
  <c r="P31" i="2"/>
  <c r="N31" i="2" s="1"/>
  <c r="L32" i="2"/>
  <c r="O32" i="2"/>
  <c r="M32" i="2" s="1"/>
  <c r="P32" i="2"/>
  <c r="N32" i="2" s="1"/>
  <c r="L33" i="2"/>
  <c r="O33" i="2"/>
  <c r="M33" i="2" s="1"/>
  <c r="P33" i="2"/>
  <c r="N33" i="2" s="1"/>
  <c r="L34" i="2"/>
  <c r="O34" i="2"/>
  <c r="M34" i="2" s="1"/>
  <c r="P34" i="2"/>
  <c r="N34" i="2" s="1"/>
  <c r="L35" i="2"/>
  <c r="O35" i="2"/>
  <c r="M35" i="2" s="1"/>
  <c r="P35" i="2"/>
  <c r="N35" i="2" s="1"/>
  <c r="L36" i="2"/>
  <c r="O36" i="2"/>
  <c r="M36" i="2" s="1"/>
  <c r="P36" i="2"/>
  <c r="N36" i="2" s="1"/>
  <c r="L37" i="2"/>
  <c r="O37" i="2"/>
  <c r="M37" i="2" s="1"/>
  <c r="P37" i="2"/>
  <c r="N37" i="2" s="1"/>
  <c r="L38" i="2"/>
  <c r="O38" i="2"/>
  <c r="M38" i="2" s="1"/>
  <c r="P38" i="2"/>
  <c r="N38" i="2" s="1"/>
  <c r="L39" i="2"/>
  <c r="O39" i="2"/>
  <c r="M39" i="2" s="1"/>
  <c r="P39" i="2"/>
  <c r="N39" i="2" s="1"/>
  <c r="L40" i="2"/>
  <c r="O40" i="2"/>
  <c r="M40" i="2" s="1"/>
  <c r="P40" i="2"/>
  <c r="N40" i="2" s="1"/>
  <c r="L41" i="2"/>
  <c r="O41" i="2"/>
  <c r="M41" i="2" s="1"/>
  <c r="P41" i="2"/>
  <c r="N41" i="2" s="1"/>
  <c r="L42" i="2"/>
  <c r="O42" i="2"/>
  <c r="M42" i="2" s="1"/>
  <c r="P42" i="2"/>
  <c r="N42" i="2" s="1"/>
  <c r="L43" i="2"/>
  <c r="O43" i="2"/>
  <c r="M43" i="2" s="1"/>
  <c r="P43" i="2"/>
  <c r="N43" i="2" s="1"/>
  <c r="L44" i="2"/>
  <c r="O44" i="2"/>
  <c r="M44" i="2" s="1"/>
  <c r="P44" i="2"/>
  <c r="N44" i="2" s="1"/>
  <c r="L45" i="2"/>
  <c r="O45" i="2"/>
  <c r="M45" i="2" s="1"/>
  <c r="P45" i="2"/>
  <c r="N45" i="2" s="1"/>
  <c r="L46" i="2"/>
  <c r="O46" i="2"/>
  <c r="M46" i="2" s="1"/>
  <c r="P46" i="2"/>
  <c r="N46" i="2" s="1"/>
  <c r="L47" i="2"/>
  <c r="O47" i="2"/>
  <c r="M47" i="2" s="1"/>
  <c r="P47" i="2"/>
  <c r="N47" i="2" s="1"/>
  <c r="L48" i="2"/>
  <c r="O48" i="2"/>
  <c r="M48" i="2" s="1"/>
  <c r="P48" i="2"/>
  <c r="N48" i="2" s="1"/>
  <c r="L49" i="2"/>
  <c r="O49" i="2"/>
  <c r="M49" i="2" s="1"/>
  <c r="P49" i="2"/>
  <c r="N49" i="2" s="1"/>
  <c r="L50" i="2"/>
  <c r="O50" i="2"/>
  <c r="M50" i="2" s="1"/>
  <c r="P50" i="2"/>
  <c r="N50" i="2" s="1"/>
  <c r="L51" i="2"/>
  <c r="O51" i="2"/>
  <c r="M51" i="2" s="1"/>
  <c r="P51" i="2"/>
  <c r="N51" i="2" s="1"/>
  <c r="L52" i="2"/>
  <c r="O52" i="2"/>
  <c r="M52" i="2" s="1"/>
  <c r="P52" i="2"/>
  <c r="N52" i="2" s="1"/>
  <c r="L53" i="2"/>
  <c r="O53" i="2"/>
  <c r="M53" i="2" s="1"/>
  <c r="P53" i="2"/>
  <c r="N53" i="2" s="1"/>
  <c r="L54" i="2"/>
  <c r="O54" i="2"/>
  <c r="M54" i="2" s="1"/>
  <c r="P54" i="2"/>
  <c r="N54" i="2" s="1"/>
  <c r="L55" i="2"/>
  <c r="O55" i="2"/>
  <c r="M55" i="2" s="1"/>
  <c r="P55" i="2"/>
  <c r="N55" i="2" s="1"/>
  <c r="L56" i="2"/>
  <c r="O56" i="2"/>
  <c r="M56" i="2" s="1"/>
  <c r="P56" i="2"/>
  <c r="N56" i="2" s="1"/>
  <c r="L57" i="2"/>
  <c r="O57" i="2"/>
  <c r="M57" i="2" s="1"/>
  <c r="P57" i="2"/>
  <c r="N57" i="2" s="1"/>
  <c r="L58" i="2"/>
  <c r="O58" i="2"/>
  <c r="M58" i="2" s="1"/>
  <c r="P58" i="2"/>
  <c r="N58" i="2" s="1"/>
  <c r="L59" i="2"/>
  <c r="O59" i="2"/>
  <c r="M59" i="2" s="1"/>
  <c r="P59" i="2"/>
  <c r="N59" i="2" s="1"/>
  <c r="L60" i="2"/>
  <c r="O60" i="2"/>
  <c r="M60" i="2" s="1"/>
  <c r="P60" i="2"/>
  <c r="N60" i="2" s="1"/>
  <c r="L61" i="2"/>
  <c r="O61" i="2"/>
  <c r="M61" i="2" s="1"/>
  <c r="P61" i="2"/>
  <c r="N61" i="2" s="1"/>
  <c r="L62" i="2"/>
  <c r="O62" i="2"/>
  <c r="M62" i="2" s="1"/>
  <c r="P62" i="2"/>
  <c r="N62" i="2" s="1"/>
  <c r="L63" i="2"/>
  <c r="O63" i="2"/>
  <c r="M63" i="2" s="1"/>
  <c r="P63" i="2"/>
  <c r="N63" i="2" s="1"/>
  <c r="L64" i="2"/>
  <c r="O64" i="2"/>
  <c r="M64" i="2" s="1"/>
  <c r="P64" i="2"/>
  <c r="N64" i="2" s="1"/>
  <c r="L65" i="2"/>
  <c r="O65" i="2"/>
  <c r="M65" i="2" s="1"/>
  <c r="P65" i="2"/>
  <c r="N65" i="2" s="1"/>
  <c r="L66" i="2"/>
  <c r="O66" i="2"/>
  <c r="M66" i="2" s="1"/>
  <c r="P66" i="2"/>
  <c r="N66" i="2" s="1"/>
  <c r="L67" i="2"/>
  <c r="O67" i="2"/>
  <c r="M67" i="2" s="1"/>
  <c r="P67" i="2"/>
  <c r="N67" i="2" s="1"/>
  <c r="L68" i="2"/>
  <c r="O68" i="2"/>
  <c r="M68" i="2" s="1"/>
  <c r="P68" i="2"/>
  <c r="N68" i="2" s="1"/>
  <c r="L69" i="2"/>
  <c r="O69" i="2"/>
  <c r="M69" i="2" s="1"/>
  <c r="P69" i="2"/>
  <c r="N69" i="2" s="1"/>
  <c r="L70" i="2"/>
  <c r="O70" i="2"/>
  <c r="M70" i="2" s="1"/>
  <c r="P70" i="2"/>
  <c r="N70" i="2" s="1"/>
  <c r="L71" i="2"/>
  <c r="O71" i="2"/>
  <c r="M71" i="2" s="1"/>
  <c r="P71" i="2"/>
  <c r="N71" i="2" s="1"/>
  <c r="L72" i="2"/>
  <c r="O72" i="2"/>
  <c r="M72" i="2" s="1"/>
  <c r="P72" i="2"/>
  <c r="N72" i="2" s="1"/>
  <c r="L73" i="2"/>
  <c r="O73" i="2"/>
  <c r="M73" i="2" s="1"/>
  <c r="P73" i="2"/>
  <c r="N73" i="2" s="1"/>
  <c r="L74" i="2"/>
  <c r="O74" i="2"/>
  <c r="M74" i="2" s="1"/>
  <c r="P74" i="2"/>
  <c r="N74" i="2" s="1"/>
  <c r="L75" i="2"/>
  <c r="O75" i="2"/>
  <c r="M75" i="2" s="1"/>
  <c r="P75" i="2"/>
  <c r="N75" i="2" s="1"/>
  <c r="L76" i="2"/>
  <c r="O76" i="2"/>
  <c r="M76" i="2" s="1"/>
  <c r="P76" i="2"/>
  <c r="N76" i="2" s="1"/>
  <c r="L77" i="2"/>
  <c r="O77" i="2"/>
  <c r="M77" i="2" s="1"/>
  <c r="P77" i="2"/>
  <c r="N77" i="2" s="1"/>
  <c r="L78" i="2"/>
  <c r="O78" i="2"/>
  <c r="M78" i="2" s="1"/>
  <c r="P78" i="2"/>
  <c r="N78" i="2" s="1"/>
  <c r="L79" i="2"/>
  <c r="O79" i="2"/>
  <c r="M79" i="2" s="1"/>
  <c r="P79" i="2"/>
  <c r="N79" i="2" s="1"/>
  <c r="L80" i="2"/>
  <c r="O80" i="2"/>
  <c r="M80" i="2" s="1"/>
  <c r="P80" i="2"/>
  <c r="N80" i="2" s="1"/>
  <c r="L81" i="2"/>
  <c r="O81" i="2"/>
  <c r="M81" i="2" s="1"/>
  <c r="P81" i="2"/>
  <c r="N81" i="2" s="1"/>
  <c r="L82" i="2"/>
  <c r="O82" i="2"/>
  <c r="M82" i="2" s="1"/>
  <c r="P82" i="2"/>
  <c r="N82" i="2" s="1"/>
  <c r="L83" i="2"/>
  <c r="O83" i="2"/>
  <c r="M83" i="2" s="1"/>
  <c r="P83" i="2"/>
  <c r="N83" i="2" s="1"/>
  <c r="L177" i="2"/>
  <c r="O177" i="2"/>
  <c r="M177" i="2" s="1"/>
  <c r="P177" i="2"/>
  <c r="N177" i="2" s="1"/>
  <c r="L178" i="2"/>
  <c r="O178" i="2"/>
  <c r="M178" i="2" s="1"/>
  <c r="P178" i="2"/>
  <c r="N178" i="2" s="1"/>
  <c r="L179" i="2"/>
  <c r="O179" i="2"/>
  <c r="M179" i="2" s="1"/>
  <c r="P179" i="2"/>
  <c r="N179" i="2" s="1"/>
  <c r="L180" i="2"/>
  <c r="O180" i="2"/>
  <c r="M180" i="2" s="1"/>
  <c r="P180" i="2"/>
  <c r="N180" i="2" s="1"/>
  <c r="L181" i="2"/>
  <c r="O181" i="2"/>
  <c r="M181" i="2" s="1"/>
  <c r="P181" i="2"/>
  <c r="N181" i="2" s="1"/>
  <c r="L182" i="2"/>
  <c r="O182" i="2"/>
  <c r="M182" i="2" s="1"/>
  <c r="P182" i="2"/>
  <c r="N182" i="2" s="1"/>
  <c r="L426" i="2"/>
  <c r="O426" i="2"/>
  <c r="M426" i="2" s="1"/>
  <c r="P426" i="2"/>
  <c r="N426" i="2" s="1"/>
  <c r="L427" i="2"/>
  <c r="O427" i="2"/>
  <c r="M427" i="2" s="1"/>
  <c r="P427" i="2"/>
  <c r="N427" i="2" s="1"/>
  <c r="L428" i="2"/>
  <c r="O428" i="2"/>
  <c r="M428" i="2" s="1"/>
  <c r="P428" i="2"/>
  <c r="N428" i="2" s="1"/>
  <c r="L429" i="2"/>
  <c r="O429" i="2"/>
  <c r="M429" i="2" s="1"/>
  <c r="P429" i="2"/>
  <c r="N429" i="2" s="1"/>
  <c r="L430" i="2"/>
  <c r="O430" i="2"/>
  <c r="M430" i="2" s="1"/>
  <c r="P430" i="2"/>
  <c r="N430" i="2" s="1"/>
  <c r="L431" i="2"/>
  <c r="O431" i="2"/>
  <c r="M431" i="2" s="1"/>
  <c r="P431" i="2"/>
  <c r="N431" i="2" s="1"/>
  <c r="L432" i="2"/>
  <c r="O432" i="2"/>
  <c r="M432" i="2" s="1"/>
  <c r="P432" i="2"/>
  <c r="N432" i="2" s="1"/>
  <c r="L433" i="2"/>
  <c r="O433" i="2"/>
  <c r="M433" i="2" s="1"/>
  <c r="P433" i="2"/>
  <c r="N433" i="2" s="1"/>
  <c r="L434" i="2"/>
  <c r="O434" i="2"/>
  <c r="M434" i="2" s="1"/>
  <c r="P434" i="2"/>
  <c r="N434" i="2" s="1"/>
  <c r="L435" i="2"/>
  <c r="O435" i="2"/>
  <c r="M435" i="2" s="1"/>
  <c r="P435" i="2"/>
  <c r="N435" i="2" s="1"/>
  <c r="L349" i="2"/>
  <c r="O349" i="2"/>
  <c r="M349" i="2" s="1"/>
  <c r="P349" i="2"/>
  <c r="N349" i="2" s="1"/>
  <c r="L350" i="2"/>
  <c r="O350" i="2"/>
  <c r="M350" i="2" s="1"/>
  <c r="P350" i="2"/>
  <c r="N350" i="2" s="1"/>
  <c r="L351" i="2"/>
  <c r="O351" i="2"/>
  <c r="M351" i="2" s="1"/>
  <c r="P351" i="2"/>
  <c r="N351" i="2" s="1"/>
  <c r="L352" i="2"/>
  <c r="O352" i="2"/>
  <c r="M352" i="2" s="1"/>
  <c r="P352" i="2"/>
  <c r="N352" i="2" s="1"/>
  <c r="L353" i="2"/>
  <c r="O353" i="2"/>
  <c r="M353" i="2" s="1"/>
  <c r="P353" i="2"/>
  <c r="N353" i="2" s="1"/>
  <c r="L354" i="2"/>
  <c r="O354" i="2"/>
  <c r="M354" i="2" s="1"/>
  <c r="P354" i="2"/>
  <c r="N354" i="2" s="1"/>
  <c r="L355" i="2"/>
  <c r="O355" i="2"/>
  <c r="M355" i="2" s="1"/>
  <c r="P355" i="2"/>
  <c r="N355" i="2" s="1"/>
  <c r="L356" i="2"/>
  <c r="O356" i="2"/>
  <c r="M356" i="2" s="1"/>
  <c r="P356" i="2"/>
  <c r="N356" i="2" s="1"/>
  <c r="L357" i="2"/>
  <c r="O357" i="2"/>
  <c r="M357" i="2" s="1"/>
  <c r="P357" i="2"/>
  <c r="N357" i="2" s="1"/>
  <c r="L358" i="2"/>
  <c r="O358" i="2"/>
  <c r="M358" i="2" s="1"/>
  <c r="P358" i="2"/>
  <c r="N358" i="2" s="1"/>
  <c r="L359" i="2"/>
  <c r="O359" i="2"/>
  <c r="M359" i="2" s="1"/>
  <c r="P359" i="2"/>
  <c r="N359" i="2" s="1"/>
  <c r="L360" i="2"/>
  <c r="O360" i="2"/>
  <c r="M360" i="2" s="1"/>
  <c r="P360" i="2"/>
  <c r="N360" i="2" s="1"/>
  <c r="L361" i="2"/>
  <c r="O361" i="2"/>
  <c r="M361" i="2" s="1"/>
  <c r="P361" i="2"/>
  <c r="N361" i="2" s="1"/>
  <c r="L183" i="2"/>
  <c r="O183" i="2"/>
  <c r="M183" i="2" s="1"/>
  <c r="P183" i="2"/>
  <c r="N183" i="2" s="1"/>
  <c r="L184" i="2"/>
  <c r="O184" i="2"/>
  <c r="M184" i="2" s="1"/>
  <c r="P184" i="2"/>
  <c r="N184" i="2" s="1"/>
  <c r="L185" i="2"/>
  <c r="O185" i="2"/>
  <c r="M185" i="2" s="1"/>
  <c r="P185" i="2"/>
  <c r="N185" i="2" s="1"/>
  <c r="L186" i="2"/>
  <c r="O186" i="2"/>
  <c r="M186" i="2" s="1"/>
  <c r="P186" i="2"/>
  <c r="N186" i="2" s="1"/>
  <c r="L187" i="2"/>
  <c r="O187" i="2"/>
  <c r="M187" i="2" s="1"/>
  <c r="P187" i="2"/>
  <c r="N187" i="2" s="1"/>
  <c r="L188" i="2"/>
  <c r="O188" i="2"/>
  <c r="M188" i="2" s="1"/>
  <c r="P188" i="2"/>
  <c r="N188" i="2" s="1"/>
  <c r="L189" i="2"/>
  <c r="O189" i="2"/>
  <c r="M189" i="2" s="1"/>
  <c r="P189" i="2"/>
  <c r="N189" i="2" s="1"/>
  <c r="L190" i="2"/>
  <c r="O190" i="2"/>
  <c r="M190" i="2" s="1"/>
  <c r="P190" i="2"/>
  <c r="N190" i="2" s="1"/>
  <c r="L191" i="2"/>
  <c r="O191" i="2"/>
  <c r="M191" i="2" s="1"/>
  <c r="P191" i="2"/>
  <c r="N191" i="2" s="1"/>
  <c r="L192" i="2"/>
  <c r="O192" i="2"/>
  <c r="M192" i="2" s="1"/>
  <c r="P192" i="2"/>
  <c r="N192" i="2" s="1"/>
  <c r="L193" i="2"/>
  <c r="O193" i="2"/>
  <c r="M193" i="2" s="1"/>
  <c r="P193" i="2"/>
  <c r="N193" i="2" s="1"/>
  <c r="L194" i="2"/>
  <c r="O194" i="2"/>
  <c r="M194" i="2" s="1"/>
  <c r="P194" i="2"/>
  <c r="N194" i="2" s="1"/>
  <c r="L195" i="2"/>
  <c r="O195" i="2"/>
  <c r="M195" i="2" s="1"/>
  <c r="P195" i="2"/>
  <c r="N195" i="2" s="1"/>
  <c r="L196" i="2"/>
  <c r="O196" i="2"/>
  <c r="M196" i="2" s="1"/>
  <c r="P196" i="2"/>
  <c r="N196" i="2" s="1"/>
  <c r="L197" i="2"/>
  <c r="O197" i="2"/>
  <c r="M197" i="2" s="1"/>
  <c r="P197" i="2"/>
  <c r="N197" i="2" s="1"/>
  <c r="L198" i="2"/>
  <c r="O198" i="2"/>
  <c r="M198" i="2" s="1"/>
  <c r="P198" i="2"/>
  <c r="N198" i="2" s="1"/>
  <c r="L199" i="2"/>
  <c r="O199" i="2"/>
  <c r="M199" i="2" s="1"/>
  <c r="P199" i="2"/>
  <c r="N199" i="2" s="1"/>
  <c r="L200" i="2"/>
  <c r="O200" i="2"/>
  <c r="M200" i="2" s="1"/>
  <c r="P200" i="2"/>
  <c r="N200" i="2" s="1"/>
  <c r="L201" i="2"/>
  <c r="O201" i="2"/>
  <c r="M201" i="2" s="1"/>
  <c r="P201" i="2"/>
  <c r="N201" i="2" s="1"/>
  <c r="L202" i="2"/>
  <c r="O202" i="2"/>
  <c r="M202" i="2" s="1"/>
  <c r="P202" i="2"/>
  <c r="N202" i="2" s="1"/>
  <c r="L203" i="2"/>
  <c r="O203" i="2"/>
  <c r="M203" i="2" s="1"/>
  <c r="P203" i="2"/>
  <c r="N203" i="2" s="1"/>
  <c r="L204" i="2"/>
  <c r="O204" i="2"/>
  <c r="M204" i="2" s="1"/>
  <c r="P204" i="2"/>
  <c r="N204" i="2" s="1"/>
  <c r="L205" i="2"/>
  <c r="O205" i="2"/>
  <c r="M205" i="2" s="1"/>
  <c r="P205" i="2"/>
  <c r="N205" i="2" s="1"/>
  <c r="L206" i="2"/>
  <c r="O206" i="2"/>
  <c r="M206" i="2" s="1"/>
  <c r="P206" i="2"/>
  <c r="N206" i="2" s="1"/>
  <c r="L207" i="2"/>
  <c r="O207" i="2"/>
  <c r="M207" i="2" s="1"/>
  <c r="P207" i="2"/>
  <c r="N207" i="2" s="1"/>
  <c r="L208" i="2"/>
  <c r="O208" i="2"/>
  <c r="M208" i="2" s="1"/>
  <c r="P208" i="2"/>
  <c r="N208" i="2" s="1"/>
  <c r="L209" i="2"/>
  <c r="O209" i="2"/>
  <c r="M209" i="2" s="1"/>
  <c r="P209" i="2"/>
  <c r="N209" i="2" s="1"/>
  <c r="L210" i="2"/>
  <c r="O210" i="2"/>
  <c r="M210" i="2" s="1"/>
  <c r="P210" i="2"/>
  <c r="N210" i="2" s="1"/>
  <c r="L211" i="2"/>
  <c r="O211" i="2"/>
  <c r="M211" i="2" s="1"/>
  <c r="P211" i="2"/>
  <c r="N211" i="2" s="1"/>
  <c r="L212" i="2"/>
  <c r="O212" i="2"/>
  <c r="M212" i="2" s="1"/>
  <c r="P212" i="2"/>
  <c r="N212" i="2" s="1"/>
  <c r="L213" i="2"/>
  <c r="O213" i="2"/>
  <c r="M213" i="2" s="1"/>
  <c r="P213" i="2"/>
  <c r="N213" i="2" s="1"/>
  <c r="L214" i="2"/>
  <c r="O214" i="2"/>
  <c r="M214" i="2" s="1"/>
  <c r="P214" i="2"/>
  <c r="N214" i="2" s="1"/>
  <c r="L215" i="2"/>
  <c r="O215" i="2"/>
  <c r="M215" i="2" s="1"/>
  <c r="P215" i="2"/>
  <c r="N215" i="2" s="1"/>
  <c r="L216" i="2"/>
  <c r="O216" i="2"/>
  <c r="M216" i="2" s="1"/>
  <c r="P216" i="2"/>
  <c r="N216" i="2" s="1"/>
  <c r="L217" i="2"/>
  <c r="O217" i="2"/>
  <c r="M217" i="2" s="1"/>
  <c r="P217" i="2"/>
  <c r="N217" i="2" s="1"/>
  <c r="L218" i="2"/>
  <c r="O218" i="2"/>
  <c r="M218" i="2" s="1"/>
  <c r="P218" i="2"/>
  <c r="N218" i="2" s="1"/>
  <c r="L219" i="2"/>
  <c r="O219" i="2"/>
  <c r="M219" i="2" s="1"/>
  <c r="P219" i="2"/>
  <c r="N219" i="2" s="1"/>
  <c r="L220" i="2"/>
  <c r="O220" i="2"/>
  <c r="M220" i="2" s="1"/>
  <c r="P220" i="2"/>
  <c r="N220" i="2" s="1"/>
  <c r="L221" i="2"/>
  <c r="O221" i="2"/>
  <c r="M221" i="2" s="1"/>
  <c r="P221" i="2"/>
  <c r="N221" i="2" s="1"/>
  <c r="L222" i="2"/>
  <c r="O222" i="2"/>
  <c r="M222" i="2" s="1"/>
  <c r="P222" i="2"/>
  <c r="N222" i="2" s="1"/>
  <c r="L223" i="2"/>
  <c r="O223" i="2"/>
  <c r="M223" i="2" s="1"/>
  <c r="P223" i="2"/>
  <c r="N223" i="2" s="1"/>
  <c r="L224" i="2"/>
  <c r="O224" i="2"/>
  <c r="M224" i="2" s="1"/>
  <c r="P224" i="2"/>
  <c r="N224" i="2" s="1"/>
  <c r="L225" i="2"/>
  <c r="O225" i="2"/>
  <c r="M225" i="2" s="1"/>
  <c r="P225" i="2"/>
  <c r="N225" i="2" s="1"/>
  <c r="L226" i="2"/>
  <c r="O226" i="2"/>
  <c r="M226" i="2" s="1"/>
  <c r="P226" i="2"/>
  <c r="N226" i="2" s="1"/>
  <c r="L227" i="2"/>
  <c r="O227" i="2"/>
  <c r="M227" i="2" s="1"/>
  <c r="P227" i="2"/>
  <c r="N227" i="2" s="1"/>
  <c r="L228" i="2"/>
  <c r="O228" i="2"/>
  <c r="M228" i="2" s="1"/>
  <c r="P228" i="2"/>
  <c r="N228" i="2" s="1"/>
  <c r="L229" i="2"/>
  <c r="O229" i="2"/>
  <c r="M229" i="2" s="1"/>
  <c r="P229" i="2"/>
  <c r="N229" i="2" s="1"/>
  <c r="L230" i="2"/>
  <c r="O230" i="2"/>
  <c r="M230" i="2" s="1"/>
  <c r="P230" i="2"/>
  <c r="N230" i="2" s="1"/>
  <c r="L231" i="2"/>
  <c r="O231" i="2"/>
  <c r="M231" i="2" s="1"/>
  <c r="P231" i="2"/>
  <c r="N231" i="2" s="1"/>
  <c r="L232" i="2"/>
  <c r="O232" i="2"/>
  <c r="M232" i="2" s="1"/>
  <c r="P232" i="2"/>
  <c r="N232" i="2" s="1"/>
  <c r="L233" i="2"/>
  <c r="O233" i="2"/>
  <c r="M233" i="2" s="1"/>
  <c r="P233" i="2"/>
  <c r="N233" i="2" s="1"/>
  <c r="L234" i="2"/>
  <c r="O234" i="2"/>
  <c r="M234" i="2" s="1"/>
  <c r="P234" i="2"/>
  <c r="N234" i="2" s="1"/>
  <c r="L235" i="2"/>
  <c r="O235" i="2"/>
  <c r="M235" i="2" s="1"/>
  <c r="P235" i="2"/>
  <c r="N235" i="2" s="1"/>
  <c r="L236" i="2"/>
  <c r="O236" i="2"/>
  <c r="M236" i="2" s="1"/>
  <c r="P236" i="2"/>
  <c r="N236" i="2" s="1"/>
  <c r="L237" i="2"/>
  <c r="O237" i="2"/>
  <c r="M237" i="2" s="1"/>
  <c r="P237" i="2"/>
  <c r="N237" i="2" s="1"/>
  <c r="L238" i="2"/>
  <c r="O238" i="2"/>
  <c r="M238" i="2" s="1"/>
  <c r="P238" i="2"/>
  <c r="N238" i="2" s="1"/>
  <c r="L239" i="2"/>
  <c r="O239" i="2"/>
  <c r="M239" i="2" s="1"/>
  <c r="P239" i="2"/>
  <c r="N239" i="2" s="1"/>
  <c r="L240" i="2"/>
  <c r="O240" i="2"/>
  <c r="M240" i="2" s="1"/>
  <c r="P240" i="2"/>
  <c r="N240" i="2" s="1"/>
  <c r="L241" i="2"/>
  <c r="O241" i="2"/>
  <c r="M241" i="2" s="1"/>
  <c r="P241" i="2"/>
  <c r="N241" i="2" s="1"/>
  <c r="L242" i="2"/>
  <c r="O242" i="2"/>
  <c r="M242" i="2" s="1"/>
  <c r="P242" i="2"/>
  <c r="N242" i="2" s="1"/>
  <c r="L243" i="2"/>
  <c r="O243" i="2"/>
  <c r="M243" i="2" s="1"/>
  <c r="P243" i="2"/>
  <c r="N243" i="2" s="1"/>
  <c r="L244" i="2"/>
  <c r="O244" i="2"/>
  <c r="M244" i="2" s="1"/>
  <c r="P244" i="2"/>
  <c r="N244" i="2" s="1"/>
  <c r="L245" i="2"/>
  <c r="O245" i="2"/>
  <c r="M245" i="2" s="1"/>
  <c r="P245" i="2"/>
  <c r="N245" i="2" s="1"/>
  <c r="L246" i="2"/>
  <c r="O246" i="2"/>
  <c r="M246" i="2" s="1"/>
  <c r="P246" i="2"/>
  <c r="N246" i="2" s="1"/>
  <c r="L247" i="2"/>
  <c r="O247" i="2"/>
  <c r="M247" i="2" s="1"/>
  <c r="P247" i="2"/>
  <c r="N247" i="2" s="1"/>
  <c r="L248" i="2"/>
  <c r="O248" i="2"/>
  <c r="M248" i="2" s="1"/>
  <c r="P248" i="2"/>
  <c r="N248" i="2" s="1"/>
  <c r="L249" i="2"/>
  <c r="O249" i="2"/>
  <c r="M249" i="2" s="1"/>
  <c r="P249" i="2"/>
  <c r="N249" i="2" s="1"/>
  <c r="L250" i="2"/>
  <c r="O250" i="2"/>
  <c r="M250" i="2" s="1"/>
  <c r="P250" i="2"/>
  <c r="N250" i="2" s="1"/>
  <c r="L251" i="2"/>
  <c r="O251" i="2"/>
  <c r="M251" i="2" s="1"/>
  <c r="P251" i="2"/>
  <c r="N251" i="2" s="1"/>
  <c r="L252" i="2"/>
  <c r="O252" i="2"/>
  <c r="M252" i="2" s="1"/>
  <c r="P252" i="2"/>
  <c r="N252" i="2" s="1"/>
  <c r="L253" i="2"/>
  <c r="O253" i="2"/>
  <c r="M253" i="2" s="1"/>
  <c r="P253" i="2"/>
  <c r="N253" i="2" s="1"/>
  <c r="L254" i="2"/>
  <c r="O254" i="2"/>
  <c r="M254" i="2" s="1"/>
  <c r="P254" i="2"/>
  <c r="N254" i="2" s="1"/>
  <c r="L255" i="2"/>
  <c r="O255" i="2"/>
  <c r="M255" i="2" s="1"/>
  <c r="P255" i="2"/>
  <c r="N255" i="2" s="1"/>
  <c r="L256" i="2"/>
  <c r="O256" i="2"/>
  <c r="M256" i="2" s="1"/>
  <c r="P256" i="2"/>
  <c r="N256" i="2" s="1"/>
  <c r="L257" i="2"/>
  <c r="O257" i="2"/>
  <c r="M257" i="2" s="1"/>
  <c r="P257" i="2"/>
  <c r="N257" i="2" s="1"/>
  <c r="L258" i="2"/>
  <c r="O258" i="2"/>
  <c r="M258" i="2" s="1"/>
  <c r="P258" i="2"/>
  <c r="N258" i="2" s="1"/>
  <c r="L259" i="2"/>
  <c r="O259" i="2"/>
  <c r="M259" i="2" s="1"/>
  <c r="P259" i="2"/>
  <c r="N259" i="2" s="1"/>
  <c r="L260" i="2"/>
  <c r="O260" i="2"/>
  <c r="M260" i="2" s="1"/>
  <c r="P260" i="2"/>
  <c r="N260" i="2" s="1"/>
  <c r="L261" i="2"/>
  <c r="O261" i="2"/>
  <c r="M261" i="2" s="1"/>
  <c r="P261" i="2"/>
  <c r="N261" i="2" s="1"/>
  <c r="L262" i="2"/>
  <c r="O262" i="2"/>
  <c r="M262" i="2" s="1"/>
  <c r="P262" i="2"/>
  <c r="N262" i="2" s="1"/>
  <c r="L263" i="2"/>
  <c r="O263" i="2"/>
  <c r="M263" i="2" s="1"/>
  <c r="P263" i="2"/>
  <c r="N263" i="2" s="1"/>
  <c r="L264" i="2"/>
  <c r="O264" i="2"/>
  <c r="M264" i="2" s="1"/>
  <c r="P264" i="2"/>
  <c r="N264" i="2" s="1"/>
  <c r="L265" i="2"/>
  <c r="O265" i="2"/>
  <c r="M265" i="2" s="1"/>
  <c r="P265" i="2"/>
  <c r="N265" i="2" s="1"/>
  <c r="L266" i="2"/>
  <c r="O266" i="2"/>
  <c r="M266" i="2" s="1"/>
  <c r="P266" i="2"/>
  <c r="N266" i="2" s="1"/>
  <c r="L267" i="2"/>
  <c r="O267" i="2"/>
  <c r="M267" i="2" s="1"/>
  <c r="P267" i="2"/>
  <c r="N267" i="2" s="1"/>
  <c r="L268" i="2"/>
  <c r="O268" i="2"/>
  <c r="M268" i="2" s="1"/>
  <c r="P268" i="2"/>
  <c r="N268" i="2" s="1"/>
  <c r="L269" i="2"/>
  <c r="O269" i="2"/>
  <c r="M269" i="2" s="1"/>
  <c r="P269" i="2"/>
  <c r="N269" i="2" s="1"/>
  <c r="L270" i="2"/>
  <c r="O270" i="2"/>
  <c r="M270" i="2" s="1"/>
  <c r="P270" i="2"/>
  <c r="N270" i="2" s="1"/>
  <c r="L271" i="2"/>
  <c r="O271" i="2"/>
  <c r="M271" i="2" s="1"/>
  <c r="P271" i="2"/>
  <c r="N271" i="2" s="1"/>
  <c r="L272" i="2"/>
  <c r="O272" i="2"/>
  <c r="M272" i="2" s="1"/>
  <c r="P272" i="2"/>
  <c r="N272" i="2" s="1"/>
  <c r="L273" i="2"/>
  <c r="O273" i="2"/>
  <c r="M273" i="2" s="1"/>
  <c r="P273" i="2"/>
  <c r="N273" i="2" s="1"/>
  <c r="L274" i="2"/>
  <c r="O274" i="2"/>
  <c r="M274" i="2" s="1"/>
  <c r="P274" i="2"/>
  <c r="N274" i="2" s="1"/>
  <c r="L275" i="2"/>
  <c r="O275" i="2"/>
  <c r="M275" i="2" s="1"/>
  <c r="P275" i="2"/>
  <c r="N275" i="2" s="1"/>
  <c r="L276" i="2"/>
  <c r="O276" i="2"/>
  <c r="M276" i="2" s="1"/>
  <c r="P276" i="2"/>
  <c r="N276" i="2" s="1"/>
  <c r="L277" i="2"/>
  <c r="O277" i="2"/>
  <c r="M277" i="2" s="1"/>
  <c r="P277" i="2"/>
  <c r="N277" i="2" s="1"/>
  <c r="L278" i="2"/>
  <c r="O278" i="2"/>
  <c r="M278" i="2" s="1"/>
  <c r="P278" i="2"/>
  <c r="N278" i="2" s="1"/>
  <c r="L279" i="2"/>
  <c r="O279" i="2"/>
  <c r="M279" i="2" s="1"/>
  <c r="P279" i="2"/>
  <c r="N279" i="2" s="1"/>
  <c r="L280" i="2"/>
  <c r="O280" i="2"/>
  <c r="M280" i="2" s="1"/>
  <c r="P280" i="2"/>
  <c r="N280" i="2" s="1"/>
  <c r="L281" i="2"/>
  <c r="O281" i="2"/>
  <c r="M281" i="2" s="1"/>
  <c r="P281" i="2"/>
  <c r="N281" i="2" s="1"/>
  <c r="L282" i="2"/>
  <c r="O282" i="2"/>
  <c r="M282" i="2" s="1"/>
  <c r="P282" i="2"/>
  <c r="N282" i="2" s="1"/>
  <c r="L283" i="2"/>
  <c r="O283" i="2"/>
  <c r="M283" i="2" s="1"/>
  <c r="P283" i="2"/>
  <c r="N283" i="2" s="1"/>
  <c r="L284" i="2"/>
  <c r="O284" i="2"/>
  <c r="M284" i="2" s="1"/>
  <c r="P284" i="2"/>
  <c r="N284" i="2" s="1"/>
  <c r="L285" i="2"/>
  <c r="O285" i="2"/>
  <c r="M285" i="2" s="1"/>
  <c r="P285" i="2"/>
  <c r="N285" i="2" s="1"/>
  <c r="L286" i="2"/>
  <c r="O286" i="2"/>
  <c r="M286" i="2" s="1"/>
  <c r="P286" i="2"/>
  <c r="N286" i="2" s="1"/>
  <c r="L287" i="2"/>
  <c r="O287" i="2"/>
  <c r="M287" i="2" s="1"/>
  <c r="P287" i="2"/>
  <c r="N287" i="2" s="1"/>
  <c r="L288" i="2"/>
  <c r="O288" i="2"/>
  <c r="M288" i="2" s="1"/>
  <c r="P288" i="2"/>
  <c r="N288" i="2" s="1"/>
  <c r="L289" i="2"/>
  <c r="O289" i="2"/>
  <c r="M289" i="2" s="1"/>
  <c r="P289" i="2"/>
  <c r="N289" i="2" s="1"/>
  <c r="L290" i="2"/>
  <c r="O290" i="2"/>
  <c r="M290" i="2" s="1"/>
  <c r="P290" i="2"/>
  <c r="N290" i="2" s="1"/>
  <c r="L291" i="2"/>
  <c r="O291" i="2"/>
  <c r="M291" i="2" s="1"/>
  <c r="P291" i="2"/>
  <c r="N291" i="2" s="1"/>
  <c r="L292" i="2"/>
  <c r="O292" i="2"/>
  <c r="M292" i="2" s="1"/>
  <c r="P292" i="2"/>
  <c r="N292" i="2" s="1"/>
  <c r="L293" i="2"/>
  <c r="O293" i="2"/>
  <c r="M293" i="2" s="1"/>
  <c r="P293" i="2"/>
  <c r="N293" i="2" s="1"/>
  <c r="L294" i="2"/>
  <c r="O294" i="2"/>
  <c r="M294" i="2" s="1"/>
  <c r="P294" i="2"/>
  <c r="N294" i="2" s="1"/>
  <c r="L295" i="2"/>
  <c r="O295" i="2"/>
  <c r="M295" i="2" s="1"/>
  <c r="P295" i="2"/>
  <c r="N295" i="2" s="1"/>
  <c r="L296" i="2"/>
  <c r="O296" i="2"/>
  <c r="M296" i="2" s="1"/>
  <c r="P296" i="2"/>
  <c r="N296" i="2" s="1"/>
  <c r="L297" i="2"/>
  <c r="O297" i="2"/>
  <c r="M297" i="2" s="1"/>
  <c r="P297" i="2"/>
  <c r="N297" i="2" s="1"/>
  <c r="L298" i="2"/>
  <c r="O298" i="2"/>
  <c r="M298" i="2" s="1"/>
  <c r="P298" i="2"/>
  <c r="N298" i="2" s="1"/>
  <c r="L299" i="2"/>
  <c r="O299" i="2"/>
  <c r="M299" i="2" s="1"/>
  <c r="P299" i="2"/>
  <c r="N299" i="2" s="1"/>
  <c r="L300" i="2"/>
  <c r="O300" i="2"/>
  <c r="M300" i="2" s="1"/>
  <c r="P300" i="2"/>
  <c r="N300" i="2" s="1"/>
  <c r="L301" i="2"/>
  <c r="O301" i="2"/>
  <c r="M301" i="2" s="1"/>
  <c r="P301" i="2"/>
  <c r="N301" i="2" s="1"/>
  <c r="L302" i="2"/>
  <c r="O302" i="2"/>
  <c r="M302" i="2" s="1"/>
  <c r="P302" i="2"/>
  <c r="N302" i="2" s="1"/>
  <c r="L303" i="2"/>
  <c r="O303" i="2"/>
  <c r="M303" i="2" s="1"/>
  <c r="P303" i="2"/>
  <c r="N303" i="2" s="1"/>
  <c r="L304" i="2"/>
  <c r="O304" i="2"/>
  <c r="M304" i="2" s="1"/>
  <c r="P304" i="2"/>
  <c r="N304" i="2" s="1"/>
  <c r="L305" i="2"/>
  <c r="O305" i="2"/>
  <c r="M305" i="2" s="1"/>
  <c r="P305" i="2"/>
  <c r="N305" i="2" s="1"/>
  <c r="L306" i="2"/>
  <c r="O306" i="2"/>
  <c r="M306" i="2" s="1"/>
  <c r="P306" i="2"/>
  <c r="N306" i="2" s="1"/>
  <c r="L307" i="2"/>
  <c r="O307" i="2"/>
  <c r="M307" i="2" s="1"/>
  <c r="P307" i="2"/>
  <c r="N307" i="2" s="1"/>
  <c r="L308" i="2"/>
  <c r="O308" i="2"/>
  <c r="M308" i="2" s="1"/>
  <c r="P308" i="2"/>
  <c r="N308" i="2" s="1"/>
  <c r="L309" i="2"/>
  <c r="O309" i="2"/>
  <c r="M309" i="2" s="1"/>
  <c r="P309" i="2"/>
  <c r="N309" i="2" s="1"/>
  <c r="L310" i="2"/>
  <c r="O310" i="2"/>
  <c r="M310" i="2" s="1"/>
  <c r="P310" i="2"/>
  <c r="N310" i="2" s="1"/>
  <c r="L311" i="2"/>
  <c r="O311" i="2"/>
  <c r="M311" i="2" s="1"/>
  <c r="P311" i="2"/>
  <c r="N311" i="2" s="1"/>
  <c r="L312" i="2"/>
  <c r="O312" i="2"/>
  <c r="M312" i="2" s="1"/>
  <c r="P312" i="2"/>
  <c r="N312" i="2" s="1"/>
  <c r="L313" i="2"/>
  <c r="O313" i="2"/>
  <c r="M313" i="2" s="1"/>
  <c r="P313" i="2"/>
  <c r="N313" i="2" s="1"/>
  <c r="L314" i="2"/>
  <c r="O314" i="2"/>
  <c r="M314" i="2" s="1"/>
  <c r="P314" i="2"/>
  <c r="N314" i="2" s="1"/>
  <c r="L315" i="2"/>
  <c r="O315" i="2"/>
  <c r="M315" i="2" s="1"/>
  <c r="P315" i="2"/>
  <c r="N315" i="2" s="1"/>
  <c r="L316" i="2"/>
  <c r="O316" i="2"/>
  <c r="M316" i="2" s="1"/>
  <c r="P316" i="2"/>
  <c r="N316" i="2" s="1"/>
  <c r="L317" i="2"/>
  <c r="O317" i="2"/>
  <c r="M317" i="2" s="1"/>
  <c r="P317" i="2"/>
  <c r="N317" i="2" s="1"/>
  <c r="L318" i="2"/>
  <c r="O318" i="2"/>
  <c r="M318" i="2" s="1"/>
  <c r="P318" i="2"/>
  <c r="N318" i="2" s="1"/>
  <c r="L319" i="2"/>
  <c r="O319" i="2"/>
  <c r="M319" i="2" s="1"/>
  <c r="P319" i="2"/>
  <c r="N319" i="2" s="1"/>
  <c r="L320" i="2"/>
  <c r="O320" i="2"/>
  <c r="M320" i="2" s="1"/>
  <c r="P320" i="2"/>
  <c r="N320" i="2" s="1"/>
  <c r="L321" i="2"/>
  <c r="O321" i="2"/>
  <c r="M321" i="2" s="1"/>
  <c r="P321" i="2"/>
  <c r="N321" i="2" s="1"/>
  <c r="L322" i="2"/>
  <c r="O322" i="2"/>
  <c r="M322" i="2" s="1"/>
  <c r="P322" i="2"/>
  <c r="N322" i="2" s="1"/>
  <c r="L323" i="2"/>
  <c r="O323" i="2"/>
  <c r="M323" i="2" s="1"/>
  <c r="P323" i="2"/>
  <c r="N323" i="2" s="1"/>
  <c r="L324" i="2"/>
  <c r="O324" i="2"/>
  <c r="M324" i="2" s="1"/>
  <c r="P324" i="2"/>
  <c r="N324" i="2" s="1"/>
  <c r="L325" i="2"/>
  <c r="O325" i="2"/>
  <c r="M325" i="2" s="1"/>
  <c r="P325" i="2"/>
  <c r="N325" i="2" s="1"/>
  <c r="L326" i="2"/>
  <c r="O326" i="2"/>
  <c r="M326" i="2" s="1"/>
  <c r="P326" i="2"/>
  <c r="N326" i="2" s="1"/>
  <c r="L327" i="2"/>
  <c r="O327" i="2"/>
  <c r="M327" i="2" s="1"/>
  <c r="P327" i="2"/>
  <c r="N327" i="2" s="1"/>
  <c r="L328" i="2"/>
  <c r="O328" i="2"/>
  <c r="M328" i="2" s="1"/>
  <c r="P328" i="2"/>
  <c r="N328" i="2" s="1"/>
  <c r="L329" i="2"/>
  <c r="O329" i="2"/>
  <c r="M329" i="2" s="1"/>
  <c r="P329" i="2"/>
  <c r="N329" i="2" s="1"/>
  <c r="L330" i="2"/>
  <c r="O330" i="2"/>
  <c r="M330" i="2" s="1"/>
  <c r="P330" i="2"/>
  <c r="N330" i="2" s="1"/>
  <c r="L331" i="2"/>
  <c r="O331" i="2"/>
  <c r="M331" i="2" s="1"/>
  <c r="P331" i="2"/>
  <c r="N331" i="2" s="1"/>
  <c r="L332" i="2"/>
  <c r="O332" i="2"/>
  <c r="M332" i="2" s="1"/>
  <c r="P332" i="2"/>
  <c r="N332" i="2" s="1"/>
  <c r="L333" i="2"/>
  <c r="O333" i="2"/>
  <c r="M333" i="2" s="1"/>
  <c r="P333" i="2"/>
  <c r="N333" i="2" s="1"/>
  <c r="L334" i="2"/>
  <c r="O334" i="2"/>
  <c r="M334" i="2" s="1"/>
  <c r="P334" i="2"/>
  <c r="N334" i="2" s="1"/>
  <c r="L335" i="2"/>
  <c r="O335" i="2"/>
  <c r="M335" i="2" s="1"/>
  <c r="P335" i="2"/>
  <c r="N335" i="2" s="1"/>
  <c r="L336" i="2"/>
  <c r="O336" i="2"/>
  <c r="M336" i="2" s="1"/>
  <c r="P336" i="2"/>
  <c r="N336" i="2" s="1"/>
  <c r="L337" i="2"/>
  <c r="O337" i="2"/>
  <c r="M337" i="2" s="1"/>
  <c r="P337" i="2"/>
  <c r="N337" i="2" s="1"/>
  <c r="L338" i="2"/>
  <c r="O338" i="2"/>
  <c r="M338" i="2" s="1"/>
  <c r="P338" i="2"/>
  <c r="N338" i="2" s="1"/>
  <c r="L339" i="2"/>
  <c r="O339" i="2"/>
  <c r="M339" i="2" s="1"/>
  <c r="P339" i="2"/>
  <c r="N339" i="2" s="1"/>
  <c r="L340" i="2"/>
  <c r="O340" i="2"/>
  <c r="M340" i="2" s="1"/>
  <c r="P340" i="2"/>
  <c r="N340" i="2" s="1"/>
  <c r="L341" i="2"/>
  <c r="O341" i="2"/>
  <c r="M341" i="2" s="1"/>
  <c r="P341" i="2"/>
  <c r="N341" i="2" s="1"/>
  <c r="L342" i="2"/>
  <c r="O342" i="2"/>
  <c r="M342" i="2" s="1"/>
  <c r="P342" i="2"/>
  <c r="N342" i="2" s="1"/>
  <c r="L343" i="2"/>
  <c r="O343" i="2"/>
  <c r="M343" i="2" s="1"/>
  <c r="P343" i="2"/>
  <c r="N343" i="2" s="1"/>
  <c r="L344" i="2"/>
  <c r="O344" i="2"/>
  <c r="M344" i="2" s="1"/>
  <c r="P344" i="2"/>
  <c r="N344" i="2" s="1"/>
  <c r="L345" i="2"/>
  <c r="O345" i="2"/>
  <c r="M345" i="2" s="1"/>
  <c r="P345" i="2"/>
  <c r="N345" i="2" s="1"/>
  <c r="L346" i="2"/>
  <c r="O346" i="2"/>
  <c r="M346" i="2" s="1"/>
  <c r="P346" i="2"/>
  <c r="N346" i="2" s="1"/>
  <c r="L347" i="2"/>
  <c r="O347" i="2"/>
  <c r="M347" i="2" s="1"/>
  <c r="P347" i="2"/>
  <c r="N347" i="2" s="1"/>
  <c r="L348" i="2"/>
  <c r="O348" i="2"/>
  <c r="M348" i="2" s="1"/>
  <c r="P348" i="2"/>
  <c r="N348" i="2" s="1"/>
  <c r="L84" i="2"/>
  <c r="O84" i="2"/>
  <c r="M84" i="2" s="1"/>
  <c r="P84" i="2"/>
  <c r="N84" i="2" s="1"/>
  <c r="L85" i="2"/>
  <c r="O85" i="2"/>
  <c r="M85" i="2" s="1"/>
  <c r="P85" i="2"/>
  <c r="N85" i="2" s="1"/>
  <c r="L86" i="2"/>
  <c r="U86" i="2" s="1"/>
  <c r="O86" i="2"/>
  <c r="M86" i="2" s="1"/>
  <c r="P86" i="2"/>
  <c r="N86" i="2" s="1"/>
  <c r="L87" i="2"/>
  <c r="O87" i="2"/>
  <c r="M87" i="2" s="1"/>
  <c r="P87" i="2"/>
  <c r="N87" i="2" s="1"/>
  <c r="L88" i="2"/>
  <c r="U88" i="2" s="1"/>
  <c r="O88" i="2"/>
  <c r="M88" i="2" s="1"/>
  <c r="P88" i="2"/>
  <c r="N88" i="2" s="1"/>
  <c r="L89" i="2"/>
  <c r="O89" i="2"/>
  <c r="M89" i="2" s="1"/>
  <c r="P89" i="2"/>
  <c r="N89" i="2" s="1"/>
  <c r="L90" i="2"/>
  <c r="U90" i="2" s="1"/>
  <c r="O90" i="2"/>
  <c r="M90" i="2" s="1"/>
  <c r="P90" i="2"/>
  <c r="N90" i="2" s="1"/>
  <c r="L91" i="2"/>
  <c r="O91" i="2"/>
  <c r="M91" i="2" s="1"/>
  <c r="P91" i="2"/>
  <c r="N91" i="2" s="1"/>
  <c r="L92" i="2"/>
  <c r="U92" i="2" s="1"/>
  <c r="O92" i="2"/>
  <c r="M92" i="2" s="1"/>
  <c r="P92" i="2"/>
  <c r="N92" i="2" s="1"/>
  <c r="L93" i="2"/>
  <c r="O93" i="2"/>
  <c r="M93" i="2" s="1"/>
  <c r="P93" i="2"/>
  <c r="N93" i="2" s="1"/>
  <c r="L94" i="2"/>
  <c r="U94" i="2" s="1"/>
  <c r="O94" i="2"/>
  <c r="M94" i="2" s="1"/>
  <c r="P94" i="2"/>
  <c r="N94" i="2" s="1"/>
  <c r="L95" i="2"/>
  <c r="O95" i="2"/>
  <c r="M95" i="2" s="1"/>
  <c r="P95" i="2"/>
  <c r="N95" i="2" s="1"/>
  <c r="L96" i="2"/>
  <c r="O96" i="2"/>
  <c r="M96" i="2" s="1"/>
  <c r="P96" i="2"/>
  <c r="N96" i="2" s="1"/>
  <c r="L97" i="2"/>
  <c r="O97" i="2"/>
  <c r="M97" i="2" s="1"/>
  <c r="P97" i="2"/>
  <c r="N97" i="2" s="1"/>
  <c r="L98" i="2"/>
  <c r="O98" i="2"/>
  <c r="M98" i="2" s="1"/>
  <c r="P98" i="2"/>
  <c r="N98" i="2" s="1"/>
  <c r="L99" i="2"/>
  <c r="O99" i="2"/>
  <c r="M99" i="2" s="1"/>
  <c r="P99" i="2"/>
  <c r="N99" i="2" s="1"/>
  <c r="L100" i="2"/>
  <c r="O100" i="2"/>
  <c r="M100" i="2" s="1"/>
  <c r="P100" i="2"/>
  <c r="N100" i="2" s="1"/>
  <c r="L101" i="2"/>
  <c r="O101" i="2"/>
  <c r="M101" i="2" s="1"/>
  <c r="P101" i="2"/>
  <c r="N101" i="2" s="1"/>
  <c r="L102" i="2"/>
  <c r="O102" i="2"/>
  <c r="M102" i="2" s="1"/>
  <c r="P102" i="2"/>
  <c r="N102" i="2" s="1"/>
  <c r="L103" i="2"/>
  <c r="O103" i="2"/>
  <c r="M103" i="2" s="1"/>
  <c r="P103" i="2"/>
  <c r="N103" i="2" s="1"/>
  <c r="L104" i="2"/>
  <c r="O104" i="2"/>
  <c r="M104" i="2" s="1"/>
  <c r="P104" i="2"/>
  <c r="N104" i="2" s="1"/>
  <c r="L105" i="2"/>
  <c r="O105" i="2"/>
  <c r="M105" i="2" s="1"/>
  <c r="P105" i="2"/>
  <c r="N105" i="2" s="1"/>
  <c r="L106" i="2"/>
  <c r="U106" i="2" s="1"/>
  <c r="O106" i="2"/>
  <c r="M106" i="2" s="1"/>
  <c r="P106" i="2"/>
  <c r="N106" i="2" s="1"/>
  <c r="L107" i="2"/>
  <c r="O107" i="2"/>
  <c r="M107" i="2" s="1"/>
  <c r="P107" i="2"/>
  <c r="N107" i="2" s="1"/>
  <c r="L108" i="2"/>
  <c r="O108" i="2"/>
  <c r="M108" i="2" s="1"/>
  <c r="P108" i="2"/>
  <c r="N108" i="2" s="1"/>
  <c r="L109" i="2"/>
  <c r="O109" i="2"/>
  <c r="M109" i="2" s="1"/>
  <c r="P109" i="2"/>
  <c r="N109" i="2" s="1"/>
  <c r="L110" i="2"/>
  <c r="O110" i="2"/>
  <c r="M110" i="2" s="1"/>
  <c r="P110" i="2"/>
  <c r="N110" i="2" s="1"/>
  <c r="L111" i="2"/>
  <c r="O111" i="2"/>
  <c r="M111" i="2" s="1"/>
  <c r="P111" i="2"/>
  <c r="N111" i="2" s="1"/>
  <c r="L112" i="2"/>
  <c r="U112" i="2" s="1"/>
  <c r="O112" i="2"/>
  <c r="M112" i="2" s="1"/>
  <c r="P112" i="2"/>
  <c r="N112" i="2" s="1"/>
  <c r="L113" i="2"/>
  <c r="O113" i="2"/>
  <c r="M113" i="2" s="1"/>
  <c r="P113" i="2"/>
  <c r="N113" i="2" s="1"/>
  <c r="L114" i="2"/>
  <c r="O114" i="2"/>
  <c r="M114" i="2" s="1"/>
  <c r="P114" i="2"/>
  <c r="N114" i="2" s="1"/>
  <c r="L115" i="2"/>
  <c r="O115" i="2"/>
  <c r="M115" i="2" s="1"/>
  <c r="P115" i="2"/>
  <c r="N115" i="2" s="1"/>
  <c r="L116" i="2"/>
  <c r="O116" i="2"/>
  <c r="M116" i="2" s="1"/>
  <c r="P116" i="2"/>
  <c r="N116" i="2" s="1"/>
  <c r="L117" i="2"/>
  <c r="O117" i="2"/>
  <c r="M117" i="2" s="1"/>
  <c r="P117" i="2"/>
  <c r="N117" i="2" s="1"/>
  <c r="L118" i="2"/>
  <c r="U118" i="2" s="1"/>
  <c r="O118" i="2"/>
  <c r="M118" i="2" s="1"/>
  <c r="P118" i="2"/>
  <c r="N118" i="2" s="1"/>
  <c r="L119" i="2"/>
  <c r="O119" i="2"/>
  <c r="M119" i="2" s="1"/>
  <c r="P119" i="2"/>
  <c r="N119" i="2" s="1"/>
  <c r="L120" i="2"/>
  <c r="U120" i="2" s="1"/>
  <c r="O120" i="2"/>
  <c r="M120" i="2" s="1"/>
  <c r="P120" i="2"/>
  <c r="N120" i="2" s="1"/>
  <c r="L121" i="2"/>
  <c r="O121" i="2"/>
  <c r="M121" i="2" s="1"/>
  <c r="P121" i="2"/>
  <c r="N121" i="2" s="1"/>
  <c r="L122" i="2"/>
  <c r="O122" i="2"/>
  <c r="M122" i="2" s="1"/>
  <c r="P122" i="2"/>
  <c r="N122" i="2" s="1"/>
  <c r="L123" i="2"/>
  <c r="O123" i="2"/>
  <c r="M123" i="2" s="1"/>
  <c r="P123" i="2"/>
  <c r="N123" i="2" s="1"/>
  <c r="L124" i="2"/>
  <c r="O124" i="2"/>
  <c r="M124" i="2" s="1"/>
  <c r="P124" i="2"/>
  <c r="N124" i="2" s="1"/>
  <c r="L125" i="2"/>
  <c r="O125" i="2"/>
  <c r="M125" i="2" s="1"/>
  <c r="P125" i="2"/>
  <c r="N125" i="2" s="1"/>
  <c r="L126" i="2"/>
  <c r="O126" i="2"/>
  <c r="M126" i="2" s="1"/>
  <c r="P126" i="2"/>
  <c r="N126" i="2" s="1"/>
  <c r="L127" i="2"/>
  <c r="O127" i="2"/>
  <c r="M127" i="2" s="1"/>
  <c r="P127" i="2"/>
  <c r="N127" i="2" s="1"/>
  <c r="L128" i="2"/>
  <c r="O128" i="2"/>
  <c r="M128" i="2" s="1"/>
  <c r="P128" i="2"/>
  <c r="N128" i="2" s="1"/>
  <c r="L129" i="2"/>
  <c r="O129" i="2"/>
  <c r="M129" i="2" s="1"/>
  <c r="P129" i="2"/>
  <c r="N129" i="2" s="1"/>
  <c r="L130" i="2"/>
  <c r="O130" i="2"/>
  <c r="M130" i="2" s="1"/>
  <c r="P130" i="2"/>
  <c r="N130" i="2" s="1"/>
  <c r="L131" i="2"/>
  <c r="O131" i="2"/>
  <c r="M131" i="2" s="1"/>
  <c r="P131" i="2"/>
  <c r="N131" i="2" s="1"/>
  <c r="L132" i="2"/>
  <c r="O132" i="2"/>
  <c r="M132" i="2" s="1"/>
  <c r="P132" i="2"/>
  <c r="N132" i="2" s="1"/>
  <c r="L133" i="2"/>
  <c r="O133" i="2"/>
  <c r="M133" i="2" s="1"/>
  <c r="P133" i="2"/>
  <c r="N133" i="2" s="1"/>
  <c r="L134" i="2"/>
  <c r="O134" i="2"/>
  <c r="M134" i="2" s="1"/>
  <c r="P134" i="2"/>
  <c r="N134" i="2" s="1"/>
  <c r="L135" i="2"/>
  <c r="O135" i="2"/>
  <c r="M135" i="2" s="1"/>
  <c r="P135" i="2"/>
  <c r="N135" i="2" s="1"/>
  <c r="L136" i="2"/>
  <c r="O136" i="2"/>
  <c r="M136" i="2" s="1"/>
  <c r="P136" i="2"/>
  <c r="N136" i="2" s="1"/>
  <c r="L137" i="2"/>
  <c r="O137" i="2"/>
  <c r="M137" i="2" s="1"/>
  <c r="P137" i="2"/>
  <c r="N137" i="2" s="1"/>
  <c r="L138" i="2"/>
  <c r="O138" i="2"/>
  <c r="M138" i="2" s="1"/>
  <c r="P138" i="2"/>
  <c r="N138" i="2" s="1"/>
  <c r="L139" i="2"/>
  <c r="O139" i="2"/>
  <c r="M139" i="2" s="1"/>
  <c r="P139" i="2"/>
  <c r="N139" i="2" s="1"/>
  <c r="L140" i="2"/>
  <c r="O140" i="2"/>
  <c r="M140" i="2" s="1"/>
  <c r="P140" i="2"/>
  <c r="N140" i="2" s="1"/>
  <c r="L141" i="2"/>
  <c r="O141" i="2"/>
  <c r="M141" i="2" s="1"/>
  <c r="P141" i="2"/>
  <c r="N141" i="2" s="1"/>
  <c r="L142" i="2"/>
  <c r="O142" i="2"/>
  <c r="M142" i="2" s="1"/>
  <c r="P142" i="2"/>
  <c r="N142" i="2" s="1"/>
  <c r="L143" i="2"/>
  <c r="O143" i="2"/>
  <c r="M143" i="2" s="1"/>
  <c r="P143" i="2"/>
  <c r="N143" i="2" s="1"/>
  <c r="L144" i="2"/>
  <c r="O144" i="2"/>
  <c r="M144" i="2" s="1"/>
  <c r="P144" i="2"/>
  <c r="N144" i="2" s="1"/>
  <c r="L145" i="2"/>
  <c r="O145" i="2"/>
  <c r="M145" i="2" s="1"/>
  <c r="P145" i="2"/>
  <c r="N145" i="2" s="1"/>
  <c r="L146" i="2"/>
  <c r="O146" i="2"/>
  <c r="M146" i="2" s="1"/>
  <c r="P146" i="2"/>
  <c r="N146" i="2" s="1"/>
  <c r="L147" i="2"/>
  <c r="O147" i="2"/>
  <c r="M147" i="2" s="1"/>
  <c r="P147" i="2"/>
  <c r="N147" i="2" s="1"/>
  <c r="L148" i="2"/>
  <c r="O148" i="2"/>
  <c r="M148" i="2" s="1"/>
  <c r="P148" i="2"/>
  <c r="N148" i="2" s="1"/>
  <c r="L149" i="2"/>
  <c r="O149" i="2"/>
  <c r="M149" i="2" s="1"/>
  <c r="P149" i="2"/>
  <c r="N149" i="2" s="1"/>
  <c r="L150" i="2"/>
  <c r="O150" i="2"/>
  <c r="M150" i="2" s="1"/>
  <c r="P150" i="2"/>
  <c r="N150" i="2" s="1"/>
  <c r="L151" i="2"/>
  <c r="O151" i="2"/>
  <c r="M151" i="2" s="1"/>
  <c r="P151" i="2"/>
  <c r="N151" i="2" s="1"/>
  <c r="L152" i="2"/>
  <c r="O152" i="2"/>
  <c r="M152" i="2" s="1"/>
  <c r="P152" i="2"/>
  <c r="N152" i="2" s="1"/>
  <c r="L153" i="2"/>
  <c r="O153" i="2"/>
  <c r="M153" i="2" s="1"/>
  <c r="P153" i="2"/>
  <c r="N153" i="2" s="1"/>
  <c r="L154" i="2"/>
  <c r="U154" i="2" s="1"/>
  <c r="O154" i="2"/>
  <c r="M154" i="2" s="1"/>
  <c r="P154" i="2"/>
  <c r="N154" i="2" s="1"/>
  <c r="L155" i="2"/>
  <c r="O155" i="2"/>
  <c r="M155" i="2" s="1"/>
  <c r="P155" i="2"/>
  <c r="N155" i="2" s="1"/>
  <c r="L156" i="2"/>
  <c r="O156" i="2"/>
  <c r="M156" i="2" s="1"/>
  <c r="P156" i="2"/>
  <c r="N156" i="2" s="1"/>
  <c r="L157" i="2"/>
  <c r="O157" i="2"/>
  <c r="M157" i="2" s="1"/>
  <c r="P157" i="2"/>
  <c r="N157" i="2" s="1"/>
  <c r="L158" i="2"/>
  <c r="U158" i="2" s="1"/>
  <c r="O158" i="2"/>
  <c r="M158" i="2" s="1"/>
  <c r="P158" i="2"/>
  <c r="N158" i="2" s="1"/>
  <c r="L159" i="2"/>
  <c r="O159" i="2"/>
  <c r="M159" i="2" s="1"/>
  <c r="P159" i="2"/>
  <c r="N159" i="2" s="1"/>
  <c r="L160" i="2"/>
  <c r="O160" i="2"/>
  <c r="M160" i="2" s="1"/>
  <c r="P160" i="2"/>
  <c r="N160" i="2" s="1"/>
  <c r="L161" i="2"/>
  <c r="O161" i="2"/>
  <c r="M161" i="2" s="1"/>
  <c r="P161" i="2"/>
  <c r="N161" i="2" s="1"/>
  <c r="L162" i="2"/>
  <c r="U162" i="2" s="1"/>
  <c r="O162" i="2"/>
  <c r="M162" i="2" s="1"/>
  <c r="P162" i="2"/>
  <c r="N162" i="2" s="1"/>
  <c r="L163" i="2"/>
  <c r="O163" i="2"/>
  <c r="M163" i="2" s="1"/>
  <c r="P163" i="2"/>
  <c r="N163" i="2" s="1"/>
  <c r="L164" i="2"/>
  <c r="O164" i="2"/>
  <c r="M164" i="2" s="1"/>
  <c r="P164" i="2"/>
  <c r="N164" i="2" s="1"/>
  <c r="L165" i="2"/>
  <c r="O165" i="2"/>
  <c r="M165" i="2" s="1"/>
  <c r="P165" i="2"/>
  <c r="N165" i="2" s="1"/>
  <c r="L166" i="2"/>
  <c r="O166" i="2"/>
  <c r="M166" i="2" s="1"/>
  <c r="P166" i="2"/>
  <c r="N166" i="2" s="1"/>
  <c r="L167" i="2"/>
  <c r="O167" i="2"/>
  <c r="M167" i="2" s="1"/>
  <c r="P167" i="2"/>
  <c r="N167" i="2" s="1"/>
  <c r="L168" i="2"/>
  <c r="O168" i="2"/>
  <c r="M168" i="2" s="1"/>
  <c r="P168" i="2"/>
  <c r="N168" i="2" s="1"/>
  <c r="L169" i="2"/>
  <c r="O169" i="2"/>
  <c r="M169" i="2" s="1"/>
  <c r="P169" i="2"/>
  <c r="N169" i="2" s="1"/>
  <c r="L170" i="2"/>
  <c r="O170" i="2"/>
  <c r="M170" i="2" s="1"/>
  <c r="P170" i="2"/>
  <c r="N170" i="2" s="1"/>
  <c r="L171" i="2"/>
  <c r="O171" i="2"/>
  <c r="M171" i="2" s="1"/>
  <c r="P171" i="2"/>
  <c r="N171" i="2" s="1"/>
  <c r="L172" i="2"/>
  <c r="O172" i="2"/>
  <c r="M172" i="2" s="1"/>
  <c r="P172" i="2"/>
  <c r="N172" i="2" s="1"/>
  <c r="L173" i="2"/>
  <c r="O173" i="2"/>
  <c r="M173" i="2" s="1"/>
  <c r="P173" i="2"/>
  <c r="N173" i="2" s="1"/>
  <c r="L174" i="2"/>
  <c r="O174" i="2"/>
  <c r="M174" i="2" s="1"/>
  <c r="P174" i="2"/>
  <c r="N174" i="2" s="1"/>
  <c r="L175" i="2"/>
  <c r="O175" i="2"/>
  <c r="M175" i="2" s="1"/>
  <c r="P175" i="2"/>
  <c r="N175" i="2" s="1"/>
  <c r="L176" i="2"/>
  <c r="O176" i="2"/>
  <c r="M176" i="2" s="1"/>
  <c r="P176" i="2"/>
  <c r="N176" i="2" s="1"/>
  <c r="L362" i="2"/>
  <c r="U362" i="2" s="1"/>
  <c r="O362" i="2"/>
  <c r="M362" i="2" s="1"/>
  <c r="P362" i="2"/>
  <c r="N362" i="2" s="1"/>
  <c r="L363" i="2"/>
  <c r="O363" i="2"/>
  <c r="M363" i="2" s="1"/>
  <c r="P363" i="2"/>
  <c r="N363" i="2" s="1"/>
  <c r="L364" i="2"/>
  <c r="O364" i="2"/>
  <c r="M364" i="2" s="1"/>
  <c r="P364" i="2"/>
  <c r="N364" i="2" s="1"/>
  <c r="L365" i="2"/>
  <c r="O365" i="2"/>
  <c r="M365" i="2" s="1"/>
  <c r="P365" i="2"/>
  <c r="N365" i="2" s="1"/>
  <c r="L366" i="2"/>
  <c r="O366" i="2"/>
  <c r="M366" i="2" s="1"/>
  <c r="P366" i="2"/>
  <c r="N366" i="2" s="1"/>
  <c r="L367" i="2"/>
  <c r="O367" i="2"/>
  <c r="M367" i="2" s="1"/>
  <c r="P367" i="2"/>
  <c r="N367" i="2" s="1"/>
  <c r="L368" i="2"/>
  <c r="U368" i="2" s="1"/>
  <c r="O368" i="2"/>
  <c r="M368" i="2" s="1"/>
  <c r="P368" i="2"/>
  <c r="N368" i="2" s="1"/>
  <c r="L369" i="2"/>
  <c r="O369" i="2"/>
  <c r="M369" i="2" s="1"/>
  <c r="P369" i="2"/>
  <c r="N369" i="2" s="1"/>
  <c r="L370" i="2"/>
  <c r="O370" i="2"/>
  <c r="M370" i="2" s="1"/>
  <c r="P370" i="2"/>
  <c r="N370" i="2" s="1"/>
  <c r="L371" i="2"/>
  <c r="O371" i="2"/>
  <c r="M371" i="2" s="1"/>
  <c r="P371" i="2"/>
  <c r="N371" i="2" s="1"/>
  <c r="L372" i="2"/>
  <c r="O372" i="2"/>
  <c r="M372" i="2" s="1"/>
  <c r="P372" i="2"/>
  <c r="N372" i="2" s="1"/>
  <c r="L373" i="2"/>
  <c r="O373" i="2"/>
  <c r="M373" i="2" s="1"/>
  <c r="P373" i="2"/>
  <c r="N373" i="2" s="1"/>
  <c r="L374" i="2"/>
  <c r="O374" i="2"/>
  <c r="M374" i="2" s="1"/>
  <c r="P374" i="2"/>
  <c r="N374" i="2" s="1"/>
  <c r="L375" i="2"/>
  <c r="O375" i="2"/>
  <c r="M375" i="2" s="1"/>
  <c r="P375" i="2"/>
  <c r="N375" i="2" s="1"/>
  <c r="L376" i="2"/>
  <c r="O376" i="2"/>
  <c r="M376" i="2" s="1"/>
  <c r="P376" i="2"/>
  <c r="N376" i="2" s="1"/>
  <c r="L377" i="2"/>
  <c r="O377" i="2"/>
  <c r="M377" i="2" s="1"/>
  <c r="P377" i="2"/>
  <c r="N377" i="2" s="1"/>
  <c r="L378" i="2"/>
  <c r="U378" i="2" s="1"/>
  <c r="O378" i="2"/>
  <c r="M378" i="2" s="1"/>
  <c r="P378" i="2"/>
  <c r="N378" i="2" s="1"/>
  <c r="L379" i="2"/>
  <c r="O379" i="2"/>
  <c r="M379" i="2" s="1"/>
  <c r="P379" i="2"/>
  <c r="N379" i="2" s="1"/>
  <c r="L380" i="2"/>
  <c r="O380" i="2"/>
  <c r="M380" i="2" s="1"/>
  <c r="P380" i="2"/>
  <c r="N380" i="2" s="1"/>
  <c r="L381" i="2"/>
  <c r="O381" i="2"/>
  <c r="M381" i="2" s="1"/>
  <c r="P381" i="2"/>
  <c r="N381" i="2" s="1"/>
  <c r="L382" i="2"/>
  <c r="O382" i="2"/>
  <c r="M382" i="2" s="1"/>
  <c r="P382" i="2"/>
  <c r="N382" i="2" s="1"/>
  <c r="L383" i="2"/>
  <c r="O383" i="2"/>
  <c r="M383" i="2" s="1"/>
  <c r="P383" i="2"/>
  <c r="N383" i="2" s="1"/>
  <c r="L384" i="2"/>
  <c r="U384" i="2" s="1"/>
  <c r="O384" i="2"/>
  <c r="M384" i="2" s="1"/>
  <c r="P384" i="2"/>
  <c r="N384" i="2" s="1"/>
  <c r="L385" i="2"/>
  <c r="O385" i="2"/>
  <c r="M385" i="2" s="1"/>
  <c r="P385" i="2"/>
  <c r="N385" i="2" s="1"/>
  <c r="L386" i="2"/>
  <c r="O386" i="2"/>
  <c r="M386" i="2" s="1"/>
  <c r="P386" i="2"/>
  <c r="N386" i="2" s="1"/>
  <c r="L387" i="2"/>
  <c r="O387" i="2"/>
  <c r="M387" i="2" s="1"/>
  <c r="P387" i="2"/>
  <c r="N387" i="2" s="1"/>
  <c r="L388" i="2"/>
  <c r="U388" i="2" s="1"/>
  <c r="O388" i="2"/>
  <c r="M388" i="2" s="1"/>
  <c r="P388" i="2"/>
  <c r="N388" i="2" s="1"/>
  <c r="L389" i="2"/>
  <c r="O389" i="2"/>
  <c r="M389" i="2" s="1"/>
  <c r="P389" i="2"/>
  <c r="N389" i="2" s="1"/>
  <c r="L390" i="2"/>
  <c r="O390" i="2"/>
  <c r="M390" i="2" s="1"/>
  <c r="P390" i="2"/>
  <c r="N390" i="2" s="1"/>
  <c r="L391" i="2"/>
  <c r="O391" i="2"/>
  <c r="M391" i="2" s="1"/>
  <c r="P391" i="2"/>
  <c r="N391" i="2" s="1"/>
  <c r="L392" i="2"/>
  <c r="O392" i="2"/>
  <c r="M392" i="2" s="1"/>
  <c r="P392" i="2"/>
  <c r="N392" i="2" s="1"/>
  <c r="L393" i="2"/>
  <c r="O393" i="2"/>
  <c r="M393" i="2" s="1"/>
  <c r="P393" i="2"/>
  <c r="N393" i="2" s="1"/>
  <c r="L394" i="2"/>
  <c r="O394" i="2"/>
  <c r="M394" i="2" s="1"/>
  <c r="P394" i="2"/>
  <c r="N394" i="2" s="1"/>
  <c r="L395" i="2"/>
  <c r="O395" i="2"/>
  <c r="M395" i="2" s="1"/>
  <c r="P395" i="2"/>
  <c r="N395" i="2" s="1"/>
  <c r="L396" i="2"/>
  <c r="O396" i="2"/>
  <c r="M396" i="2" s="1"/>
  <c r="P396" i="2"/>
  <c r="N396" i="2" s="1"/>
  <c r="L397" i="2"/>
  <c r="O397" i="2"/>
  <c r="M397" i="2" s="1"/>
  <c r="P397" i="2"/>
  <c r="N397" i="2" s="1"/>
  <c r="L398" i="2"/>
  <c r="U398" i="2" s="1"/>
  <c r="O398" i="2"/>
  <c r="M398" i="2" s="1"/>
  <c r="P398" i="2"/>
  <c r="N398" i="2" s="1"/>
  <c r="L399" i="2"/>
  <c r="O399" i="2"/>
  <c r="M399" i="2" s="1"/>
  <c r="P399" i="2"/>
  <c r="N399" i="2" s="1"/>
  <c r="L400" i="2"/>
  <c r="O400" i="2"/>
  <c r="M400" i="2" s="1"/>
  <c r="P400" i="2"/>
  <c r="N400" i="2" s="1"/>
  <c r="L401" i="2"/>
  <c r="O401" i="2"/>
  <c r="M401" i="2" s="1"/>
  <c r="P401" i="2"/>
  <c r="N401" i="2" s="1"/>
  <c r="L402" i="2"/>
  <c r="O402" i="2"/>
  <c r="M402" i="2" s="1"/>
  <c r="P402" i="2"/>
  <c r="N402" i="2" s="1"/>
  <c r="L403" i="2"/>
  <c r="O403" i="2"/>
  <c r="M403" i="2" s="1"/>
  <c r="P403" i="2"/>
  <c r="N403" i="2" s="1"/>
  <c r="L404" i="2"/>
  <c r="U404" i="2" s="1"/>
  <c r="O404" i="2"/>
  <c r="M404" i="2" s="1"/>
  <c r="P404" i="2"/>
  <c r="N404" i="2" s="1"/>
  <c r="L405" i="2"/>
  <c r="O405" i="2"/>
  <c r="M405" i="2" s="1"/>
  <c r="P405" i="2"/>
  <c r="N405" i="2" s="1"/>
  <c r="L406" i="2"/>
  <c r="O406" i="2"/>
  <c r="M406" i="2" s="1"/>
  <c r="P406" i="2"/>
  <c r="N406" i="2" s="1"/>
  <c r="L407" i="2"/>
  <c r="O407" i="2"/>
  <c r="M407" i="2" s="1"/>
  <c r="P407" i="2"/>
  <c r="N407" i="2" s="1"/>
  <c r="L408" i="2"/>
  <c r="O408" i="2"/>
  <c r="M408" i="2" s="1"/>
  <c r="P408" i="2"/>
  <c r="N408" i="2" s="1"/>
  <c r="L409" i="2"/>
  <c r="O409" i="2"/>
  <c r="M409" i="2" s="1"/>
  <c r="P409" i="2"/>
  <c r="N409" i="2" s="1"/>
  <c r="L410" i="2"/>
  <c r="O410" i="2"/>
  <c r="M410" i="2" s="1"/>
  <c r="P410" i="2"/>
  <c r="N410" i="2" s="1"/>
  <c r="L411" i="2"/>
  <c r="O411" i="2"/>
  <c r="M411" i="2" s="1"/>
  <c r="P411" i="2"/>
  <c r="N411" i="2" s="1"/>
  <c r="L412" i="2"/>
  <c r="U412" i="2" s="1"/>
  <c r="O412" i="2"/>
  <c r="M412" i="2" s="1"/>
  <c r="P412" i="2"/>
  <c r="N412" i="2" s="1"/>
  <c r="L413" i="2"/>
  <c r="O413" i="2"/>
  <c r="M413" i="2" s="1"/>
  <c r="P413" i="2"/>
  <c r="N413" i="2" s="1"/>
  <c r="L414" i="2"/>
  <c r="O414" i="2"/>
  <c r="M414" i="2" s="1"/>
  <c r="P414" i="2"/>
  <c r="N414" i="2" s="1"/>
  <c r="L415" i="2"/>
  <c r="O415" i="2"/>
  <c r="M415" i="2" s="1"/>
  <c r="P415" i="2"/>
  <c r="N415" i="2" s="1"/>
  <c r="L416" i="2"/>
  <c r="U416" i="2" s="1"/>
  <c r="O416" i="2"/>
  <c r="M416" i="2" s="1"/>
  <c r="P416" i="2"/>
  <c r="N416" i="2" s="1"/>
  <c r="L417" i="2"/>
  <c r="O417" i="2"/>
  <c r="M417" i="2" s="1"/>
  <c r="P417" i="2"/>
  <c r="N417" i="2" s="1"/>
  <c r="L418" i="2"/>
  <c r="U418" i="2" s="1"/>
  <c r="O418" i="2"/>
  <c r="M418" i="2" s="1"/>
  <c r="P418" i="2"/>
  <c r="N418" i="2" s="1"/>
  <c r="L419" i="2"/>
  <c r="O419" i="2"/>
  <c r="M419" i="2" s="1"/>
  <c r="P419" i="2"/>
  <c r="N419" i="2" s="1"/>
  <c r="L420" i="2"/>
  <c r="U420" i="2" s="1"/>
  <c r="O420" i="2"/>
  <c r="M420" i="2" s="1"/>
  <c r="P420" i="2"/>
  <c r="N420" i="2" s="1"/>
  <c r="L421" i="2"/>
  <c r="O421" i="2"/>
  <c r="M421" i="2" s="1"/>
  <c r="P421" i="2"/>
  <c r="N421" i="2" s="1"/>
  <c r="L422" i="2"/>
  <c r="U422" i="2" s="1"/>
  <c r="O422" i="2"/>
  <c r="M422" i="2" s="1"/>
  <c r="P422" i="2"/>
  <c r="N422" i="2" s="1"/>
  <c r="L423" i="2"/>
  <c r="O423" i="2"/>
  <c r="M423" i="2" s="1"/>
  <c r="P423" i="2"/>
  <c r="N423" i="2" s="1"/>
  <c r="L424" i="2"/>
  <c r="U424" i="2" s="1"/>
  <c r="O424" i="2"/>
  <c r="M424" i="2" s="1"/>
  <c r="P424" i="2"/>
  <c r="N424" i="2" s="1"/>
  <c r="L425" i="2"/>
  <c r="O425" i="2"/>
  <c r="M425" i="2" s="1"/>
  <c r="P425" i="2"/>
  <c r="N425" i="2" s="1"/>
  <c r="U219" i="2" l="1"/>
  <c r="U211" i="2"/>
  <c r="U199" i="2"/>
  <c r="U191" i="2"/>
  <c r="U187" i="2"/>
  <c r="U156" i="2"/>
  <c r="U233" i="2"/>
  <c r="U221" i="2"/>
  <c r="U323" i="2"/>
  <c r="U303" i="2"/>
  <c r="U291" i="2"/>
  <c r="U267" i="2"/>
  <c r="U263" i="2"/>
  <c r="U259" i="2"/>
  <c r="U247" i="2"/>
  <c r="U64" i="2"/>
  <c r="U44" i="2"/>
  <c r="U36" i="2"/>
  <c r="U32" i="2"/>
  <c r="U24" i="2"/>
  <c r="U423" i="2"/>
  <c r="U419" i="2"/>
  <c r="U415" i="2"/>
  <c r="U407" i="2"/>
  <c r="U375" i="2"/>
  <c r="U363" i="2"/>
  <c r="U409" i="2"/>
  <c r="U401" i="2"/>
  <c r="U389" i="2"/>
  <c r="U377" i="2"/>
  <c r="U145" i="2"/>
  <c r="U101" i="2"/>
  <c r="U330" i="2"/>
  <c r="U310" i="2"/>
  <c r="U246" i="2"/>
  <c r="U242" i="2"/>
  <c r="U234" i="2"/>
  <c r="U222" i="2"/>
  <c r="U432" i="2"/>
  <c r="U43" i="2"/>
  <c r="U82" i="2"/>
  <c r="U66" i="2"/>
  <c r="U42" i="2"/>
  <c r="U163" i="2"/>
  <c r="U135" i="2"/>
  <c r="U127" i="2"/>
  <c r="U107" i="2"/>
  <c r="U228" i="2"/>
  <c r="U220" i="2"/>
  <c r="U188" i="2"/>
  <c r="U408" i="2"/>
  <c r="U380" i="2"/>
  <c r="U376" i="2"/>
  <c r="U110" i="2"/>
  <c r="U339" i="2"/>
  <c r="U315" i="2"/>
  <c r="U283" i="2"/>
  <c r="U72" i="2"/>
  <c r="U391" i="2"/>
  <c r="U387" i="2"/>
  <c r="U153" i="2"/>
  <c r="U141" i="2"/>
  <c r="U125" i="2"/>
  <c r="U105" i="2"/>
  <c r="U425" i="2"/>
  <c r="U417" i="2"/>
  <c r="U405" i="2"/>
  <c r="U373" i="2"/>
  <c r="U369" i="2"/>
  <c r="U316" i="2"/>
  <c r="U288" i="2"/>
  <c r="U216" i="2"/>
  <c r="U170" i="2"/>
  <c r="U146" i="2"/>
  <c r="U142" i="2"/>
  <c r="U138" i="2"/>
  <c r="U122" i="2"/>
  <c r="U114" i="2"/>
  <c r="U102" i="2"/>
  <c r="U207" i="2"/>
  <c r="U350" i="2"/>
  <c r="U433" i="2"/>
  <c r="U182" i="2"/>
  <c r="U56" i="2"/>
  <c r="U165" i="2"/>
  <c r="U421" i="2"/>
  <c r="U413" i="2"/>
  <c r="U397" i="2"/>
  <c r="U393" i="2"/>
  <c r="U385" i="2"/>
  <c r="U381" i="2"/>
  <c r="U365" i="2"/>
  <c r="U143" i="2"/>
  <c r="U311" i="2"/>
  <c r="U271" i="2"/>
  <c r="U48" i="2"/>
  <c r="U410" i="2"/>
  <c r="U394" i="2"/>
  <c r="U390" i="2"/>
  <c r="U171" i="2"/>
  <c r="U119" i="2"/>
  <c r="U91" i="2"/>
  <c r="U295" i="2"/>
  <c r="U275" i="2"/>
  <c r="U243" i="2"/>
  <c r="U223" i="2"/>
  <c r="U68" i="2"/>
  <c r="U367" i="2"/>
  <c r="U175" i="2"/>
  <c r="U155" i="2"/>
  <c r="U123" i="2"/>
  <c r="U99" i="2"/>
  <c r="U307" i="2"/>
  <c r="U255" i="2"/>
  <c r="U76" i="2"/>
  <c r="U12" i="2"/>
  <c r="U109" i="2"/>
  <c r="U258" i="2"/>
  <c r="U374" i="2"/>
  <c r="U348" i="2"/>
  <c r="U336" i="2"/>
  <c r="U312" i="2"/>
  <c r="U308" i="2"/>
  <c r="U300" i="2"/>
  <c r="U296" i="2"/>
  <c r="U292" i="2"/>
  <c r="U280" i="2"/>
  <c r="U276" i="2"/>
  <c r="U272" i="2"/>
  <c r="U268" i="2"/>
  <c r="U264" i="2"/>
  <c r="U260" i="2"/>
  <c r="U252" i="2"/>
  <c r="U244" i="2"/>
  <c r="U240" i="2"/>
  <c r="U232" i="2"/>
  <c r="U224" i="2"/>
  <c r="U208" i="2"/>
  <c r="U204" i="2"/>
  <c r="U196" i="2"/>
  <c r="U184" i="2"/>
  <c r="U359" i="2"/>
  <c r="U434" i="2"/>
  <c r="U430" i="2"/>
  <c r="U426" i="2"/>
  <c r="U179" i="2"/>
  <c r="U49" i="2"/>
  <c r="U27" i="2"/>
  <c r="U23" i="2"/>
  <c r="U400" i="2"/>
  <c r="U414" i="2"/>
  <c r="U159" i="2"/>
  <c r="U151" i="2"/>
  <c r="U139" i="2"/>
  <c r="U111" i="2"/>
  <c r="U87" i="2"/>
  <c r="U344" i="2"/>
  <c r="U332" i="2"/>
  <c r="U284" i="2"/>
  <c r="U236" i="2"/>
  <c r="U212" i="2"/>
  <c r="U200" i="2"/>
  <c r="U192" i="2"/>
  <c r="U351" i="2"/>
  <c r="U396" i="2"/>
  <c r="U167" i="2"/>
  <c r="U147" i="2"/>
  <c r="U131" i="2"/>
  <c r="U115" i="2"/>
  <c r="U103" i="2"/>
  <c r="U95" i="2"/>
  <c r="U340" i="2"/>
  <c r="U328" i="2"/>
  <c r="U324" i="2"/>
  <c r="U320" i="2"/>
  <c r="U304" i="2"/>
  <c r="U256" i="2"/>
  <c r="U248" i="2"/>
  <c r="U355" i="2"/>
  <c r="U392" i="2"/>
  <c r="U372" i="2"/>
  <c r="U364" i="2"/>
  <c r="U347" i="2"/>
  <c r="U335" i="2"/>
  <c r="U327" i="2"/>
  <c r="U319" i="2"/>
  <c r="U299" i="2"/>
  <c r="U287" i="2"/>
  <c r="U279" i="2"/>
  <c r="U239" i="2"/>
  <c r="U227" i="2"/>
  <c r="U215" i="2"/>
  <c r="U203" i="2"/>
  <c r="U354" i="2"/>
  <c r="U429" i="2"/>
  <c r="U173" i="2"/>
  <c r="U169" i="2"/>
  <c r="U161" i="2"/>
  <c r="U157" i="2"/>
  <c r="U149" i="2"/>
  <c r="U137" i="2"/>
  <c r="U133" i="2"/>
  <c r="U129" i="2"/>
  <c r="U121" i="2"/>
  <c r="U117" i="2"/>
  <c r="U113" i="2"/>
  <c r="U97" i="2"/>
  <c r="U93" i="2"/>
  <c r="U89" i="2"/>
  <c r="U85" i="2"/>
  <c r="U174" i="2"/>
  <c r="U166" i="2"/>
  <c r="U150" i="2"/>
  <c r="U134" i="2"/>
  <c r="U130" i="2"/>
  <c r="U126" i="2"/>
  <c r="U98" i="2"/>
  <c r="U343" i="2"/>
  <c r="U331" i="2"/>
  <c r="U251" i="2"/>
  <c r="U235" i="2"/>
  <c r="U231" i="2"/>
  <c r="U195" i="2"/>
  <c r="U183" i="2"/>
  <c r="U358" i="2"/>
  <c r="U178" i="2"/>
  <c r="U80" i="2"/>
  <c r="U60" i="2"/>
  <c r="U52" i="2"/>
  <c r="U40" i="2"/>
  <c r="U28" i="2"/>
  <c r="U20" i="2"/>
  <c r="U16" i="2"/>
  <c r="U411" i="2"/>
  <c r="U403" i="2"/>
  <c r="U399" i="2"/>
  <c r="U395" i="2"/>
  <c r="U383" i="2"/>
  <c r="U379" i="2"/>
  <c r="U371" i="2"/>
  <c r="U406" i="2"/>
  <c r="U402" i="2"/>
  <c r="U386" i="2"/>
  <c r="U382" i="2"/>
  <c r="U370" i="2"/>
  <c r="U366" i="2"/>
  <c r="U346" i="2"/>
  <c r="U342" i="2"/>
  <c r="U338" i="2"/>
  <c r="U334" i="2"/>
  <c r="U326" i="2"/>
  <c r="U322" i="2"/>
  <c r="U318" i="2"/>
  <c r="U314" i="2"/>
  <c r="U306" i="2"/>
  <c r="U302" i="2"/>
  <c r="U298" i="2"/>
  <c r="U294" i="2"/>
  <c r="U290" i="2"/>
  <c r="U286" i="2"/>
  <c r="U282" i="2"/>
  <c r="U278" i="2"/>
  <c r="U274" i="2"/>
  <c r="U270" i="2"/>
  <c r="U266" i="2"/>
  <c r="U262" i="2"/>
  <c r="U254" i="2"/>
  <c r="U250" i="2"/>
  <c r="U238" i="2"/>
  <c r="U230" i="2"/>
  <c r="U226" i="2"/>
  <c r="U218" i="2"/>
  <c r="U214" i="2"/>
  <c r="U210" i="2"/>
  <c r="U206" i="2"/>
  <c r="U202" i="2"/>
  <c r="U198" i="2"/>
  <c r="U194" i="2"/>
  <c r="U190" i="2"/>
  <c r="U186" i="2"/>
  <c r="U361" i="2"/>
  <c r="U357" i="2"/>
  <c r="U353" i="2"/>
  <c r="U349" i="2"/>
  <c r="U428" i="2"/>
  <c r="U181" i="2"/>
  <c r="U177" i="2"/>
  <c r="U176" i="2"/>
  <c r="U172" i="2"/>
  <c r="U168" i="2"/>
  <c r="U164" i="2"/>
  <c r="U160" i="2"/>
  <c r="U152" i="2"/>
  <c r="U148" i="2"/>
  <c r="U144" i="2"/>
  <c r="U140" i="2"/>
  <c r="U136" i="2"/>
  <c r="U132" i="2"/>
  <c r="U128" i="2"/>
  <c r="U124" i="2"/>
  <c r="U116" i="2"/>
  <c r="U108" i="2"/>
  <c r="U104" i="2"/>
  <c r="U100" i="2"/>
  <c r="U96" i="2"/>
  <c r="U84" i="2"/>
  <c r="U83" i="2"/>
  <c r="U79" i="2"/>
  <c r="U75" i="2"/>
  <c r="U71" i="2"/>
  <c r="U67" i="2"/>
  <c r="U63" i="2"/>
  <c r="U59" i="2"/>
  <c r="U55" i="2"/>
  <c r="U51" i="2"/>
  <c r="U47" i="2"/>
  <c r="U39" i="2"/>
  <c r="U35" i="2"/>
  <c r="U31" i="2"/>
  <c r="U19" i="2"/>
  <c r="U15" i="2"/>
  <c r="U11" i="2"/>
  <c r="U345" i="2"/>
  <c r="U341" i="2"/>
  <c r="U337" i="2"/>
  <c r="U333" i="2"/>
  <c r="U329" i="2"/>
  <c r="U325" i="2"/>
  <c r="U321" i="2"/>
  <c r="U317" i="2"/>
  <c r="U313" i="2"/>
  <c r="U309" i="2"/>
  <c r="U305" i="2"/>
  <c r="U301" i="2"/>
  <c r="U297" i="2"/>
  <c r="U293" i="2"/>
  <c r="U289" i="2"/>
  <c r="U285" i="2"/>
  <c r="U281" i="2"/>
  <c r="U277" i="2"/>
  <c r="U273" i="2"/>
  <c r="U269" i="2"/>
  <c r="U265" i="2"/>
  <c r="U261" i="2"/>
  <c r="U257" i="2"/>
  <c r="U253" i="2"/>
  <c r="U249" i="2"/>
  <c r="U245" i="2"/>
  <c r="U241" i="2"/>
  <c r="U237" i="2"/>
  <c r="U229" i="2"/>
  <c r="U225" i="2"/>
  <c r="U217" i="2"/>
  <c r="U213" i="2"/>
  <c r="U209" i="2"/>
  <c r="U205" i="2"/>
  <c r="U201" i="2"/>
  <c r="U197" i="2"/>
  <c r="U193" i="2"/>
  <c r="U189" i="2"/>
  <c r="U185" i="2"/>
  <c r="U360" i="2"/>
  <c r="U356" i="2"/>
  <c r="U352" i="2"/>
  <c r="U435" i="2"/>
  <c r="U431" i="2"/>
  <c r="U427" i="2"/>
  <c r="U180" i="2"/>
  <c r="U78" i="2"/>
  <c r="U74" i="2"/>
  <c r="U70" i="2"/>
  <c r="U62" i="2"/>
  <c r="U58" i="2"/>
  <c r="U54" i="2"/>
  <c r="U50" i="2"/>
  <c r="U46" i="2"/>
  <c r="U38" i="2"/>
  <c r="U34" i="2"/>
  <c r="U30" i="2"/>
  <c r="U26" i="2"/>
  <c r="U22" i="2"/>
  <c r="U18" i="2"/>
  <c r="U14" i="2"/>
  <c r="U81" i="2"/>
  <c r="U77" i="2"/>
  <c r="U73" i="2"/>
  <c r="U69" i="2"/>
  <c r="U65" i="2"/>
  <c r="U61" i="2"/>
  <c r="U57" i="2"/>
  <c r="U53" i="2"/>
  <c r="U45" i="2"/>
  <c r="U41" i="2"/>
  <c r="U37" i="2"/>
  <c r="U33" i="2"/>
  <c r="U29" i="2"/>
  <c r="U25" i="2"/>
  <c r="U21" i="2"/>
  <c r="U17" i="2"/>
  <c r="U13" i="2"/>
  <c r="H41" i="1" l="1"/>
  <c r="H20" i="1" l="1"/>
  <c r="H21" i="1"/>
  <c r="H22" i="1"/>
  <c r="H23" i="1"/>
  <c r="H38" i="1"/>
  <c r="H39" i="1"/>
  <c r="H40" i="1"/>
  <c r="H10" i="2"/>
  <c r="B14" i="23" l="1"/>
  <c r="B15" i="23"/>
  <c r="B16" i="23"/>
  <c r="B17" i="23"/>
  <c r="B18" i="23"/>
  <c r="B19" i="23"/>
  <c r="B20" i="23"/>
  <c r="B21" i="23"/>
  <c r="AI11" i="18" l="1"/>
  <c r="AF11" i="18"/>
  <c r="AF15" i="18" s="1"/>
  <c r="AC11" i="18"/>
  <c r="AC15" i="18" s="1"/>
  <c r="Z11" i="18"/>
  <c r="Z15" i="18" s="1"/>
  <c r="W11" i="18"/>
  <c r="T11" i="18"/>
  <c r="T15" i="18" s="1"/>
  <c r="Q11" i="18"/>
  <c r="Q15" i="18" s="1"/>
  <c r="N11" i="18"/>
  <c r="N15" i="18" s="1"/>
  <c r="H11" i="18"/>
  <c r="E11" i="18"/>
  <c r="AL15" i="18"/>
  <c r="C16" i="17"/>
  <c r="C25" i="17" s="1"/>
  <c r="C46" i="17"/>
  <c r="C52" i="17" s="1"/>
  <c r="B57" i="17"/>
  <c r="O10" i="2"/>
  <c r="P10" i="2"/>
  <c r="N10" i="2" s="1"/>
  <c r="E15" i="18"/>
  <c r="H15" i="18"/>
  <c r="K15" i="18"/>
  <c r="E46" i="17"/>
  <c r="E52" i="17" s="1"/>
  <c r="W15" i="18"/>
  <c r="C30" i="4"/>
  <c r="C36" i="4"/>
  <c r="C40" i="4"/>
  <c r="A3" i="1"/>
  <c r="B3" i="1"/>
  <c r="A4" i="1"/>
  <c r="A5" i="1"/>
  <c r="B5" i="1"/>
  <c r="A6" i="1"/>
  <c r="B6" i="1"/>
  <c r="A7" i="1"/>
  <c r="B7" i="1"/>
  <c r="H11" i="1"/>
  <c r="H16" i="1"/>
  <c r="H19" i="1"/>
  <c r="H42" i="1"/>
  <c r="H43" i="1"/>
  <c r="H44" i="1"/>
  <c r="B3" i="2"/>
  <c r="B4" i="2"/>
  <c r="B5" i="2"/>
  <c r="C5" i="2"/>
  <c r="B6" i="2"/>
  <c r="C6" i="2"/>
  <c r="B7" i="2"/>
  <c r="C7" i="2"/>
  <c r="L10" i="2"/>
  <c r="B2" i="17"/>
  <c r="B4" i="17"/>
  <c r="B5" i="17"/>
  <c r="B6" i="17"/>
  <c r="B7" i="17"/>
  <c r="B2" i="18"/>
  <c r="B4" i="18"/>
  <c r="B5" i="18"/>
  <c r="B6" i="18"/>
  <c r="B7" i="18"/>
  <c r="B3" i="19"/>
  <c r="B5" i="19"/>
  <c r="B6" i="19"/>
  <c r="B7" i="19"/>
  <c r="B8" i="19"/>
  <c r="K10" i="19"/>
  <c r="A12" i="19"/>
  <c r="A13" i="19"/>
  <c r="A14" i="19"/>
  <c r="K18" i="19"/>
  <c r="A20" i="19"/>
  <c r="A21" i="19"/>
  <c r="A22" i="19"/>
  <c r="K26" i="19"/>
  <c r="A28" i="19"/>
  <c r="A29" i="19"/>
  <c r="A30" i="19"/>
  <c r="K34" i="19"/>
  <c r="A36" i="19"/>
  <c r="A37" i="19"/>
  <c r="A38" i="19"/>
  <c r="K42" i="19"/>
  <c r="A44" i="19"/>
  <c r="A45" i="19"/>
  <c r="A46" i="19"/>
  <c r="K50" i="19"/>
  <c r="A52" i="19"/>
  <c r="A53" i="19"/>
  <c r="A54" i="19"/>
  <c r="K57" i="19"/>
  <c r="A59" i="19"/>
  <c r="A60" i="19"/>
  <c r="A61" i="19"/>
  <c r="K64" i="19"/>
  <c r="A66" i="19"/>
  <c r="A67" i="19"/>
  <c r="A68" i="19"/>
  <c r="K72" i="19"/>
  <c r="A74" i="19"/>
  <c r="A75" i="19"/>
  <c r="A76" i="19"/>
  <c r="K80" i="19"/>
  <c r="A82" i="19"/>
  <c r="A83" i="19"/>
  <c r="A84" i="19"/>
  <c r="K87" i="19"/>
  <c r="A89" i="19"/>
  <c r="A90" i="19"/>
  <c r="A91" i="19"/>
  <c r="K94" i="19"/>
  <c r="A96" i="19"/>
  <c r="B96" i="19"/>
  <c r="C96" i="19"/>
  <c r="D96" i="19"/>
  <c r="E96" i="19"/>
  <c r="F96" i="19"/>
  <c r="G96" i="19"/>
  <c r="H96" i="19"/>
  <c r="I96" i="19"/>
  <c r="A97" i="19"/>
  <c r="B97" i="19"/>
  <c r="C97" i="19"/>
  <c r="D97" i="19"/>
  <c r="E97" i="19"/>
  <c r="F97" i="19"/>
  <c r="G97" i="19"/>
  <c r="H97" i="19"/>
  <c r="I97" i="19"/>
  <c r="A98" i="19"/>
  <c r="B98" i="19"/>
  <c r="C98" i="19"/>
  <c r="D98" i="19"/>
  <c r="E98" i="19"/>
  <c r="F98" i="19"/>
  <c r="G98" i="19"/>
  <c r="H98" i="19"/>
  <c r="I98" i="19"/>
  <c r="A3" i="10"/>
  <c r="B3" i="10"/>
  <c r="A4" i="10"/>
  <c r="A5" i="10"/>
  <c r="B5" i="10"/>
  <c r="A6" i="10"/>
  <c r="B6" i="10"/>
  <c r="A7" i="10"/>
  <c r="B7" i="10"/>
  <c r="A8" i="10"/>
  <c r="B8" i="10"/>
  <c r="A3" i="5"/>
  <c r="B3" i="5"/>
  <c r="A4" i="5"/>
  <c r="A5" i="5"/>
  <c r="B5" i="5"/>
  <c r="A6" i="5"/>
  <c r="B6" i="5"/>
  <c r="A7" i="5"/>
  <c r="B7" i="5"/>
  <c r="A8" i="5"/>
  <c r="B8" i="5"/>
  <c r="A9" i="5"/>
  <c r="M10" i="2" l="1"/>
  <c r="U438" i="2" s="1"/>
  <c r="H18" i="18"/>
  <c r="F21" i="23"/>
  <c r="F20" i="23"/>
  <c r="F19" i="23"/>
  <c r="F16" i="23"/>
  <c r="F18" i="23"/>
  <c r="F17" i="23"/>
  <c r="F15" i="23"/>
  <c r="U10" i="2"/>
  <c r="F14" i="23"/>
  <c r="T22" i="18"/>
  <c r="T18" i="18"/>
  <c r="AF18" i="18"/>
  <c r="E17" i="18"/>
  <c r="D14" i="23"/>
  <c r="D15" i="23"/>
  <c r="D16" i="23"/>
  <c r="D17" i="23"/>
  <c r="D18" i="23"/>
  <c r="D20" i="23"/>
  <c r="D19" i="23"/>
  <c r="D21" i="23"/>
  <c r="C32" i="17"/>
  <c r="C34" i="17" s="1"/>
  <c r="N17" i="18"/>
  <c r="Z22" i="18"/>
  <c r="Z17" i="18"/>
  <c r="Q22" i="18"/>
  <c r="Q17" i="18"/>
  <c r="Q18" i="18"/>
  <c r="W22" i="18"/>
  <c r="W17" i="18"/>
  <c r="AF17" i="18"/>
  <c r="AF19" i="18" s="1"/>
  <c r="K17" i="18"/>
  <c r="K18" i="18"/>
  <c r="AI15" i="18"/>
  <c r="AI22" i="18" s="1"/>
  <c r="AF22" i="18"/>
  <c r="E22" i="18"/>
  <c r="N22" i="18"/>
  <c r="K22" i="18"/>
  <c r="AC22" i="18"/>
  <c r="AC18" i="18"/>
  <c r="AC17" i="18"/>
  <c r="AL22" i="18"/>
  <c r="AL18" i="18"/>
  <c r="AL17" i="18"/>
  <c r="H22" i="18"/>
  <c r="B54" i="17"/>
  <c r="B56" i="17"/>
  <c r="B55" i="17"/>
  <c r="D55" i="17"/>
  <c r="D57" i="17"/>
  <c r="D56" i="17"/>
  <c r="D54" i="17"/>
  <c r="N18" i="18"/>
  <c r="T17" i="18"/>
  <c r="W18" i="18"/>
  <c r="E18" i="18"/>
  <c r="H17" i="18"/>
  <c r="H19" i="18" s="1"/>
  <c r="Z18" i="18"/>
  <c r="T19" i="18" l="1"/>
  <c r="E19" i="18"/>
  <c r="F22" i="23"/>
  <c r="U437" i="2"/>
  <c r="U439" i="2" s="1"/>
  <c r="W19" i="18"/>
  <c r="W23" i="18" s="1"/>
  <c r="Z19" i="18"/>
  <c r="N19" i="18"/>
  <c r="N23" i="18" s="1"/>
  <c r="AC19" i="18"/>
  <c r="AC23" i="18" s="1"/>
  <c r="AI17" i="18"/>
  <c r="Q19" i="18"/>
  <c r="Q23" i="18" s="1"/>
  <c r="T23" i="18"/>
  <c r="AL19" i="18"/>
  <c r="AL23" i="18" s="1"/>
  <c r="AF23" i="18"/>
  <c r="K19" i="18"/>
  <c r="K23" i="18" s="1"/>
  <c r="AI18" i="18"/>
  <c r="C37" i="17"/>
  <c r="E58" i="17"/>
  <c r="E23" i="18"/>
  <c r="C58" i="17"/>
  <c r="H23" i="18"/>
  <c r="Z23" i="18"/>
  <c r="N17" i="23" l="1"/>
  <c r="N15" i="23"/>
  <c r="N18" i="23"/>
  <c r="N21" i="23"/>
  <c r="N16" i="23"/>
  <c r="N19" i="23"/>
  <c r="N14" i="23"/>
  <c r="N20" i="23"/>
  <c r="AI19" i="18"/>
  <c r="AI23" i="18" s="1"/>
  <c r="AI25" i="18" s="1"/>
  <c r="AI26" i="18" s="1"/>
  <c r="AF25" i="18"/>
  <c r="AF26" i="18" s="1"/>
  <c r="L81" i="19" s="1"/>
  <c r="W25" i="18"/>
  <c r="W26" i="18" s="1"/>
  <c r="L58" i="19" s="1"/>
  <c r="N25" i="18"/>
  <c r="N26" i="18" s="1"/>
  <c r="L35" i="19" s="1"/>
  <c r="Z25" i="18"/>
  <c r="Z26" i="18" s="1"/>
  <c r="Z32" i="18" s="1"/>
  <c r="Z43" i="18" s="1"/>
  <c r="E25" i="18"/>
  <c r="E26" i="18" s="1"/>
  <c r="E32" i="18" s="1"/>
  <c r="E43" i="18" s="1"/>
  <c r="AC25" i="18"/>
  <c r="AC26" i="18" s="1"/>
  <c r="Q25" i="18"/>
  <c r="Q26" i="18" s="1"/>
  <c r="T25" i="18"/>
  <c r="T26" i="18" s="1"/>
  <c r="AL25" i="18"/>
  <c r="AL26" i="18" s="1"/>
  <c r="AL32" i="18" s="1"/>
  <c r="AL43" i="18" s="1"/>
  <c r="K25" i="18"/>
  <c r="K26" i="18" s="1"/>
  <c r="H25" i="18"/>
  <c r="H26" i="18" s="1"/>
  <c r="AF32" i="18" l="1"/>
  <c r="AF43" i="18" s="1"/>
  <c r="AF47" i="18" s="1"/>
  <c r="AG26" i="18" s="1"/>
  <c r="W32" i="18"/>
  <c r="W43" i="18" s="1"/>
  <c r="W47" i="18" s="1"/>
  <c r="X43" i="18" s="1"/>
  <c r="L65" i="19"/>
  <c r="N32" i="18"/>
  <c r="N43" i="18" s="1"/>
  <c r="N47" i="18" s="1"/>
  <c r="O43" i="18" s="1"/>
  <c r="L11" i="19"/>
  <c r="AC32" i="18"/>
  <c r="AC43" i="18" s="1"/>
  <c r="AC47" i="18" s="1"/>
  <c r="AD43" i="18" s="1"/>
  <c r="L73" i="19"/>
  <c r="L88" i="19"/>
  <c r="AI32" i="18"/>
  <c r="AI43" i="18" s="1"/>
  <c r="AI47" i="18" s="1"/>
  <c r="AJ43" i="18" s="1"/>
  <c r="L27" i="19"/>
  <c r="K32" i="18"/>
  <c r="K43" i="18" s="1"/>
  <c r="K47" i="18" s="1"/>
  <c r="L45" i="18" s="1"/>
  <c r="L19" i="19"/>
  <c r="H32" i="18"/>
  <c r="H43" i="18" s="1"/>
  <c r="H47" i="18" s="1"/>
  <c r="Q32" i="18"/>
  <c r="Q43" i="18" s="1"/>
  <c r="Q47" i="18" s="1"/>
  <c r="L43" i="19"/>
  <c r="T32" i="18"/>
  <c r="T43" i="18" s="1"/>
  <c r="T47" i="18" s="1"/>
  <c r="U43" i="18" s="1"/>
  <c r="L51" i="19"/>
  <c r="AL47" i="18"/>
  <c r="Z47" i="18"/>
  <c r="AA43" i="18" s="1"/>
  <c r="E47" i="18"/>
  <c r="AG23" i="18" l="1"/>
  <c r="L83" i="19"/>
  <c r="L82" i="19" s="1"/>
  <c r="G84" i="19" s="1"/>
  <c r="AG19" i="18"/>
  <c r="F40" i="4"/>
  <c r="G40" i="4" s="1"/>
  <c r="AG45" i="18"/>
  <c r="AF53" i="18"/>
  <c r="AF49" i="18" s="1"/>
  <c r="AG32" i="18"/>
  <c r="AG43" i="18"/>
  <c r="L26" i="18"/>
  <c r="L32" i="18"/>
  <c r="L43" i="18"/>
  <c r="L47" i="18" s="1"/>
  <c r="L29" i="19"/>
  <c r="L28" i="19" s="1"/>
  <c r="F28" i="19" s="1"/>
  <c r="L19" i="18"/>
  <c r="F25" i="4"/>
  <c r="K53" i="18"/>
  <c r="K51" i="18" s="1"/>
  <c r="L23" i="18"/>
  <c r="AL53" i="18"/>
  <c r="AM19" i="18"/>
  <c r="AM45" i="18"/>
  <c r="AM23" i="18"/>
  <c r="AM26" i="18"/>
  <c r="AM32" i="18"/>
  <c r="AM43" i="18"/>
  <c r="AJ19" i="18"/>
  <c r="AJ45" i="18"/>
  <c r="AJ47" i="18" s="1"/>
  <c r="AI53" i="18"/>
  <c r="L90" i="19"/>
  <c r="L89" i="19" s="1"/>
  <c r="AJ23" i="18"/>
  <c r="AJ26" i="18"/>
  <c r="AJ32" i="18"/>
  <c r="F82" i="19"/>
  <c r="F38" i="4"/>
  <c r="AD45" i="18"/>
  <c r="AD47" i="18" s="1"/>
  <c r="AC53" i="18"/>
  <c r="L75" i="19"/>
  <c r="L74" i="19" s="1"/>
  <c r="AD19" i="18"/>
  <c r="AD23" i="18"/>
  <c r="AD26" i="18"/>
  <c r="AD32" i="18"/>
  <c r="F36" i="4"/>
  <c r="G36" i="4" s="1"/>
  <c r="Z53" i="18"/>
  <c r="L67" i="19"/>
  <c r="L66" i="19" s="1"/>
  <c r="AA45" i="18"/>
  <c r="AA47" i="18" s="1"/>
  <c r="AA19" i="18"/>
  <c r="AA23" i="18"/>
  <c r="AA26" i="18"/>
  <c r="AA32" i="18"/>
  <c r="W53" i="18"/>
  <c r="X19" i="18"/>
  <c r="L60" i="19"/>
  <c r="L59" i="19" s="1"/>
  <c r="X45" i="18"/>
  <c r="X47" i="18" s="1"/>
  <c r="X23" i="18"/>
  <c r="X26" i="18"/>
  <c r="X32" i="18"/>
  <c r="U45" i="18"/>
  <c r="U47" i="18" s="1"/>
  <c r="L53" i="19"/>
  <c r="L52" i="19" s="1"/>
  <c r="F34" i="4"/>
  <c r="U19" i="18"/>
  <c r="U23" i="18"/>
  <c r="T53" i="18"/>
  <c r="F29" i="4"/>
  <c r="U26" i="18"/>
  <c r="U32" i="18"/>
  <c r="R19" i="18"/>
  <c r="Q53" i="18"/>
  <c r="R45" i="18"/>
  <c r="L45" i="19"/>
  <c r="L44" i="19" s="1"/>
  <c r="R23" i="18"/>
  <c r="R26" i="18"/>
  <c r="R32" i="18"/>
  <c r="R43" i="18"/>
  <c r="F27" i="4"/>
  <c r="N53" i="18"/>
  <c r="O45" i="18"/>
  <c r="O47" i="18" s="1"/>
  <c r="O19" i="18"/>
  <c r="L37" i="19"/>
  <c r="L36" i="19" s="1"/>
  <c r="O23" i="18"/>
  <c r="O26" i="18"/>
  <c r="O32" i="18"/>
  <c r="I45" i="18"/>
  <c r="I19" i="18"/>
  <c r="H53" i="18"/>
  <c r="F23" i="4"/>
  <c r="L21" i="19"/>
  <c r="L20" i="19" s="1"/>
  <c r="I23" i="18"/>
  <c r="I26" i="18"/>
  <c r="I32" i="18"/>
  <c r="I43" i="18"/>
  <c r="F45" i="18"/>
  <c r="F21" i="4"/>
  <c r="E53" i="18"/>
  <c r="L13" i="19"/>
  <c r="L12" i="19" s="1"/>
  <c r="F19" i="18"/>
  <c r="F23" i="18"/>
  <c r="F26" i="18"/>
  <c r="F32" i="18"/>
  <c r="F43" i="18"/>
  <c r="B84" i="19" l="1"/>
  <c r="AG47" i="18"/>
  <c r="E84" i="19"/>
  <c r="I82" i="19"/>
  <c r="C84" i="19"/>
  <c r="AF51" i="18"/>
  <c r="G83" i="19"/>
  <c r="D84" i="19"/>
  <c r="F83" i="19"/>
  <c r="I83" i="19"/>
  <c r="B82" i="19"/>
  <c r="E83" i="19"/>
  <c r="H82" i="19"/>
  <c r="G82" i="19"/>
  <c r="D83" i="19"/>
  <c r="H84" i="19"/>
  <c r="F84" i="19"/>
  <c r="B83" i="19"/>
  <c r="D82" i="19"/>
  <c r="C82" i="19"/>
  <c r="I84" i="19"/>
  <c r="C83" i="19"/>
  <c r="E82" i="19"/>
  <c r="H83" i="19"/>
  <c r="H30" i="19"/>
  <c r="I28" i="19"/>
  <c r="I29" i="19"/>
  <c r="B30" i="19"/>
  <c r="H28" i="19"/>
  <c r="E29" i="19"/>
  <c r="D28" i="19"/>
  <c r="C30" i="19"/>
  <c r="K49" i="18"/>
  <c r="E30" i="19"/>
  <c r="I30" i="19"/>
  <c r="F29" i="19"/>
  <c r="G29" i="19"/>
  <c r="C28" i="19"/>
  <c r="E28" i="19"/>
  <c r="B29" i="19"/>
  <c r="G28" i="19"/>
  <c r="H29" i="19"/>
  <c r="F30" i="19"/>
  <c r="C29" i="19"/>
  <c r="D29" i="19"/>
  <c r="G30" i="19"/>
  <c r="B28" i="19"/>
  <c r="D30" i="19"/>
  <c r="AL49" i="18"/>
  <c r="AL51" i="18"/>
  <c r="AM47" i="18"/>
  <c r="AI49" i="18"/>
  <c r="AI51" i="18"/>
  <c r="H89" i="19"/>
  <c r="C91" i="19"/>
  <c r="F90" i="19"/>
  <c r="G90" i="19"/>
  <c r="D91" i="19"/>
  <c r="I89" i="19"/>
  <c r="D90" i="19"/>
  <c r="G89" i="19"/>
  <c r="I90" i="19"/>
  <c r="C89" i="19"/>
  <c r="G91" i="19"/>
  <c r="E91" i="19"/>
  <c r="B91" i="19"/>
  <c r="B89" i="19"/>
  <c r="C90" i="19"/>
  <c r="F89" i="19"/>
  <c r="E89" i="19"/>
  <c r="H90" i="19"/>
  <c r="H91" i="19"/>
  <c r="F91" i="19"/>
  <c r="B90" i="19"/>
  <c r="E90" i="19"/>
  <c r="D89" i="19"/>
  <c r="I91" i="19"/>
  <c r="D76" i="19"/>
  <c r="H74" i="19"/>
  <c r="D75" i="19"/>
  <c r="H76" i="19"/>
  <c r="I75" i="19"/>
  <c r="I74" i="19"/>
  <c r="G74" i="19"/>
  <c r="F74" i="19"/>
  <c r="H75" i="19"/>
  <c r="E74" i="19"/>
  <c r="E76" i="19"/>
  <c r="I76" i="19"/>
  <c r="G75" i="19"/>
  <c r="C76" i="19"/>
  <c r="B75" i="19"/>
  <c r="E75" i="19"/>
  <c r="F76" i="19"/>
  <c r="C74" i="19"/>
  <c r="D74" i="19"/>
  <c r="B74" i="19"/>
  <c r="B76" i="19"/>
  <c r="G76" i="19"/>
  <c r="F75" i="19"/>
  <c r="C75" i="19"/>
  <c r="AC51" i="18"/>
  <c r="AC49" i="18"/>
  <c r="Z49" i="18"/>
  <c r="Z51" i="18"/>
  <c r="C66" i="19"/>
  <c r="B66" i="19"/>
  <c r="H67" i="19"/>
  <c r="F68" i="19"/>
  <c r="D68" i="19"/>
  <c r="G67" i="19"/>
  <c r="B68" i="19"/>
  <c r="H68" i="19"/>
  <c r="E66" i="19"/>
  <c r="I68" i="19"/>
  <c r="H66" i="19"/>
  <c r="G68" i="19"/>
  <c r="F67" i="19"/>
  <c r="C68" i="19"/>
  <c r="E67" i="19"/>
  <c r="E68" i="19"/>
  <c r="G66" i="19"/>
  <c r="C67" i="19"/>
  <c r="I66" i="19"/>
  <c r="I67" i="19"/>
  <c r="D67" i="19"/>
  <c r="D66" i="19"/>
  <c r="F66" i="19"/>
  <c r="B67" i="19"/>
  <c r="W51" i="18"/>
  <c r="W49" i="18"/>
  <c r="D61" i="19"/>
  <c r="I60" i="19"/>
  <c r="E61" i="19"/>
  <c r="I61" i="19"/>
  <c r="G59" i="19"/>
  <c r="B59" i="19"/>
  <c r="G61" i="19"/>
  <c r="F59" i="19"/>
  <c r="H60" i="19"/>
  <c r="C60" i="19"/>
  <c r="E60" i="19"/>
  <c r="D60" i="19"/>
  <c r="C59" i="19"/>
  <c r="D59" i="19"/>
  <c r="C61" i="19"/>
  <c r="I59" i="19"/>
  <c r="B60" i="19"/>
  <c r="E59" i="19"/>
  <c r="H61" i="19"/>
  <c r="G60" i="19"/>
  <c r="B61" i="19"/>
  <c r="H59" i="19"/>
  <c r="F61" i="19"/>
  <c r="F60" i="19"/>
  <c r="T49" i="18"/>
  <c r="T51" i="18"/>
  <c r="D52" i="19"/>
  <c r="C53" i="19"/>
  <c r="F54" i="19"/>
  <c r="E54" i="19"/>
  <c r="E53" i="19"/>
  <c r="H53" i="19"/>
  <c r="B53" i="19"/>
  <c r="F52" i="19"/>
  <c r="G54" i="19"/>
  <c r="F53" i="19"/>
  <c r="G53" i="19"/>
  <c r="H52" i="19"/>
  <c r="I54" i="19"/>
  <c r="B54" i="19"/>
  <c r="H54" i="19"/>
  <c r="D53" i="19"/>
  <c r="I52" i="19"/>
  <c r="E52" i="19"/>
  <c r="D54" i="19"/>
  <c r="C52" i="19"/>
  <c r="B52" i="19"/>
  <c r="I53" i="19"/>
  <c r="C54" i="19"/>
  <c r="G52" i="19"/>
  <c r="E44" i="19"/>
  <c r="F44" i="19"/>
  <c r="H46" i="19"/>
  <c r="G46" i="19"/>
  <c r="I44" i="19"/>
  <c r="G45" i="19"/>
  <c r="D44" i="19"/>
  <c r="C45" i="19"/>
  <c r="F46" i="19"/>
  <c r="I46" i="19"/>
  <c r="B44" i="19"/>
  <c r="C46" i="19"/>
  <c r="D46" i="19"/>
  <c r="B45" i="19"/>
  <c r="I45" i="19"/>
  <c r="E45" i="19"/>
  <c r="H45" i="19"/>
  <c r="C44" i="19"/>
  <c r="H44" i="19"/>
  <c r="B46" i="19"/>
  <c r="E46" i="19"/>
  <c r="G44" i="19"/>
  <c r="D45" i="19"/>
  <c r="F45" i="19"/>
  <c r="R47" i="18"/>
  <c r="Q49" i="18"/>
  <c r="Q51" i="18"/>
  <c r="N49" i="18"/>
  <c r="N51" i="18"/>
  <c r="F36" i="19"/>
  <c r="F38" i="19"/>
  <c r="E37" i="19"/>
  <c r="I37" i="19"/>
  <c r="B38" i="19"/>
  <c r="G37" i="19"/>
  <c r="C37" i="19"/>
  <c r="E36" i="19"/>
  <c r="B36" i="19"/>
  <c r="C38" i="19"/>
  <c r="B37" i="19"/>
  <c r="D38" i="19"/>
  <c r="F37" i="19"/>
  <c r="G36" i="19"/>
  <c r="H38" i="19"/>
  <c r="E38" i="19"/>
  <c r="I36" i="19"/>
  <c r="D37" i="19"/>
  <c r="G38" i="19"/>
  <c r="I38" i="19"/>
  <c r="H37" i="19"/>
  <c r="C36" i="19"/>
  <c r="D36" i="19"/>
  <c r="H36" i="19"/>
  <c r="D22" i="19"/>
  <c r="H20" i="19"/>
  <c r="C21" i="19"/>
  <c r="F20" i="19"/>
  <c r="I22" i="19"/>
  <c r="G20" i="19"/>
  <c r="E20" i="19"/>
  <c r="F21" i="19"/>
  <c r="F22" i="19"/>
  <c r="C20" i="19"/>
  <c r="B21" i="19"/>
  <c r="G22" i="19"/>
  <c r="B22" i="19"/>
  <c r="D20" i="19"/>
  <c r="E22" i="19"/>
  <c r="G21" i="19"/>
  <c r="E21" i="19"/>
  <c r="D21" i="19"/>
  <c r="H22" i="19"/>
  <c r="H21" i="19"/>
  <c r="I21" i="19"/>
  <c r="C22" i="19"/>
  <c r="B20" i="19"/>
  <c r="I20" i="19"/>
  <c r="I47" i="18"/>
  <c r="H51" i="18"/>
  <c r="H49" i="18"/>
  <c r="E49" i="18"/>
  <c r="E51" i="18"/>
  <c r="H12" i="19"/>
  <c r="F13" i="19"/>
  <c r="B12" i="19"/>
  <c r="G13" i="19"/>
  <c r="B14" i="19"/>
  <c r="B13" i="19"/>
  <c r="E12" i="19"/>
  <c r="D13" i="19"/>
  <c r="E13" i="19"/>
  <c r="C12" i="19"/>
  <c r="I14" i="19"/>
  <c r="F12" i="19"/>
  <c r="I12" i="19"/>
  <c r="I13" i="19"/>
  <c r="C14" i="19"/>
  <c r="C13" i="19"/>
  <c r="F14" i="19"/>
  <c r="D12" i="19"/>
  <c r="H13" i="19"/>
  <c r="G12" i="19"/>
  <c r="E14" i="19"/>
  <c r="D14" i="19"/>
  <c r="G14" i="19"/>
  <c r="H14" i="19"/>
  <c r="F47" i="18"/>
  <c r="E21" i="4" l="1"/>
  <c r="H18" i="1"/>
  <c r="H46" i="1" l="1"/>
  <c r="I28" i="1" s="1"/>
  <c r="E27" i="4"/>
  <c r="G27" i="4" s="1"/>
  <c r="E23" i="4"/>
  <c r="G23" i="4" s="1"/>
  <c r="E29" i="4"/>
  <c r="G29" i="4" s="1"/>
  <c r="G21" i="4"/>
  <c r="E25" i="4"/>
  <c r="G25" i="4" s="1"/>
  <c r="D22" i="23"/>
  <c r="I38" i="1" l="1"/>
  <c r="I22" i="1"/>
  <c r="I23" i="1"/>
  <c r="I41" i="1"/>
  <c r="I18" i="1"/>
  <c r="I42" i="1"/>
  <c r="I39" i="1"/>
  <c r="I44" i="1"/>
  <c r="I20" i="1"/>
  <c r="I43" i="1"/>
  <c r="I19" i="1"/>
  <c r="I40" i="1"/>
  <c r="I16" i="1"/>
  <c r="I11" i="1"/>
  <c r="I21" i="1"/>
  <c r="E30" i="4"/>
  <c r="G30" i="4"/>
  <c r="I46" i="1" l="1"/>
  <c r="B38" i="4"/>
  <c r="B34" i="4"/>
  <c r="B40" i="4"/>
  <c r="B36" i="4"/>
  <c r="I30" i="4"/>
  <c r="G18" i="23" l="1"/>
  <c r="G16" i="23"/>
  <c r="G19" i="23"/>
  <c r="G21" i="23"/>
  <c r="G20" i="23"/>
  <c r="G17" i="23"/>
  <c r="G15" i="23"/>
  <c r="G14" i="23"/>
  <c r="C34" i="4"/>
  <c r="E41" i="4"/>
  <c r="B41" i="4" s="1"/>
  <c r="G34" i="4"/>
  <c r="C38" i="4"/>
  <c r="G38" i="4"/>
  <c r="G22" i="23" l="1"/>
  <c r="G41" i="4"/>
  <c r="C41" i="4"/>
  <c r="H16" i="23" l="1"/>
  <c r="K16" i="23" s="1"/>
  <c r="H21" i="23"/>
  <c r="K21" i="23" s="1"/>
  <c r="H17" i="23"/>
  <c r="K17" i="23" s="1"/>
  <c r="H19" i="23"/>
  <c r="K19" i="23" s="1"/>
  <c r="H15" i="23"/>
  <c r="K15" i="23" s="1"/>
  <c r="H14" i="23"/>
  <c r="K14" i="23" s="1"/>
  <c r="H18" i="23"/>
  <c r="K18" i="23" s="1"/>
  <c r="H20" i="23"/>
  <c r="K20" i="23" s="1"/>
  <c r="I17" i="23"/>
  <c r="I19" i="23"/>
  <c r="I21" i="23"/>
  <c r="I14" i="23"/>
  <c r="I15" i="23"/>
  <c r="I20" i="23"/>
  <c r="I16" i="23"/>
  <c r="I18" i="23"/>
  <c r="I41" i="4"/>
  <c r="G45" i="4"/>
  <c r="L17" i="23" l="1"/>
  <c r="L14" i="23"/>
  <c r="L21" i="23"/>
  <c r="L20" i="23"/>
  <c r="L19" i="23"/>
  <c r="L16" i="23"/>
  <c r="L18" i="23"/>
  <c r="L15" i="23"/>
  <c r="H22" i="23"/>
  <c r="K22" i="23"/>
  <c r="I22" i="23"/>
  <c r="C11" i="4"/>
  <c r="C14" i="4" s="1"/>
  <c r="G46" i="4"/>
  <c r="G47" i="4" s="1"/>
  <c r="L22" i="23" l="1"/>
</calcChain>
</file>

<file path=xl/sharedStrings.xml><?xml version="1.0" encoding="utf-8"?>
<sst xmlns="http://schemas.openxmlformats.org/spreadsheetml/2006/main" count="3204" uniqueCount="650">
  <si>
    <t>Onderhoudskosten aanbieden inclusief de kosten van reparaties en/of inzet van vervangende apparatuur.</t>
  </si>
  <si>
    <t>Premie Ouderdomspensioen (OP)</t>
  </si>
  <si>
    <t>UREN P/JR        MA-VR</t>
  </si>
  <si>
    <t>Kleedruimten</t>
  </si>
  <si>
    <t>: onderverdeling van de aanwezige ruimten in een object in een aantal categorieën</t>
  </si>
  <si>
    <t>Vitrage wassen</t>
  </si>
  <si>
    <t>Opmerking:</t>
  </si>
  <si>
    <t>Kostprijs</t>
  </si>
  <si>
    <t>Jaarprijs schoonmaak excl. btw</t>
  </si>
  <si>
    <t>Opleiding</t>
  </si>
  <si>
    <t xml:space="preserve">Sociale verzekeringen </t>
  </si>
  <si>
    <t>Aantal stuks 0-10</t>
  </si>
  <si>
    <t>in euro:</t>
  </si>
  <si>
    <t>Loonkosten</t>
  </si>
  <si>
    <t>Bruto marge</t>
  </si>
  <si>
    <t>Eind tarief</t>
  </si>
  <si>
    <t>Toeslag percentages</t>
  </si>
  <si>
    <t>00.00 - 06.00</t>
  </si>
  <si>
    <t>Uitvoering normale werktijden: maandag t/m vrijdag [06.00 en 21.30 uur]</t>
  </si>
  <si>
    <t>Opmerking: dit blad bevat automatische koppelingen, dus behoeft niet meer te worden ingevuld.</t>
  </si>
  <si>
    <t>Tarievenmatrix</t>
  </si>
  <si>
    <t>Weekenddagen</t>
  </si>
  <si>
    <t>* Gevelinstallatie beschikbaar</t>
  </si>
  <si>
    <t>BIJZONDER-HEDEN</t>
  </si>
  <si>
    <t>Aantal kalenderdagen</t>
  </si>
  <si>
    <t>Werkdagen per jaar</t>
  </si>
  <si>
    <t>Horizontale lammellen droog reinigen</t>
  </si>
  <si>
    <t>Tapijt sproeiextraheren</t>
  </si>
  <si>
    <t>Tapijt poederreiniging</t>
  </si>
  <si>
    <t xml:space="preserve">Stoelen stoffering koolzuurreiniging </t>
  </si>
  <si>
    <t>Tarief</t>
  </si>
  <si>
    <t>Tapijt koolzuureinging</t>
  </si>
  <si>
    <t>: aantal schoon te maken m2 per uur</t>
  </si>
  <si>
    <t>WAO Basispremie</t>
  </si>
  <si>
    <t>WAO rekenpremie</t>
  </si>
  <si>
    <t>WGA rekenpremie</t>
  </si>
  <si>
    <t>Totaal</t>
  </si>
  <si>
    <t>Kengetallenoverzicht schoonmaakonderhoud</t>
  </si>
  <si>
    <t>0-100m2</t>
  </si>
  <si>
    <t>101-500m2</t>
  </si>
  <si>
    <t>501-1000m2</t>
  </si>
  <si>
    <t>&gt; 1000m2</t>
  </si>
  <si>
    <t>Medewerker lngrp. 1 (8 jaar en langer)</t>
  </si>
  <si>
    <t>TOTAAL KOSTEN PER JAAR EXCLUSIEF BTW</t>
  </si>
  <si>
    <t>B.T.W.</t>
  </si>
  <si>
    <t>Prijspeil</t>
  </si>
  <si>
    <t>Kosten bij koop (excl. btw)</t>
  </si>
  <si>
    <t>Categorie/medewerker</t>
  </si>
  <si>
    <t>Toelichting</t>
  </si>
  <si>
    <t>Totaal kosten bij koop per jaar per machine</t>
  </si>
  <si>
    <t>Alle prijzen exclusief btw</t>
  </si>
  <si>
    <t>KEN-GETAL MA-VR</t>
  </si>
  <si>
    <t>KEN-GETAL NALOOP</t>
  </si>
  <si>
    <t>Medewerker lngrp. 1 (1 tot 8 jaar)</t>
  </si>
  <si>
    <t>Bruto uurloon</t>
  </si>
  <si>
    <t>Calculatie onderdeel</t>
  </si>
  <si>
    <t>8. Op het tabblad "Afroepprijzen" dient u uw gegevens in de blauwe invoervelden in te voeren.</t>
  </si>
  <si>
    <t>21.30 - 24.00</t>
  </si>
  <si>
    <t>Kengetal</t>
  </si>
  <si>
    <t>PRODUCTIE-UREN MAANDAG-VRIJDAG</t>
  </si>
  <si>
    <t xml:space="preserve">Alle kosten aanbieden inclusief de benodigde hulpstukken/borstels, etc. </t>
  </si>
  <si>
    <t>Uurtariefopbouw</t>
  </si>
  <si>
    <t>Reiniging lamellen, vitrage en overgordijnen (inclusief afhalen en ophangen)</t>
  </si>
  <si>
    <t>Glazenwasser lngrp. 2 (1 tot 8 jaar)</t>
  </si>
  <si>
    <t>Specialistentoeslag</t>
  </si>
  <si>
    <t>Aantal stuks &gt; 100</t>
  </si>
  <si>
    <t>werkgeversdeel</t>
  </si>
  <si>
    <t>MUTATIE DATUM</t>
  </si>
  <si>
    <t>Sanitaire ruimten</t>
  </si>
  <si>
    <t>p.o.</t>
  </si>
  <si>
    <t>Meewerkend toezicht lngrp. 2 (1 tot 8 jaar)</t>
  </si>
  <si>
    <t>Methode en eindresultaat omschrijven.</t>
  </si>
  <si>
    <t>: afkortingen voor ruimtecategorieën bij toepassing van VSR-kwaliteitsmetingen B=bureaukamers, V=verkeersruimten, S=sanitaire ruimten</t>
  </si>
  <si>
    <t>Prestatienorm</t>
  </si>
  <si>
    <t xml:space="preserve">: uren per vierkante meter per jaar </t>
  </si>
  <si>
    <t>KENGETAL BASIS-BEURT</t>
  </si>
  <si>
    <t>PROGR.CODE</t>
  </si>
  <si>
    <t>3. Op het tabblad "Basis ruimtestaat" hoeft u niets in te vullen.</t>
  </si>
  <si>
    <t>Permanente matrix</t>
  </si>
  <si>
    <t>Pantry/koffiecorner</t>
  </si>
  <si>
    <t>Machine investeringskosten</t>
  </si>
  <si>
    <t>Catalogusprijs</t>
  </si>
  <si>
    <t>invoerveld</t>
  </si>
  <si>
    <t>Vakantiedagen</t>
  </si>
  <si>
    <t>SV uurloon inclusief toeslagen</t>
  </si>
  <si>
    <t>UREN P/JR     NALOOP</t>
  </si>
  <si>
    <t>Instructies voor het invullen van het calculatie model</t>
  </si>
  <si>
    <t>Medewerker lngrp. 1 (tot 1 jaar inleerperiode)</t>
  </si>
  <si>
    <t>1. Op het tabblad "Contractblad" dient u uw gegevens in de blauwe invoervelden in te voeren.</t>
  </si>
  <si>
    <t>Aantal stuks 51-100</t>
  </si>
  <si>
    <t>GEBOUW</t>
  </si>
  <si>
    <t>VSR CODE</t>
  </si>
  <si>
    <t>M2 VLOER</t>
  </si>
  <si>
    <t>Prijs p/m2  excl. btw</t>
  </si>
  <si>
    <t>Prijs p/stuk excl. btw</t>
  </si>
  <si>
    <t>P.Z. kosten</t>
  </si>
  <si>
    <t>Medewerker lngrp. 3 (tot 1 jaar inleerperiode)</t>
  </si>
  <si>
    <t>Premies en opslagen voor tariefopbouw</t>
  </si>
  <si>
    <t>Gangen en hallen</t>
  </si>
  <si>
    <t>TOEZICHT-UREN MAANDAG-VRIJDAG</t>
  </si>
  <si>
    <t>Tariefopbouw per loongroep</t>
  </si>
  <si>
    <t>PRESTATIE NORM</t>
  </si>
  <si>
    <t>VSR</t>
  </si>
  <si>
    <t>Inzet van het aantal machines [stuks]</t>
  </si>
  <si>
    <t>Gem. Tarief</t>
  </si>
  <si>
    <t>(inclusief materialen en middelen)</t>
  </si>
  <si>
    <t>Administratieve ruimten</t>
  </si>
  <si>
    <t>BIJZONDERHEDEN</t>
  </si>
  <si>
    <t>V</t>
  </si>
  <si>
    <t>Invoervelden</t>
  </si>
  <si>
    <t>Totale kosten per jaar inclusief B.T.W.</t>
  </si>
  <si>
    <t>Werkbare dagen per jaar</t>
  </si>
  <si>
    <t>VERD.</t>
  </si>
  <si>
    <t>Huisvestingskosten</t>
  </si>
  <si>
    <t>Naam opdrachtgever</t>
  </si>
  <si>
    <t>Liften</t>
  </si>
  <si>
    <t>Jaarprijs glas excl. btw</t>
  </si>
  <si>
    <t>Nat. feestdagen, kort verzuim, bijz. CAO</t>
  </si>
  <si>
    <t>prijzen inclusief tranportkosten</t>
  </si>
  <si>
    <t>Administratiekosten</t>
  </si>
  <si>
    <t>Trappenhuizen</t>
  </si>
  <si>
    <t>Medewerker lngrp. 3 (1 tot 8 jaar)</t>
  </si>
  <si>
    <t>Medewerker lngrp. 3 (8 jaar en langer)</t>
  </si>
  <si>
    <t>Gevarentoeslag  (indien van toepassing)</t>
  </si>
  <si>
    <t>Alle prijzen aanbieden exclusief btw.</t>
  </si>
  <si>
    <t>Managementkosten</t>
  </si>
  <si>
    <t>Medewerker lngrp. 1 (jeugd)</t>
  </si>
  <si>
    <t>Opslag niet werkbare dagen</t>
  </si>
  <si>
    <t>Afroepprijzen</t>
  </si>
  <si>
    <t>Onderhoudskosten per jaar*</t>
  </si>
  <si>
    <t>Wachtgeldfonds</t>
  </si>
  <si>
    <t>Zorgverzekeringswet</t>
  </si>
  <si>
    <t>OP/NP</t>
  </si>
  <si>
    <t>Pensioen overgangsregeling</t>
  </si>
  <si>
    <t>Prijs p/m2 boven 100m2 excl. btw</t>
  </si>
  <si>
    <t>Medewerker lngrp. 2 (tot 1 jaar inleerperiode)</t>
  </si>
  <si>
    <t>FREQ. NOTATIE</t>
  </si>
  <si>
    <t>Medewerker lngrp. 2 (1 tot 8 jaar)</t>
  </si>
  <si>
    <t>Medewerker lngrp. 2 (8 jaar en langer)</t>
  </si>
  <si>
    <t>Horizontale lammellen nat reinigen</t>
  </si>
  <si>
    <t>2 lagen</t>
  </si>
  <si>
    <t>geheel</t>
  </si>
  <si>
    <t>nader in te vullen</t>
  </si>
  <si>
    <t>Basisuurloon</t>
  </si>
  <si>
    <t>Bedrijfsgemiddelde</t>
  </si>
  <si>
    <t>Besteknummer</t>
  </si>
  <si>
    <t>Bijzonderheden</t>
  </si>
  <si>
    <t>Prijs p/m1 boven 100m1 excl. btw</t>
  </si>
  <si>
    <t>Prijs p/m1 onder 100m1 excl. btw</t>
  </si>
  <si>
    <t>Toelichting:</t>
  </si>
  <si>
    <t>Korting</t>
  </si>
  <si>
    <t>* Opmerkingen</t>
  </si>
  <si>
    <t>Afschrijvingskosten per jaar</t>
  </si>
  <si>
    <t>Alle prijzen inclusief materialen en middelen, voorrijkosten en overige bijkomende kosten.</t>
  </si>
  <si>
    <t>Frequentie-omschr.</t>
  </si>
  <si>
    <t>Vergader-/spreekruimten</t>
  </si>
  <si>
    <t>Ziektedagen</t>
  </si>
  <si>
    <t>* Arbeidsmiddelen</t>
  </si>
  <si>
    <t>Zondag</t>
  </si>
  <si>
    <t>Prijs per jaar</t>
  </si>
  <si>
    <t>RUIMTE CATEGORIE</t>
  </si>
  <si>
    <t>Overgangsregeling</t>
  </si>
  <si>
    <t>[zie premies en opslagen]</t>
  </si>
  <si>
    <t>Totaal eindtarief normale werktijden [06.00-21.30 uur]</t>
  </si>
  <si>
    <t xml:space="preserve">Renteverlies per jaar </t>
  </si>
  <si>
    <t xml:space="preserve">06:00-21:30 uur maan-/vrijdag </t>
  </si>
  <si>
    <t>JAARPRIJS SCHOONMAAK</t>
  </si>
  <si>
    <t>Stoelen stoffering poederreinging</t>
  </si>
  <si>
    <t>Grondslag loon voor berekening OP premie</t>
  </si>
  <si>
    <t>Effectieve OP premie</t>
  </si>
  <si>
    <t>Feestdag</t>
  </si>
  <si>
    <t>WGA gedifferentieerde premie</t>
  </si>
  <si>
    <t>Aantal dagen per jaar</t>
  </si>
  <si>
    <t>Aantal uren per jaar</t>
  </si>
  <si>
    <t>Kosten bij koop per jaar</t>
  </si>
  <si>
    <t>RUIMTE OMSCHRIJVING (OPDRACHTGEVER)</t>
  </si>
  <si>
    <t>Totaal eindtarief weekenden [incl. 50% toeslag]</t>
  </si>
  <si>
    <t>Vorstverlet</t>
  </si>
  <si>
    <t>: cijfermatige notatie van het aantal keren dat een ruimte per jaar wordt schoongemaakt (zie onderstaande opgave)</t>
  </si>
  <si>
    <t>VERHOUDING VLOEROPP.</t>
  </si>
  <si>
    <t>Bruto uurloon inclusief toeslagen</t>
  </si>
  <si>
    <t>Franchise OP-premie per uur</t>
  </si>
  <si>
    <t>Prijs p/m2 excl. btw</t>
  </si>
  <si>
    <t>RUIMTECATEGORIE</t>
  </si>
  <si>
    <t>Jeugd</t>
  </si>
  <si>
    <t>Totaal directe kosten</t>
  </si>
  <si>
    <t>Activiteit</t>
  </si>
  <si>
    <t>Berekening werkbaredagen</t>
  </si>
  <si>
    <t>FREQ. PER JAAR</t>
  </si>
  <si>
    <t xml:space="preserve">Vakantietoeslag </t>
  </si>
  <si>
    <t>JAARPRIJS GLASBEWASSING (indien van toepassing)</t>
  </si>
  <si>
    <t>SV-loon grondslag voor berekening sociale verzekeringen</t>
  </si>
  <si>
    <t>Materiaal/- en middelen</t>
  </si>
  <si>
    <t>Ruimtecategorie</t>
  </si>
  <si>
    <t>Kosten ziektedagen</t>
  </si>
  <si>
    <t>Netto aanschafprijs</t>
  </si>
  <si>
    <t xml:space="preserve"> </t>
  </si>
  <si>
    <t>Restwaarde</t>
  </si>
  <si>
    <t>Info Blad</t>
  </si>
  <si>
    <t>Aantal stuks 11-50</t>
  </si>
  <si>
    <t xml:space="preserve">Afschrijvingstermijn in jaren </t>
  </si>
  <si>
    <t>Nietmeewerkend toezicht lngrp. 2 (1 tot 8 jaar)</t>
  </si>
  <si>
    <t>MACHINEKOSTEN [zie blad machine investeringen voor kostenopbouw]</t>
  </si>
  <si>
    <t>VLOER SOORT</t>
  </si>
  <si>
    <t>Werkkleding en uitrusting</t>
  </si>
  <si>
    <t>Machinekosten</t>
  </si>
  <si>
    <t>S</t>
  </si>
  <si>
    <t>FREQ. OMSCHRIJVING</t>
  </si>
  <si>
    <t>Naam leverancier</t>
  </si>
  <si>
    <t xml:space="preserve">Verzekeringskosten per jaar </t>
  </si>
  <si>
    <t>Toelichting kengetallenoverzicht:</t>
  </si>
  <si>
    <t>: unieke code die is gekoppeld aan een schoonmaakprogramma voor een bepaalde ruimtecategorie</t>
  </si>
  <si>
    <t>Frequentienotatie</t>
  </si>
  <si>
    <t>Projectgebonden!</t>
  </si>
  <si>
    <t>Subtotaal loonkosten per uur inclusief sociale verzekeringen</t>
  </si>
  <si>
    <t>Overgordijnen wassen</t>
  </si>
  <si>
    <t xml:space="preserve">Sociale verzekeringen - Ouderdomspensioen (OP/NP) </t>
  </si>
  <si>
    <t xml:space="preserve">Stoelen stoffering shamponeren </t>
  </si>
  <si>
    <t>Nat. feestdagen, kort verzuim, bijz CAO</t>
  </si>
  <si>
    <t>Premies Sociale Verzekeringen</t>
  </si>
  <si>
    <t>Marge loonkosten - eindtarief</t>
  </si>
  <si>
    <t>: omschrijving van het aantal keren dat een ruimte per jaar wordt schoongemaakt (zie onderstaande opgave)</t>
  </si>
  <si>
    <t>Reiskosten/autokosten</t>
  </si>
  <si>
    <t>Op de diverse tabbladen zijn invoervelden opgenomen, deze zijn blauw gekleurd zoals het voorbeeld ----&gt;</t>
  </si>
  <si>
    <t>Jaarprijs leveringen sanitaire leveringen excl. btw</t>
  </si>
  <si>
    <t>Niet van toepassing</t>
  </si>
  <si>
    <t>Totaal indirecte kosten</t>
  </si>
  <si>
    <t>Risico en winst</t>
  </si>
  <si>
    <t>Prijsvorming Extra Vloerenonderhoud  (inclusief uit-/inruimen van het meubilair)</t>
  </si>
  <si>
    <t>RAS Heffing</t>
  </si>
  <si>
    <t>Totaal opslag sociale lasten</t>
  </si>
  <si>
    <t>Werkloosheidswet (W.W.)</t>
  </si>
  <si>
    <t>Kinderopvang</t>
  </si>
  <si>
    <t>Totaal % opslag werkbare dagen</t>
  </si>
  <si>
    <t>7. Op het tabblad "Machine-investering" dient u uw gegevens in de blauwe invoervelden in te voeren.</t>
  </si>
  <si>
    <t>Totaal loonkosten per uur</t>
  </si>
  <si>
    <t>Programmacode</t>
  </si>
  <si>
    <t>B</t>
  </si>
  <si>
    <t xml:space="preserve">RUIMTE NR </t>
  </si>
  <si>
    <t>nvt</t>
  </si>
  <si>
    <t>JAARPRIJS SANITAIRE ARTIKELEN</t>
  </si>
  <si>
    <t>Percentage</t>
  </si>
  <si>
    <t xml:space="preserve">Opmerking: dit blad bevat automatische koppelingen. Na invulling van de invoervelden in het Kengetallenoverzicht behoeft de ruimtestaat niet meer te worden bewerkt. </t>
  </si>
  <si>
    <t>5. Op het tabblad "Opbouw uurtarieven" dient u uw gegevens in de blauwe invoervelden in te voeren.</t>
  </si>
  <si>
    <t>PROGR. CODE</t>
  </si>
  <si>
    <t>KENGETAL NALOOP-BEURT</t>
  </si>
  <si>
    <t>VSR-code</t>
  </si>
  <si>
    <t>Indirect toezicht</t>
  </si>
  <si>
    <t>1 x per week</t>
  </si>
  <si>
    <t>Schoonmaak</t>
  </si>
  <si>
    <t>Glasbewassing</t>
  </si>
  <si>
    <t>2. Op het tabblad "Kengetal" dient u uw gegevens in de blauwe invoervelden in te voeren.</t>
  </si>
  <si>
    <t>Tijdvak</t>
  </si>
  <si>
    <t>Maandag</t>
  </si>
  <si>
    <t>Dinsdag</t>
  </si>
  <si>
    <t>Woensdag</t>
  </si>
  <si>
    <t>Donderdag</t>
  </si>
  <si>
    <t>Vrijdag</t>
  </si>
  <si>
    <t>Zaterdag</t>
  </si>
  <si>
    <t>Prijsvorming Stoelen/banken/fauteuils reiniging (uitvoering op afroep)</t>
  </si>
  <si>
    <t>Lino-/marmoleum sprayen</t>
  </si>
  <si>
    <t>Steen/PVC schrobben</t>
  </si>
  <si>
    <t>Verticale lammellen nat reinigen</t>
  </si>
  <si>
    <t>Totaal eindtarief feestdagen [incl. 150% toeslag]</t>
  </si>
  <si>
    <t>Ruimtestaat</t>
  </si>
  <si>
    <t>5 x per week</t>
  </si>
  <si>
    <t>Prijs p/m2 onder 100m2 excl. btw</t>
  </si>
  <si>
    <t>4. Op het tabblad "Premies en opslagen" dient u uw gegevens in de blauwe invoervelden in te voeren.</t>
  </si>
  <si>
    <t>Machine investeringkosten</t>
  </si>
  <si>
    <t>Machine</t>
  </si>
  <si>
    <t>Omschrijving</t>
  </si>
  <si>
    <t>06.00 - 21.30</t>
  </si>
  <si>
    <t>Gebouw/plaats</t>
  </si>
  <si>
    <t>Kosten verzuimbegeleiding</t>
  </si>
  <si>
    <t>Vertrouwelijk</t>
  </si>
  <si>
    <t xml:space="preserve">Structurele eindejaarsuitkering </t>
  </si>
  <si>
    <t>Regiewerkzaamheden</t>
  </si>
  <si>
    <t>Uren per dag</t>
  </si>
  <si>
    <t>Toelichting calculatiemodel</t>
  </si>
  <si>
    <r>
      <t>Ruimtestaat en plattegronden</t>
    </r>
    <r>
      <rPr>
        <sz val="8"/>
        <rFont val="Tahoma"/>
        <family val="2"/>
      </rPr>
      <t>  </t>
    </r>
  </si>
  <si>
    <t xml:space="preserve">De ruimtestaat is in tabblad 3 van dit calculatiemodel toegevoegd. De ruimtestaat is met een zo groot mogelijke zorgvuldigheid samengesteld. Dit sluit echter niet uit dat er desondanks verschillen met de werkelijkheid kunnen optreden, tengevolge van verbouwingen en verhuizingen in gebouw(en). </t>
  </si>
  <si>
    <t>De dienstverlener dient voor de calculatie uit te gaan van de in het calculatiemodel opgenomen ruimtegegevens. Indien nodig worden eventuele wijzigingen in de ruimtestaat na gunning in de calculatie doorgevoerd en verrekend met behulp van de door de dienstverlener opgegeven kengetallen.</t>
  </si>
  <si>
    <t>De ruimtestaat bevat de volgende gegevens:</t>
  </si>
  <si>
    <t>Ruimtegegevens</t>
  </si>
  <si>
    <t>GEB</t>
  </si>
  <si>
    <t>Gebouw</t>
  </si>
  <si>
    <t>VERD</t>
  </si>
  <si>
    <t>Verdieping</t>
  </si>
  <si>
    <t>RUIMTENR</t>
  </si>
  <si>
    <t>Ruimtenummer</t>
  </si>
  <si>
    <t>RUIMTE-CATEGORIE</t>
  </si>
  <si>
    <t>omschrijving/benaming van de ruimte</t>
  </si>
  <si>
    <r>
      <t>netto vloer oppervlakte in m</t>
    </r>
    <r>
      <rPr>
        <vertAlign val="superscript"/>
        <sz val="10"/>
        <rFont val="Tahoma"/>
        <family val="2"/>
      </rPr>
      <t>2</t>
    </r>
  </si>
  <si>
    <t>VLOERSOORT</t>
  </si>
  <si>
    <t>omschrijving van de vloersoort</t>
  </si>
  <si>
    <t>FREQ.</t>
  </si>
  <si>
    <t>uitvoeringsfrequentie per jaar</t>
  </si>
  <si>
    <t>PROGR.</t>
  </si>
  <si>
    <t>programma-code</t>
  </si>
  <si>
    <t>KENG.</t>
  </si>
  <si>
    <r>
      <t>kengetal in uren per m</t>
    </r>
    <r>
      <rPr>
        <vertAlign val="superscript"/>
        <sz val="10"/>
        <rFont val="Tahoma"/>
        <family val="2"/>
      </rPr>
      <t>2</t>
    </r>
    <r>
      <rPr>
        <sz val="10"/>
        <rFont val="Tahoma"/>
        <family val="2"/>
      </rPr>
      <t xml:space="preserve"> per jaar</t>
    </r>
  </si>
  <si>
    <t>UREN MA-VRIJ</t>
  </si>
  <si>
    <t>schoonmaaktijd in uren per jaar voor de basisbeurt van maandag t/m vrijdag</t>
  </si>
  <si>
    <t>UREN NALOOP</t>
  </si>
  <si>
    <t>schoonmaaktijd in uren per jaar voor de naloopronde van maandag t/m vrijdag</t>
  </si>
  <si>
    <t>UREN ZA-ZO-FST</t>
  </si>
  <si>
    <t>schoonmaaktijd in uren per jaar voor zater-, zon- en feestdagen</t>
  </si>
  <si>
    <t>ruimtecode t.b.v. kwaliteitsmeting NEN 2075</t>
  </si>
  <si>
    <t>omschrijving van bijzonderheden</t>
  </si>
  <si>
    <t>Indien gewenst kunnen de plattegronden door middel van een schriftelijk verzoek worden aangevraagd bij de opdrachtgever.</t>
  </si>
  <si>
    <r>
      <t>Uitvoeringsfrequentie</t>
    </r>
    <r>
      <rPr>
        <sz val="8"/>
        <rFont val="Tahoma"/>
        <family val="2"/>
      </rPr>
      <t>  </t>
    </r>
  </si>
  <si>
    <t>De werkprogramma’s en ruimtestaat zijn voorzien van uitvoeringsfrequenties.</t>
  </si>
  <si>
    <t>Frequentie per jaar</t>
  </si>
  <si>
    <t>2 x per week</t>
  </si>
  <si>
    <t>4 x per jaar</t>
  </si>
  <si>
    <r>
      <t>Kengetallen en productienormen</t>
    </r>
    <r>
      <rPr>
        <sz val="8"/>
        <rFont val="Tahoma"/>
        <family val="2"/>
      </rPr>
      <t>  </t>
    </r>
  </si>
  <si>
    <r>
      <t>De productie-uren die benodigd zijn voor het schoonmaken van een ruimte overeenkomstig de bijbehorende opleverstaten worden uitgedrukt in een kengetal. Het kengetal geeft de hoeveelheid tijd per m</t>
    </r>
    <r>
      <rPr>
        <vertAlign val="superscript"/>
        <sz val="10"/>
        <rFont val="Tahoma"/>
        <family val="2"/>
      </rPr>
      <t>2</t>
    </r>
    <r>
      <rPr>
        <sz val="10"/>
        <rFont val="Tahoma"/>
        <family val="2"/>
      </rPr>
      <t xml:space="preserve"> per jaar aan. In de ruimtestaat wordt, door een vermenigvuldiging van de m</t>
    </r>
    <r>
      <rPr>
        <vertAlign val="superscript"/>
        <sz val="10"/>
        <rFont val="Tahoma"/>
        <family val="2"/>
      </rPr>
      <t>2</t>
    </r>
    <r>
      <rPr>
        <sz val="10"/>
        <rFont val="Tahoma"/>
        <family val="2"/>
      </rPr>
      <t xml:space="preserve"> met het kengetal, het aantal schoonmaakuren per jaar gecalculeerd. Deze uren staan vermeld in de kolom “UREN MA-VRIJ” en indien van toepassing “UREN NALOOP” en “UREN ZA-ZO-FST”. De dienstverlener dient conform het calculatiemodel bijlage 3 per opleverfrequentie voor berekening een opgave te verstrekken van de kengetallen in uren per m2 per jaar en de daarmee overeenkomende productienormen in m2 per uur.</t>
    </r>
  </si>
  <si>
    <t xml:space="preserve">dagelijks van maandag t/m vrijdag </t>
  </si>
  <si>
    <t>dagelijks van maandag t/m zondag</t>
  </si>
  <si>
    <t>3 x per week</t>
  </si>
  <si>
    <t>5 x per 2 weken oftewel om de dag</t>
  </si>
  <si>
    <t>1 x per maand</t>
  </si>
  <si>
    <t>Charles de Foucauld</t>
  </si>
  <si>
    <t>LMC</t>
  </si>
  <si>
    <t>K0.01</t>
  </si>
  <si>
    <t>K0.02</t>
  </si>
  <si>
    <t>Overige / berging</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</si>
  <si>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</si>
  <si>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</si>
  <si>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</si>
  <si>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</si>
  <si>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</si>
  <si>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</si>
  <si>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</si>
  <si>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</si>
  <si>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</si>
  <si>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</si>
  <si>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</si>
  <si>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</si>
  <si>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</si>
  <si>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</si>
  <si>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</si>
  <si>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</si>
  <si>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</si>
  <si>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</si>
  <si>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</si>
  <si>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</si>
  <si>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</si>
  <si>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</si>
  <si>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</si>
  <si>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</si>
  <si>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</si>
  <si>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</si>
  <si>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</si>
  <si>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</si>
  <si>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</si>
  <si>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</si>
  <si>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</si>
  <si>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</si>
  <si>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</si>
  <si>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</si>
  <si>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</si>
  <si>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</si>
  <si>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</si>
  <si>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</si>
  <si>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</si>
  <si>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</si>
  <si>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</si>
  <si>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</si>
  <si>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</si>
  <si>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</si>
  <si>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</si>
  <si>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</si>
  <si>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</si>
  <si>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</si>
  <si>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</si>
  <si>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</si>
  <si>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</si>
  <si>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</si>
  <si>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</si>
  <si>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</si>
  <si>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B0.55</t>
  </si>
  <si>
    <t>B0.56</t>
  </si>
  <si>
    <t>B0.57</t>
  </si>
  <si>
    <t>B0.58</t>
  </si>
  <si>
    <t>B0.59</t>
  </si>
  <si>
    <t>B0.60</t>
  </si>
  <si>
    <t>B0.61</t>
  </si>
  <si>
    <t>B0.62</t>
  </si>
  <si>
    <t>B0.63</t>
  </si>
  <si>
    <t>B0.64</t>
  </si>
  <si>
    <t>B0.65</t>
  </si>
  <si>
    <t>B0.66</t>
  </si>
  <si>
    <t>B0.67</t>
  </si>
  <si>
    <t>B0.68</t>
  </si>
  <si>
    <t>B0.69</t>
  </si>
  <si>
    <t>B0.70</t>
  </si>
  <si>
    <t>B0.71</t>
  </si>
  <si>
    <t>Verkeersruimte</t>
  </si>
  <si>
    <t>Mediatheek/Bieb/Computerl.</t>
  </si>
  <si>
    <t>Sanitaire ruimte</t>
  </si>
  <si>
    <t>Leslokaal</t>
  </si>
  <si>
    <t>Kantoorruimte</t>
  </si>
  <si>
    <t>Personeelsruimte</t>
  </si>
  <si>
    <t>Garderobe</t>
  </si>
  <si>
    <t>CV-ruimte</t>
  </si>
  <si>
    <t>Keuken</t>
  </si>
  <si>
    <t>Aula</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</si>
  <si>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</si>
  <si>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</si>
  <si>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</si>
  <si>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</si>
  <si>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</si>
  <si>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</si>
  <si>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</si>
  <si>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</si>
  <si>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</si>
  <si>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</si>
  <si>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</si>
  <si>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</si>
  <si>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</si>
  <si>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</si>
  <si>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</si>
  <si>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</si>
  <si>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</si>
  <si>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</si>
  <si>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</si>
  <si>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</si>
  <si>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</si>
  <si>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</si>
  <si>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</si>
  <si>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</si>
  <si>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</si>
  <si>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</si>
  <si>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</si>
  <si>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</si>
  <si>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</si>
  <si>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</si>
  <si>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</si>
  <si>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</si>
  <si>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</si>
  <si>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</si>
  <si>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</si>
  <si>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</si>
  <si>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</si>
  <si>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</si>
  <si>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</si>
  <si>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</si>
  <si>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</si>
  <si>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</si>
  <si>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</si>
  <si>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</si>
  <si>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</si>
  <si>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</si>
  <si>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</si>
  <si>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</si>
  <si>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</si>
  <si>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</si>
  <si>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</si>
  <si>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</si>
  <si>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</si>
  <si>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</si>
  <si>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</si>
  <si>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</si>
  <si>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2.01</t>
  </si>
  <si>
    <t>2.02</t>
  </si>
  <si>
    <t>2.03</t>
  </si>
  <si>
    <t>2.04</t>
  </si>
  <si>
    <t>2.05</t>
  </si>
  <si>
    <t>2.06</t>
  </si>
  <si>
    <t>2.07</t>
  </si>
  <si>
    <t>2.08</t>
  </si>
  <si>
    <t>2.09</t>
  </si>
  <si>
    <t>2.10</t>
  </si>
  <si>
    <t>2.11</t>
  </si>
  <si>
    <t>2.12</t>
  </si>
  <si>
    <t>2.13</t>
  </si>
  <si>
    <t>2.14</t>
  </si>
  <si>
    <t>2.15</t>
  </si>
  <si>
    <t>2.16</t>
  </si>
  <si>
    <t>2.17</t>
  </si>
  <si>
    <t>3.01</t>
  </si>
  <si>
    <t>3.02</t>
  </si>
  <si>
    <t>3.03</t>
  </si>
  <si>
    <t>3.04</t>
  </si>
  <si>
    <t>3.05</t>
  </si>
  <si>
    <t>3.06</t>
  </si>
  <si>
    <t>3.07</t>
  </si>
  <si>
    <t>3.08</t>
  </si>
  <si>
    <t>3.09</t>
  </si>
  <si>
    <t>3.10</t>
  </si>
  <si>
    <t>3.11</t>
  </si>
  <si>
    <t>3.12</t>
  </si>
  <si>
    <t>3.13</t>
  </si>
  <si>
    <t>3.14</t>
  </si>
  <si>
    <t>Lift</t>
  </si>
  <si>
    <t>Spreekkamer</t>
  </si>
  <si>
    <t>Computerlokaal</t>
  </si>
  <si>
    <t>GKH bijgebouw</t>
  </si>
  <si>
    <t>Toorop Mavo gymzaal</t>
  </si>
  <si>
    <t>Douche/wc/kleedruimte</t>
  </si>
  <si>
    <t>Gymnastiek</t>
  </si>
  <si>
    <t>Roncalli Mavo loc. Thorbecke</t>
  </si>
  <si>
    <t>Mavo Delfshaven</t>
  </si>
  <si>
    <t>Roncalli Mavo</t>
  </si>
  <si>
    <t>0.55</t>
  </si>
  <si>
    <t>0.56</t>
  </si>
  <si>
    <t>0.57</t>
  </si>
  <si>
    <t>0.58</t>
  </si>
  <si>
    <t>0.59</t>
  </si>
  <si>
    <t>0.60</t>
  </si>
  <si>
    <t>0.61</t>
  </si>
  <si>
    <t>1.13a</t>
  </si>
  <si>
    <t>Overige / Berging</t>
  </si>
  <si>
    <t>Rotterdam</t>
  </si>
  <si>
    <t>NAW gegevens</t>
  </si>
  <si>
    <t>Lisstraat 13, 3202 JG SPIJKENISSE</t>
  </si>
  <si>
    <t>Mathenesserdijk 455, 3026 GH Rotterdam</t>
  </si>
  <si>
    <t>Tattistraat 13, 3066 CG Rotterdam</t>
  </si>
  <si>
    <t>Westzeedijk 497, 3024 EL ROTTERDAM</t>
  </si>
  <si>
    <t>Tattistraat 3-5, 3066 CE ROTTERDAM</t>
  </si>
  <si>
    <t>Tooroplaan 8, 3055 VG ROTTERDAM</t>
  </si>
  <si>
    <t>Overig / berging</t>
  </si>
  <si>
    <t>Gijsbert Karel van Hogendorp</t>
  </si>
  <si>
    <t>Mathenesserdijk 455, 3026 GH ROTTERDAM</t>
  </si>
  <si>
    <t>T1.01</t>
  </si>
  <si>
    <t>T1.02</t>
  </si>
  <si>
    <t>Toorop MAVO</t>
  </si>
  <si>
    <t>0.08A</t>
  </si>
  <si>
    <t>Pantry</t>
  </si>
  <si>
    <t xml:space="preserve">m2 </t>
  </si>
  <si>
    <t>Uur/jaar mv</t>
  </si>
  <si>
    <t>Kosten/jaar</t>
  </si>
  <si>
    <t>totaal</t>
  </si>
  <si>
    <t>Ma/vr</t>
  </si>
  <si>
    <t>toezicht ma-vr</t>
  </si>
  <si>
    <t>machines</t>
  </si>
  <si>
    <t>Locatie</t>
  </si>
  <si>
    <t>Adres</t>
  </si>
  <si>
    <t>Perceelverdeling</t>
  </si>
  <si>
    <t>Lift schacht</t>
  </si>
  <si>
    <t>Leslokaal regulier</t>
  </si>
  <si>
    <t>Leslokaal praktijk</t>
  </si>
  <si>
    <t>L</t>
  </si>
  <si>
    <t>Personeelsruimten</t>
  </si>
  <si>
    <t>Gym lokaal</t>
  </si>
  <si>
    <t>Mediatheek/Bibliotheek/Computerlokaal</t>
  </si>
  <si>
    <t>Fietsenstalling</t>
  </si>
  <si>
    <t>1x per 2 weken</t>
  </si>
  <si>
    <t>0.08t</t>
  </si>
  <si>
    <t>Trappenhuis</t>
  </si>
  <si>
    <t>0</t>
  </si>
  <si>
    <t>0.01t</t>
  </si>
  <si>
    <t>0.02t</t>
  </si>
  <si>
    <t>1.01t</t>
  </si>
  <si>
    <t>0.50t</t>
  </si>
  <si>
    <t>0.11t</t>
  </si>
  <si>
    <t>K0.01t</t>
  </si>
  <si>
    <t>0.27t</t>
  </si>
  <si>
    <t>0.12t</t>
  </si>
  <si>
    <t>0.03t</t>
  </si>
  <si>
    <t>1.02t</t>
  </si>
  <si>
    <t>1.11t</t>
  </si>
  <si>
    <t>2.01t</t>
  </si>
  <si>
    <t>2.11t</t>
  </si>
  <si>
    <t>keuken aula</t>
  </si>
  <si>
    <t>Glassoort</t>
  </si>
  <si>
    <t>M2 tarief</t>
  </si>
  <si>
    <t>Geveglas binnen</t>
  </si>
  <si>
    <t>Separatieglas</t>
  </si>
  <si>
    <t>Gevelglas buiten beloopbaar</t>
  </si>
  <si>
    <t>Gevelglas buiten beladderbaar</t>
  </si>
  <si>
    <t>Gevelglas buiten gevelinstallatie</t>
  </si>
  <si>
    <t>Gevelglas buiten tuckerpoole</t>
  </si>
  <si>
    <t>Gevelglas buiten hoogwerker</t>
  </si>
  <si>
    <t>adres &amp; plaats</t>
  </si>
  <si>
    <t>omschrijving glassoort</t>
  </si>
  <si>
    <t>Bereikbaarheid</t>
  </si>
  <si>
    <r>
      <t>m</t>
    </r>
    <r>
      <rPr>
        <vertAlign val="superscript"/>
        <sz val="12"/>
        <rFont val="Tahoma"/>
        <family val="2"/>
      </rPr>
      <t>2</t>
    </r>
  </si>
  <si>
    <t>frequentie per jaar</t>
  </si>
  <si>
    <r>
      <t>kosten per m</t>
    </r>
    <r>
      <rPr>
        <vertAlign val="superscript"/>
        <sz val="10"/>
        <rFont val="Tahoma"/>
        <family val="2"/>
      </rPr>
      <t>2</t>
    </r>
  </si>
  <si>
    <t>Kosten inzet hoogtevoorziening, per beurt</t>
  </si>
  <si>
    <t>Kosten per beurt</t>
  </si>
  <si>
    <t>Totaal kosten per jaar</t>
  </si>
  <si>
    <t>bijzonderheden / toelichting klimmateriaal</t>
  </si>
  <si>
    <t>separatieglas</t>
  </si>
  <si>
    <t>Beloopbaar</t>
  </si>
  <si>
    <t>gevelglas binnen</t>
  </si>
  <si>
    <t>Beladderbaar</t>
  </si>
  <si>
    <t>gevelglas buiten</t>
  </si>
  <si>
    <t>Hoogwerker</t>
  </si>
  <si>
    <t>TOTAAL KOSTEN PER JAAR</t>
  </si>
  <si>
    <t>Nee</t>
  </si>
  <si>
    <t>Deze gegevens worden na gunning door de leverancier ingevuld</t>
  </si>
  <si>
    <t>Contractblad glas</t>
  </si>
  <si>
    <t>School</t>
  </si>
  <si>
    <t>Douche/wc</t>
  </si>
  <si>
    <t>kleedruimte</t>
  </si>
  <si>
    <t>Kosten regulier onderhoud</t>
  </si>
  <si>
    <t>OPPERVLAKTE</t>
  </si>
  <si>
    <t>xx</t>
  </si>
  <si>
    <t>Lino-/marmoleum topstrippen</t>
  </si>
  <si>
    <t>Lino-/marmoleum deepstrippen</t>
  </si>
  <si>
    <t>m2</t>
  </si>
  <si>
    <t>uren</t>
  </si>
  <si>
    <t>gemiddelde prestatie</t>
  </si>
  <si>
    <t>Keuken / pantry</t>
  </si>
  <si>
    <t>Kosten glasbewassing</t>
  </si>
  <si>
    <t>10 x per week</t>
  </si>
  <si>
    <t>4 x per week</t>
  </si>
  <si>
    <t>LMC-EA-JV-2014</t>
  </si>
  <si>
    <t>Aula/kantine</t>
  </si>
  <si>
    <t>Linoleum</t>
  </si>
  <si>
    <t>Tapijt</t>
  </si>
  <si>
    <t>Tegels</t>
  </si>
  <si>
    <t>Hout</t>
  </si>
  <si>
    <t>Gietvloer</t>
  </si>
  <si>
    <t>Natuursteen</t>
  </si>
  <si>
    <t>Beton</t>
  </si>
  <si>
    <t>Linoleum (verouderd)</t>
  </si>
  <si>
    <t>Beschrijving artikelen</t>
  </si>
  <si>
    <t>Beschrijving artikel dispensers</t>
  </si>
  <si>
    <t>Soort</t>
  </si>
  <si>
    <t>Prijs  per stuk per week</t>
  </si>
  <si>
    <t>Handdoekdispenser</t>
  </si>
  <si>
    <t>Huur all-in</t>
  </si>
  <si>
    <t>Zeepdispenser</t>
  </si>
  <si>
    <t>Toiletroldispenser</t>
  </si>
  <si>
    <t>Toiletborstel met houder</t>
  </si>
  <si>
    <t>Luchtverfrisser</t>
  </si>
  <si>
    <t>Dameshygiene bakken</t>
  </si>
  <si>
    <t>Bril hygiene</t>
  </si>
  <si>
    <t>Garagezeep</t>
  </si>
  <si>
    <t>Schoonloopmatten (200 x 150 cm)</t>
  </si>
  <si>
    <t>Schoonloopmatten (150 x 85 cm)</t>
  </si>
  <si>
    <t>Schoonloopmatten (180 x 115 cm)</t>
  </si>
  <si>
    <t>Schoonloopmatten (80 x 50 cm)</t>
  </si>
  <si>
    <t>Beschrijving artikel vullingen</t>
  </si>
  <si>
    <t>zit in prijs</t>
  </si>
  <si>
    <t>handdoekautomaat</t>
  </si>
  <si>
    <t>koop</t>
  </si>
  <si>
    <t>Beschrijving artikel vullingen, inclusief hoeveelheid per verpakkingseenheid</t>
  </si>
  <si>
    <t>Koop</t>
  </si>
  <si>
    <t>Contractblad sanitaire supplies</t>
  </si>
  <si>
    <t>Contractblad jaarprijs perceel 1</t>
  </si>
  <si>
    <t>ntb</t>
  </si>
  <si>
    <t>merk &amp; artikelnummer</t>
  </si>
  <si>
    <t>Factor</t>
  </si>
  <si>
    <t xml:space="preserve">Perceel </t>
  </si>
  <si>
    <t>Leslokaal praktijk inclusief vloeronderhoud</t>
  </si>
</sst>
</file>

<file path=xl/styles.xml><?xml version="1.0" encoding="utf-8"?>
<styleSheet xmlns="http://schemas.openxmlformats.org/spreadsheetml/2006/main" xmlns:mc="http://schemas.openxmlformats.org/markup-compatibility/2006" xmlns:x14ac="http://schemas.microsoft.com/office/spreadsheetml/2009/9/ac" mc:Ignorable="x14ac">
  <numFmts count="37">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 #,##0_-;_-* #,##0\-;_-* &quot;-&quot;_-;_-@_-"/>
    <numFmt numFmtId="167" formatCode="_-&quot;€&quot;\ * #,##0.00_-;_-&quot;€&quot;\ * #,##0.00\-;_-&quot;€&quot;\ * &quot;-&quot;??_-;_-@_-"/>
    <numFmt numFmtId="168" formatCode="_-* #,##0.00_-;_-* #,##0.00\-;_-* &quot;-&quot;??_-;_-@_-"/>
    <numFmt numFmtId="169" formatCode="_(&quot;€&quot;* #,##0.00_);_(&quot;€&quot;* \(#,##0.00\);_(&quot;€&quot;* &quot;-&quot;??_);_(@_)"/>
    <numFmt numFmtId="170" formatCode="_(&quot;ƒ&quot;* #,##0.00_);_(&quot;ƒ&quot;* \(#,##0.00\);_(&quot;ƒ&quot;* &quot;-&quot;??_);_(@_)"/>
    <numFmt numFmtId="171" formatCode="_-* #,##0.00_-;\-* #,##0.00_-;_-* &quot;-&quot;??_-;_-@_-"/>
    <numFmt numFmtId="172" formatCode="&quot;Fl.&quot;#,##0.00_);[Red]\(&quot;Fl.&quot;#,##0.00\)"/>
    <numFmt numFmtId="173" formatCode="_(&quot;Fl.&quot;* #,##0_);_(&quot;Fl.&quot;* \(#,##0\);_(&quot;Fl.&quot;* &quot;-&quot;_);_(@_)"/>
    <numFmt numFmtId="174" formatCode="_(&quot;Fl.&quot;* #,##0.00_);_(&quot;Fl.&quot;* \(#,##0.00\);_(&quot;Fl.&quot;* &quot;-&quot;??_);_(@_)"/>
    <numFmt numFmtId="175" formatCode="0_)"/>
    <numFmt numFmtId="176" formatCode="General_)"/>
    <numFmt numFmtId="177" formatCode="0.00_)"/>
    <numFmt numFmtId="178" formatCode="0.000"/>
    <numFmt numFmtId="179" formatCode="_-* #,##0_-;_-* #,##0\-;_-* &quot;-&quot;??_-;_-@_-"/>
    <numFmt numFmtId="180" formatCode="00,000"/>
    <numFmt numFmtId="181" formatCode="0.0%"/>
    <numFmt numFmtId="182" formatCode="0.0"/>
    <numFmt numFmtId="183" formatCode="0.000%"/>
    <numFmt numFmtId="184" formatCode="&quot;€.&quot;#,##0.00_);[Red]\(&quot;€.&quot;#,##0.00\)"/>
    <numFmt numFmtId="185" formatCode="_-[$€-2]\ * #,##0.00_ ;_-[$€-2]\ * \-#,##0.00\ ;_-[$€-2]\ * &quot;-&quot;??_ ;_-@_ "/>
    <numFmt numFmtId="186" formatCode="_([$€-2]\ * #,##0.00_);_([$€-2]\ * \(#,##0.00\);_([$€-2]\ * &quot;-&quot;??_);_(@_)"/>
    <numFmt numFmtId="187" formatCode="_([$€-2]\ * #,##0.000_);_([$€-2]\ * \(#,##0.000\);_([$€-2]\ * &quot;-&quot;??_);_(@_)"/>
    <numFmt numFmtId="188" formatCode="_ [$€-413]\ * #,##0.00_ ;_ [$€-413]\ * \-#,##0.00_ ;_ [$€-413]\ * &quot;-&quot;??_ ;_ @_ "/>
    <numFmt numFmtId="189" formatCode="&quot;€&quot;\ #,##0.00"/>
    <numFmt numFmtId="190" formatCode="_-* #,##0.0000_-;_-* #,##0.0000\-;_-* &quot;-&quot;??_-;_-@_-"/>
    <numFmt numFmtId="191" formatCode="[$-409]h:mm\ AM/PM;@"/>
    <numFmt numFmtId="192" formatCode="[$-F400]h:mm:ss\ AM/PM"/>
    <numFmt numFmtId="193" formatCode="_ [$€-2]\ * #,##0.00_ ;_ [$€-2]\ * \-#,##0.00_ ;_ [$€-2]\ * &quot;-&quot;??_ ;_ @_ "/>
    <numFmt numFmtId="194" formatCode="&quot;ƒ &quot;#,##0;[Red]\-&quot;ƒ &quot;#,##0"/>
    <numFmt numFmtId="195" formatCode="_-\€\ * #,##0.00"/>
    <numFmt numFmtId="196" formatCode="&quot;ƒ &quot;#,##0;\-&quot;ƒ &quot;#,##0"/>
    <numFmt numFmtId="197" formatCode="&quot;Fl.&quot;#,##0_);[Red]\(&quot;Fl.&quot;#,##0\)"/>
    <numFmt numFmtId="198" formatCode="_-\F* #,##0.00_-;\-\F* #,##0.00_-;_-\F* &quot;-&quot;??_-;_-@_-"/>
  </numFmts>
  <fonts count="84">
    <font>
      <sz val="10"/>
      <name val="MS Sans Serif"/>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Helv"/>
    </font>
    <font>
      <sz val="8"/>
      <name val="MS Sans Serif"/>
      <family val="2"/>
    </font>
    <font>
      <sz val="9"/>
      <name val="Geneva"/>
    </font>
    <font>
      <sz val="12"/>
      <name val="Times"/>
    </font>
    <font>
      <sz val="8"/>
      <name val="Geneva"/>
    </font>
    <font>
      <sz val="8"/>
      <name val="Verdana"/>
      <family val="2"/>
    </font>
    <font>
      <u/>
      <sz val="10"/>
      <color indexed="36"/>
      <name val="Arial"/>
      <family val="2"/>
    </font>
    <font>
      <b/>
      <sz val="9"/>
      <color indexed="18"/>
      <name val="Tahoma"/>
      <family val="2"/>
    </font>
    <font>
      <sz val="10"/>
      <color indexed="8"/>
      <name val="Tahoma"/>
      <family val="2"/>
    </font>
    <font>
      <sz val="10"/>
      <color indexed="18"/>
      <name val="Tahoma"/>
      <family val="2"/>
    </font>
    <font>
      <b/>
      <sz val="10"/>
      <color indexed="18"/>
      <name val="Tahoma"/>
      <family val="2"/>
    </font>
    <font>
      <sz val="10"/>
      <color indexed="10"/>
      <name val="Tahoma"/>
      <family val="2"/>
    </font>
    <font>
      <sz val="10"/>
      <name val="Tahoma"/>
      <family val="2"/>
    </font>
    <font>
      <b/>
      <sz val="10"/>
      <color indexed="10"/>
      <name val="Tahoma"/>
      <family val="2"/>
    </font>
    <font>
      <b/>
      <sz val="10"/>
      <name val="Tahoma"/>
      <family val="2"/>
    </font>
    <font>
      <b/>
      <sz val="14"/>
      <color indexed="18"/>
      <name val="Tahoma"/>
      <family val="2"/>
    </font>
    <font>
      <sz val="12"/>
      <name val="Tahoma"/>
      <family val="2"/>
    </font>
    <font>
      <b/>
      <sz val="10"/>
      <color indexed="20"/>
      <name val="Tahoma"/>
      <family val="2"/>
    </font>
    <font>
      <sz val="12"/>
      <color indexed="8"/>
      <name val="Tahoma"/>
      <family val="2"/>
    </font>
    <font>
      <b/>
      <sz val="12"/>
      <color indexed="18"/>
      <name val="Tahoma"/>
      <family val="2"/>
    </font>
    <font>
      <b/>
      <sz val="10"/>
      <color indexed="8"/>
      <name val="Tahoma"/>
      <family val="2"/>
    </font>
    <font>
      <sz val="12"/>
      <color indexed="18"/>
      <name val="Tahoma"/>
      <family val="2"/>
    </font>
    <font>
      <sz val="9"/>
      <name val="Tahoma"/>
      <family val="2"/>
    </font>
    <font>
      <b/>
      <sz val="9"/>
      <name val="Tahoma"/>
      <family val="2"/>
    </font>
    <font>
      <sz val="9"/>
      <color indexed="10"/>
      <name val="Tahoma"/>
      <family val="2"/>
    </font>
    <font>
      <b/>
      <sz val="9"/>
      <color indexed="20"/>
      <name val="Tahoma"/>
      <family val="2"/>
    </font>
    <font>
      <b/>
      <sz val="12"/>
      <color indexed="20"/>
      <name val="Tahoma"/>
      <family val="2"/>
    </font>
    <font>
      <b/>
      <sz val="12"/>
      <color indexed="10"/>
      <name val="Tahoma"/>
      <family val="2"/>
    </font>
    <font>
      <b/>
      <sz val="9"/>
      <color indexed="10"/>
      <name val="Tahoma"/>
      <family val="2"/>
    </font>
    <font>
      <sz val="14"/>
      <name val="Tahoma"/>
      <family val="2"/>
    </font>
    <font>
      <b/>
      <sz val="8"/>
      <color indexed="18"/>
      <name val="Tahoma"/>
      <family val="2"/>
    </font>
    <font>
      <sz val="9"/>
      <color indexed="8"/>
      <name val="Tahoma"/>
      <family val="2"/>
    </font>
    <font>
      <sz val="9"/>
      <color indexed="23"/>
      <name val="Tahoma"/>
      <family val="2"/>
    </font>
    <font>
      <i/>
      <sz val="10"/>
      <color indexed="10"/>
      <name val="Tahoma"/>
      <family val="2"/>
    </font>
    <font>
      <sz val="11"/>
      <name val="Tahoma"/>
      <family val="2"/>
    </font>
    <font>
      <sz val="8"/>
      <name val="Tahoma"/>
      <family val="2"/>
    </font>
    <font>
      <sz val="10"/>
      <color indexed="62"/>
      <name val="Tahoma"/>
      <family val="2"/>
    </font>
    <font>
      <b/>
      <sz val="10"/>
      <color indexed="62"/>
      <name val="Tahoma"/>
      <family val="2"/>
    </font>
    <font>
      <sz val="10"/>
      <name val="Verdana"/>
      <family val="2"/>
    </font>
    <font>
      <b/>
      <sz val="10"/>
      <color indexed="18"/>
      <name val="Verdana"/>
      <family val="2"/>
    </font>
    <font>
      <sz val="10"/>
      <color indexed="8"/>
      <name val="Verdana"/>
      <family val="2"/>
    </font>
    <font>
      <b/>
      <sz val="10"/>
      <color indexed="8"/>
      <name val="Verdana"/>
      <family val="2"/>
    </font>
    <font>
      <b/>
      <sz val="10"/>
      <name val="Verdana"/>
      <family val="2"/>
    </font>
    <font>
      <vertAlign val="superscript"/>
      <sz val="10"/>
      <name val="Tahoma"/>
      <family val="2"/>
    </font>
    <font>
      <b/>
      <sz val="10"/>
      <color indexed="10"/>
      <name val="Verdana"/>
      <family val="2"/>
    </font>
    <font>
      <sz val="10"/>
      <color theme="1"/>
      <name val="Tahoma"/>
      <family val="2"/>
    </font>
    <font>
      <sz val="10"/>
      <color rgb="FF000000"/>
      <name val="Tahoma"/>
      <family val="2"/>
    </font>
    <font>
      <sz val="8"/>
      <color indexed="10"/>
      <name val="Tahoma"/>
      <family val="2"/>
    </font>
    <font>
      <sz val="12"/>
      <color indexed="9"/>
      <name val="Tahoma"/>
      <family val="2"/>
    </font>
    <font>
      <sz val="10"/>
      <color theme="0"/>
      <name val="Tahoma"/>
      <family val="2"/>
    </font>
    <font>
      <b/>
      <sz val="10"/>
      <color theme="0"/>
      <name val="Tahoma"/>
      <family val="2"/>
    </font>
    <font>
      <b/>
      <sz val="12"/>
      <name val="Tahoma"/>
      <family val="2"/>
    </font>
    <font>
      <vertAlign val="superscript"/>
      <sz val="12"/>
      <name val="Tahom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0"/>
      <name val="Times New Roman"/>
      <family val="1"/>
    </font>
    <font>
      <sz val="11"/>
      <color indexed="52"/>
      <name val="Calibri"/>
      <family val="2"/>
    </font>
    <font>
      <sz val="11"/>
      <color indexed="17"/>
      <name val="Calibri"/>
      <family val="2"/>
    </font>
    <font>
      <sz val="10"/>
      <color indexed="12"/>
      <name val="Times New Roman"/>
      <family val="1"/>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color indexed="18"/>
      <name val="Verdana"/>
      <family val="2"/>
    </font>
    <font>
      <sz val="12"/>
      <name val="Verdana"/>
      <family val="2"/>
    </font>
    <font>
      <b/>
      <sz val="10"/>
      <name val="MS Sans Serif"/>
      <family val="2"/>
    </font>
  </fonts>
  <fills count="36">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4"/>
        <bgColor indexed="24"/>
      </patternFill>
    </fill>
    <fill>
      <patternFill patternType="solid">
        <fgColor indexed="10"/>
        <bgColor indexed="64"/>
      </patternFill>
    </fill>
    <fill>
      <patternFill patternType="solid">
        <fgColor indexed="42"/>
        <bgColor indexed="24"/>
      </patternFill>
    </fill>
    <fill>
      <patternFill patternType="solid">
        <fgColor indexed="9"/>
        <bgColor indexed="64"/>
      </patternFill>
    </fill>
    <fill>
      <patternFill patternType="solid">
        <fgColor rgb="FFFFFF00"/>
        <bgColor indexed="64"/>
      </patternFill>
    </fill>
    <fill>
      <patternFill patternType="solid">
        <fgColor rgb="FF3366FF"/>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22"/>
        <bgColor indexed="64"/>
      </patternFill>
    </fill>
    <fill>
      <patternFill patternType="solid">
        <fgColor indexed="43"/>
      </patternFill>
    </fill>
    <fill>
      <patternFill patternType="solid">
        <fgColor indexed="26"/>
      </patternFill>
    </fill>
    <fill>
      <patternFill patternType="solid">
        <fgColor indexed="15"/>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thin">
        <color indexed="22"/>
      </left>
      <right style="thin">
        <color indexed="22"/>
      </right>
      <top style="thin">
        <color indexed="22"/>
      </top>
      <bottom style="thin">
        <color indexed="22"/>
      </bottom>
      <diagonal/>
    </border>
    <border>
      <left style="double">
        <color indexed="64"/>
      </left>
      <right/>
      <top style="double">
        <color indexed="64"/>
      </top>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medium">
        <color indexed="64"/>
      </bottom>
      <diagonal/>
    </border>
  </borders>
  <cellStyleXfs count="88">
    <xf numFmtId="0" fontId="0" fillId="0" borderId="0"/>
    <xf numFmtId="164"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1" fontId="3" fillId="0" borderId="0" applyFont="0" applyFill="0" applyBorder="0" applyAlignment="0" applyProtection="0"/>
    <xf numFmtId="173" fontId="3" fillId="0" borderId="0" applyFont="0" applyFill="0" applyBorder="0" applyAlignment="0" applyProtection="0"/>
    <xf numFmtId="174" fontId="3" fillId="0" borderId="0" applyFont="0" applyFill="0" applyBorder="0" applyAlignment="0" applyProtection="0"/>
    <xf numFmtId="170" fontId="5" fillId="0" borderId="0" applyFont="0" applyFill="0" applyBorder="0" applyAlignment="0" applyProtection="0"/>
    <xf numFmtId="170" fontId="3" fillId="0" borderId="0" applyFont="0" applyFill="0" applyBorder="0" applyAlignment="0" applyProtection="0"/>
    <xf numFmtId="169" fontId="11" fillId="0" borderId="0" applyFont="0" applyFill="0" applyBorder="0" applyAlignment="0" applyProtection="0"/>
    <xf numFmtId="0" fontId="14" fillId="0" borderId="0" applyNumberFormat="0" applyFill="0" applyBorder="0" applyAlignment="0" applyProtection="0">
      <alignment vertical="top"/>
      <protection locked="0"/>
    </xf>
    <xf numFmtId="168" fontId="2" fillId="0" borderId="0" applyFont="0" applyFill="0" applyBorder="0" applyAlignment="0" applyProtection="0"/>
    <xf numFmtId="166" fontId="2" fillId="0" borderId="0" applyFont="0" applyFill="0" applyBorder="0" applyAlignment="0" applyProtection="0"/>
    <xf numFmtId="0" fontId="6" fillId="0" borderId="0"/>
    <xf numFmtId="0" fontId="3" fillId="0" borderId="0"/>
    <xf numFmtId="0" fontId="10" fillId="0" borderId="0"/>
    <xf numFmtId="0" fontId="5" fillId="0" borderId="0"/>
    <xf numFmtId="0" fontId="3" fillId="0" borderId="0"/>
    <xf numFmtId="0" fontId="11" fillId="0" borderId="0"/>
    <xf numFmtId="0" fontId="4" fillId="0" borderId="0"/>
    <xf numFmtId="0" fontId="3" fillId="0" borderId="0"/>
    <xf numFmtId="0" fontId="3" fillId="0" borderId="0"/>
    <xf numFmtId="0" fontId="7" fillId="0" borderId="0"/>
    <xf numFmtId="9" fontId="2" fillId="0" borderId="0" applyFont="0" applyFill="0" applyBorder="0" applyAlignment="0" applyProtection="0"/>
    <xf numFmtId="0" fontId="3" fillId="0" borderId="0"/>
    <xf numFmtId="167" fontId="2" fillId="0" borderId="0" applyFont="0" applyFill="0" applyBorder="0" applyAlignment="0" applyProtection="0"/>
    <xf numFmtId="0" fontId="2" fillId="0" borderId="0"/>
    <xf numFmtId="0" fontId="61" fillId="11" borderId="0" applyNumberFormat="0" applyBorder="0" applyAlignment="0" applyProtection="0"/>
    <xf numFmtId="0" fontId="61" fillId="12"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5" borderId="0" applyNumberFormat="0" applyBorder="0" applyAlignment="0" applyProtection="0"/>
    <xf numFmtId="0" fontId="61" fillId="16" borderId="0" applyNumberFormat="0" applyBorder="0" applyAlignment="0" applyProtection="0"/>
    <xf numFmtId="0" fontId="61" fillId="17" borderId="0" applyNumberFormat="0" applyBorder="0" applyAlignment="0" applyProtection="0"/>
    <xf numFmtId="0" fontId="61" fillId="18" borderId="0" applyNumberFormat="0" applyBorder="0" applyAlignment="0" applyProtection="0"/>
    <xf numFmtId="0" fontId="61" fillId="19" borderId="0" applyNumberFormat="0" applyBorder="0" applyAlignment="0" applyProtection="0"/>
    <xf numFmtId="0" fontId="61" fillId="14" borderId="0" applyNumberFormat="0" applyBorder="0" applyAlignment="0" applyProtection="0"/>
    <xf numFmtId="0" fontId="61" fillId="17" borderId="0" applyNumberFormat="0" applyBorder="0" applyAlignment="0" applyProtection="0"/>
    <xf numFmtId="0" fontId="61" fillId="20" borderId="0" applyNumberFormat="0" applyBorder="0" applyAlignment="0" applyProtection="0"/>
    <xf numFmtId="0" fontId="62" fillId="21" borderId="0" applyNumberFormat="0" applyBorder="0" applyAlignment="0" applyProtection="0"/>
    <xf numFmtId="0" fontId="62" fillId="18" borderId="0" applyNumberFormat="0" applyBorder="0" applyAlignment="0" applyProtection="0"/>
    <xf numFmtId="0" fontId="62" fillId="19" borderId="0" applyNumberFormat="0" applyBorder="0" applyAlignment="0" applyProtection="0"/>
    <xf numFmtId="0" fontId="62" fillId="22" borderId="0" applyNumberFormat="0" applyBorder="0" applyAlignment="0" applyProtection="0"/>
    <xf numFmtId="0" fontId="62" fillId="23" borderId="0" applyNumberFormat="0" applyBorder="0" applyAlignment="0" applyProtection="0"/>
    <xf numFmtId="0" fontId="62" fillId="24" borderId="0" applyNumberFormat="0" applyBorder="0" applyAlignment="0" applyProtection="0"/>
    <xf numFmtId="0" fontId="62" fillId="25" borderId="0" applyNumberFormat="0" applyBorder="0" applyAlignment="0" applyProtection="0"/>
    <xf numFmtId="0" fontId="62" fillId="26" borderId="0" applyNumberFormat="0" applyBorder="0" applyAlignment="0" applyProtection="0"/>
    <xf numFmtId="0" fontId="62" fillId="27" borderId="0" applyNumberFormat="0" applyBorder="0" applyAlignment="0" applyProtection="0"/>
    <xf numFmtId="0" fontId="62" fillId="22" borderId="0" applyNumberFormat="0" applyBorder="0" applyAlignment="0" applyProtection="0"/>
    <xf numFmtId="0" fontId="62" fillId="23" borderId="0" applyNumberFormat="0" applyBorder="0" applyAlignment="0" applyProtection="0"/>
    <xf numFmtId="0" fontId="62" fillId="28" borderId="0" applyNumberFormat="0" applyBorder="0" applyAlignment="0" applyProtection="0"/>
    <xf numFmtId="0" fontId="63" fillId="29" borderId="43" applyNumberFormat="0" applyAlignment="0" applyProtection="0"/>
    <xf numFmtId="0" fontId="64" fillId="30" borderId="44" applyNumberFormat="0" applyAlignment="0" applyProtection="0"/>
    <xf numFmtId="194" fontId="2" fillId="0" borderId="0"/>
    <xf numFmtId="195" fontId="65" fillId="0" borderId="0"/>
    <xf numFmtId="0" fontId="66" fillId="0" borderId="45" applyNumberFormat="0" applyFill="0" applyAlignment="0" applyProtection="0"/>
    <xf numFmtId="0" fontId="67" fillId="13" borderId="0" applyNumberFormat="0" applyBorder="0" applyAlignment="0" applyProtection="0"/>
    <xf numFmtId="0" fontId="65" fillId="31" borderId="1"/>
    <xf numFmtId="168" fontId="6" fillId="0" borderId="0" applyFont="0" applyFill="0" applyBorder="0" applyAlignment="0" applyProtection="0"/>
    <xf numFmtId="168" fontId="2" fillId="0" borderId="0" applyFont="0" applyFill="0" applyBorder="0" applyAlignment="0" applyProtection="0"/>
    <xf numFmtId="0" fontId="68" fillId="32" borderId="0"/>
    <xf numFmtId="0" fontId="69" fillId="0" borderId="46" applyNumberFormat="0" applyFill="0" applyAlignment="0" applyProtection="0"/>
    <xf numFmtId="0" fontId="70" fillId="0" borderId="47" applyNumberFormat="0" applyFill="0" applyAlignment="0" applyProtection="0"/>
    <xf numFmtId="0" fontId="71" fillId="0" borderId="48" applyNumberFormat="0" applyFill="0" applyAlignment="0" applyProtection="0"/>
    <xf numFmtId="0" fontId="71" fillId="0" borderId="0" applyNumberFormat="0" applyFill="0" applyBorder="0" applyAlignment="0" applyProtection="0"/>
    <xf numFmtId="168" fontId="72" fillId="0" borderId="0">
      <alignment horizontal="center" vertical="center" textRotation="90" wrapText="1"/>
    </xf>
    <xf numFmtId="0" fontId="73" fillId="31" borderId="49"/>
    <xf numFmtId="196" fontId="2" fillId="0" borderId="0"/>
    <xf numFmtId="0" fontId="74" fillId="33" borderId="0" applyNumberFormat="0" applyBorder="0" applyAlignment="0" applyProtection="0"/>
    <xf numFmtId="0" fontId="61" fillId="34" borderId="50" applyNumberFormat="0" applyFont="0" applyAlignment="0" applyProtection="0"/>
    <xf numFmtId="0" fontId="75" fillId="12" borderId="0" applyNumberFormat="0" applyBorder="0" applyAlignment="0" applyProtection="0"/>
    <xf numFmtId="0" fontId="73" fillId="35" borderId="51" applyNumberFormat="0" applyFont="0" applyBorder="0">
      <alignment horizontal="center"/>
    </xf>
    <xf numFmtId="0" fontId="2" fillId="0" borderId="0"/>
    <xf numFmtId="0" fontId="6" fillId="0" borderId="0"/>
    <xf numFmtId="0" fontId="2" fillId="0" borderId="0"/>
    <xf numFmtId="0" fontId="1" fillId="0" borderId="0"/>
    <xf numFmtId="0" fontId="76" fillId="0" borderId="0" applyNumberFormat="0" applyFill="0" applyBorder="0" applyAlignment="0" applyProtection="0"/>
    <xf numFmtId="0" fontId="77" fillId="0" borderId="52" applyNumberFormat="0" applyFill="0" applyAlignment="0" applyProtection="0"/>
    <xf numFmtId="0" fontId="78" fillId="29" borderId="53" applyNumberFormat="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97" fontId="2" fillId="0" borderId="0"/>
    <xf numFmtId="198" fontId="6" fillId="0" borderId="0" applyFont="0" applyFill="0" applyBorder="0" applyAlignment="0" applyProtection="0"/>
    <xf numFmtId="172" fontId="2" fillId="0" borderId="0"/>
    <xf numFmtId="0" fontId="79" fillId="0" borderId="0" applyNumberFormat="0" applyFill="0" applyBorder="0" applyAlignment="0" applyProtection="0"/>
    <xf numFmtId="0" fontId="80" fillId="0" borderId="0" applyNumberFormat="0" applyFill="0" applyBorder="0" applyAlignment="0" applyProtection="0"/>
    <xf numFmtId="0" fontId="3" fillId="0" borderId="0"/>
  </cellStyleXfs>
  <cellXfs count="807">
    <xf numFmtId="0" fontId="0" fillId="0" borderId="0" xfId="0"/>
    <xf numFmtId="171" fontId="16" fillId="0" borderId="1" xfId="4" applyFont="1" applyFill="1" applyBorder="1" applyAlignment="1" applyProtection="1">
      <protection hidden="1"/>
    </xf>
    <xf numFmtId="189" fontId="16" fillId="4" borderId="1" xfId="4" applyNumberFormat="1" applyFont="1" applyFill="1" applyBorder="1" applyAlignment="1" applyProtection="1">
      <protection locked="0"/>
    </xf>
    <xf numFmtId="181" fontId="17" fillId="0" borderId="12" xfId="0" applyNumberFormat="1" applyFont="1" applyFill="1" applyBorder="1" applyAlignment="1">
      <alignment horizontal="center" vertical="center"/>
    </xf>
    <xf numFmtId="171" fontId="16" fillId="4" borderId="1" xfId="4" applyFont="1" applyFill="1" applyBorder="1" applyAlignment="1" applyProtection="1">
      <protection locked="0"/>
    </xf>
    <xf numFmtId="171" fontId="16" fillId="0" borderId="1" xfId="4" applyFont="1" applyFill="1" applyBorder="1" applyAlignment="1" applyProtection="1">
      <protection locked="0"/>
    </xf>
    <xf numFmtId="186" fontId="18" fillId="0" borderId="1" xfId="4" applyNumberFormat="1" applyFont="1" applyFill="1" applyBorder="1" applyAlignment="1" applyProtection="1">
      <protection hidden="1"/>
    </xf>
    <xf numFmtId="2" fontId="16" fillId="0" borderId="1" xfId="4" applyNumberFormat="1" applyFont="1" applyFill="1" applyBorder="1" applyAlignment="1" applyProtection="1">
      <protection hidden="1"/>
    </xf>
    <xf numFmtId="0" fontId="17" fillId="0" borderId="10" xfId="0" applyFont="1" applyFill="1" applyBorder="1" applyAlignment="1">
      <alignment horizontal="center" vertical="center"/>
    </xf>
    <xf numFmtId="186" fontId="18" fillId="0" borderId="10" xfId="7" applyNumberFormat="1" applyFont="1" applyFill="1" applyBorder="1" applyAlignment="1" applyProtection="1">
      <protection hidden="1"/>
    </xf>
    <xf numFmtId="0" fontId="20" fillId="0" borderId="0" xfId="0" applyFont="1" applyFill="1" applyBorder="1"/>
    <xf numFmtId="181" fontId="20" fillId="0" borderId="0" xfId="0" applyNumberFormat="1" applyFont="1" applyFill="1" applyBorder="1"/>
    <xf numFmtId="186" fontId="21" fillId="0" borderId="1" xfId="7" applyNumberFormat="1" applyFont="1" applyFill="1" applyBorder="1" applyAlignment="1" applyProtection="1">
      <protection hidden="1"/>
    </xf>
    <xf numFmtId="186" fontId="19" fillId="0" borderId="0" xfId="0" applyNumberFormat="1" applyFont="1" applyFill="1" applyAlignment="1"/>
    <xf numFmtId="0" fontId="19" fillId="0" borderId="0" xfId="0" applyFont="1" applyFill="1" applyBorder="1" applyAlignment="1"/>
    <xf numFmtId="0" fontId="19" fillId="0" borderId="0" xfId="0" applyFont="1" applyFill="1" applyAlignment="1"/>
    <xf numFmtId="0" fontId="19" fillId="0" borderId="0" xfId="0" applyFont="1"/>
    <xf numFmtId="181" fontId="19" fillId="0" borderId="0" xfId="0" applyNumberFormat="1" applyFont="1"/>
    <xf numFmtId="186" fontId="19" fillId="0" borderId="0" xfId="0" applyNumberFormat="1" applyFont="1" applyAlignment="1"/>
    <xf numFmtId="0" fontId="19" fillId="0" borderId="0" xfId="0" applyFont="1" applyAlignment="1"/>
    <xf numFmtId="183" fontId="20" fillId="3" borderId="1" xfId="16" applyNumberFormat="1" applyFont="1" applyFill="1" applyBorder="1" applyAlignment="1" applyProtection="1">
      <alignment vertical="center"/>
      <protection hidden="1"/>
    </xf>
    <xf numFmtId="183" fontId="20" fillId="7" borderId="1" xfId="23" applyNumberFormat="1" applyFont="1" applyFill="1" applyBorder="1" applyAlignment="1" applyProtection="1">
      <alignment vertical="center"/>
      <protection locked="0"/>
    </xf>
    <xf numFmtId="183" fontId="22" fillId="0" borderId="1" xfId="16" applyNumberFormat="1" applyFont="1" applyFill="1" applyBorder="1" applyAlignment="1" applyProtection="1">
      <alignment vertical="center"/>
      <protection hidden="1"/>
    </xf>
    <xf numFmtId="10" fontId="22" fillId="0" borderId="7" xfId="0" applyNumberFormat="1" applyFont="1" applyFill="1" applyBorder="1" applyAlignment="1"/>
    <xf numFmtId="183" fontId="18" fillId="0" borderId="0" xfId="0" applyNumberFormat="1" applyFont="1" applyFill="1" applyBorder="1" applyAlignment="1"/>
    <xf numFmtId="0" fontId="18" fillId="0" borderId="0" xfId="20" applyFont="1" applyFill="1" applyBorder="1" applyAlignment="1" applyProtection="1">
      <alignment horizontal="left" vertical="center"/>
      <protection hidden="1"/>
    </xf>
    <xf numFmtId="2" fontId="20" fillId="2" borderId="6" xfId="16" applyNumberFormat="1" applyFont="1" applyFill="1" applyBorder="1" applyProtection="1">
      <protection hidden="1"/>
    </xf>
    <xf numFmtId="2" fontId="20" fillId="0" borderId="0" xfId="16" applyNumberFormat="1" applyFont="1" applyFill="1" applyBorder="1" applyProtection="1">
      <protection hidden="1"/>
    </xf>
    <xf numFmtId="2" fontId="22" fillId="0" borderId="1" xfId="16" applyNumberFormat="1" applyFont="1" applyFill="1" applyBorder="1" applyAlignment="1" applyProtection="1">
      <alignment horizontal="center"/>
      <protection hidden="1"/>
    </xf>
    <xf numFmtId="186" fontId="16" fillId="0" borderId="1" xfId="20" applyNumberFormat="1" applyFont="1" applyFill="1" applyBorder="1" applyAlignment="1" applyProtection="1">
      <alignment horizontal="left" vertical="center"/>
      <protection hidden="1"/>
    </xf>
    <xf numFmtId="167" fontId="16" fillId="3" borderId="1" xfId="25" applyFont="1" applyFill="1" applyBorder="1" applyAlignment="1" applyProtection="1">
      <alignment horizontal="right" vertical="center"/>
      <protection hidden="1"/>
    </xf>
    <xf numFmtId="186" fontId="16" fillId="0" borderId="13" xfId="20" applyNumberFormat="1" applyFont="1" applyFill="1" applyBorder="1" applyAlignment="1" applyProtection="1">
      <alignment horizontal="left" vertical="center"/>
      <protection hidden="1"/>
    </xf>
    <xf numFmtId="10" fontId="20" fillId="3" borderId="1" xfId="16" applyNumberFormat="1" applyFont="1" applyFill="1" applyBorder="1" applyAlignment="1" applyProtection="1">
      <alignment vertical="center"/>
      <protection hidden="1"/>
    </xf>
    <xf numFmtId="10" fontId="18" fillId="0" borderId="1" xfId="23" applyNumberFormat="1" applyFont="1" applyFill="1" applyBorder="1" applyAlignment="1"/>
    <xf numFmtId="2" fontId="23" fillId="0" borderId="0" xfId="0" applyNumberFormat="1" applyFont="1"/>
    <xf numFmtId="0" fontId="20" fillId="0" borderId="0" xfId="20" applyFont="1" applyFill="1" applyProtection="1">
      <protection hidden="1"/>
    </xf>
    <xf numFmtId="0" fontId="20" fillId="0" borderId="0" xfId="20" applyFont="1" applyFill="1" applyBorder="1" applyProtection="1">
      <protection hidden="1"/>
    </xf>
    <xf numFmtId="0" fontId="20" fillId="0" borderId="0" xfId="0" applyFont="1"/>
    <xf numFmtId="0" fontId="20" fillId="0" borderId="0" xfId="20" applyFont="1" applyFill="1" applyBorder="1" applyAlignment="1" applyProtection="1">
      <alignment vertical="center"/>
      <protection hidden="1"/>
    </xf>
    <xf numFmtId="2" fontId="24" fillId="0" borderId="0" xfId="16" applyNumberFormat="1" applyFont="1" applyFill="1" applyBorder="1" applyProtection="1">
      <protection hidden="1"/>
    </xf>
    <xf numFmtId="0" fontId="25" fillId="0" borderId="0" xfId="20" applyFont="1" applyFill="1" applyBorder="1" applyAlignment="1" applyProtection="1">
      <alignment horizontal="center" vertical="center"/>
      <protection hidden="1"/>
    </xf>
    <xf numFmtId="0" fontId="25" fillId="0" borderId="0" xfId="20" applyFont="1" applyFill="1" applyBorder="1" applyAlignment="1" applyProtection="1">
      <alignment horizontal="right" vertical="center"/>
      <protection hidden="1"/>
    </xf>
    <xf numFmtId="0" fontId="24" fillId="0" borderId="0" xfId="0" applyFont="1" applyFill="1" applyBorder="1"/>
    <xf numFmtId="183" fontId="20" fillId="0" borderId="0" xfId="16" applyNumberFormat="1" applyFont="1" applyFill="1" applyBorder="1" applyAlignment="1" applyProtection="1">
      <alignment vertical="center"/>
      <protection hidden="1"/>
    </xf>
    <xf numFmtId="183" fontId="19" fillId="3" borderId="1" xfId="16" applyNumberFormat="1" applyFont="1" applyFill="1" applyBorder="1" applyAlignment="1" applyProtection="1">
      <alignment vertical="center"/>
      <protection hidden="1"/>
    </xf>
    <xf numFmtId="183" fontId="19" fillId="0" borderId="0" xfId="16" applyNumberFormat="1" applyFont="1" applyFill="1" applyBorder="1" applyAlignment="1" applyProtection="1">
      <alignment vertical="center"/>
      <protection hidden="1"/>
    </xf>
    <xf numFmtId="0" fontId="24" fillId="0" borderId="0" xfId="20" applyFont="1" applyFill="1" applyBorder="1" applyAlignment="1" applyProtection="1">
      <alignment vertical="center"/>
      <protection hidden="1"/>
    </xf>
    <xf numFmtId="0" fontId="20" fillId="0" borderId="0" xfId="0" applyFont="1" applyFill="1" applyBorder="1" applyAlignment="1">
      <alignment vertical="center"/>
    </xf>
    <xf numFmtId="2" fontId="18" fillId="0" borderId="0" xfId="20" applyNumberFormat="1" applyFont="1" applyFill="1" applyBorder="1" applyAlignment="1" applyProtection="1">
      <alignment vertical="center"/>
      <protection hidden="1"/>
    </xf>
    <xf numFmtId="182" fontId="16" fillId="0" borderId="0" xfId="20" applyNumberFormat="1" applyFont="1" applyFill="1" applyBorder="1" applyAlignment="1" applyProtection="1">
      <alignment vertical="center"/>
      <protection hidden="1"/>
    </xf>
    <xf numFmtId="182" fontId="20" fillId="0" borderId="0" xfId="20" applyNumberFormat="1" applyFont="1" applyFill="1" applyBorder="1" applyAlignment="1" applyProtection="1">
      <alignment vertical="center"/>
      <protection hidden="1"/>
    </xf>
    <xf numFmtId="183" fontId="20" fillId="0" borderId="0" xfId="23" applyNumberFormat="1" applyFont="1" applyFill="1" applyBorder="1" applyAlignment="1" applyProtection="1">
      <alignment vertical="center"/>
      <protection locked="0"/>
    </xf>
    <xf numFmtId="183" fontId="20" fillId="0" borderId="0" xfId="16" applyNumberFormat="1" applyFont="1" applyFill="1" applyBorder="1" applyAlignment="1" applyProtection="1">
      <alignment horizontal="center" vertical="center"/>
      <protection hidden="1"/>
    </xf>
    <xf numFmtId="183" fontId="20" fillId="0" borderId="0" xfId="16" applyNumberFormat="1" applyFont="1" applyFill="1" applyBorder="1" applyAlignment="1" applyProtection="1">
      <alignment horizontal="right" vertical="center"/>
      <protection hidden="1"/>
    </xf>
    <xf numFmtId="9" fontId="22" fillId="0" borderId="0" xfId="16" applyNumberFormat="1" applyFont="1" applyFill="1" applyBorder="1" applyAlignment="1" applyProtection="1">
      <alignment horizontal="center" vertical="center"/>
      <protection hidden="1"/>
    </xf>
    <xf numFmtId="183" fontId="22" fillId="0" borderId="0" xfId="16" applyNumberFormat="1" applyFont="1" applyFill="1" applyBorder="1" applyAlignment="1" applyProtection="1">
      <alignment vertical="center"/>
      <protection hidden="1"/>
    </xf>
    <xf numFmtId="0" fontId="16" fillId="0" borderId="0" xfId="20" applyFont="1" applyFill="1" applyBorder="1" applyAlignment="1" applyProtection="1">
      <alignment vertical="center"/>
      <protection hidden="1"/>
    </xf>
    <xf numFmtId="0" fontId="26" fillId="0" borderId="0" xfId="20" applyFont="1" applyFill="1" applyBorder="1" applyAlignment="1" applyProtection="1">
      <alignment horizontal="left" vertical="center"/>
      <protection hidden="1"/>
    </xf>
    <xf numFmtId="2" fontId="16" fillId="0" borderId="0" xfId="20" applyNumberFormat="1" applyFont="1" applyFill="1" applyBorder="1" applyAlignment="1" applyProtection="1">
      <alignment horizontal="right" vertical="center"/>
      <protection hidden="1"/>
    </xf>
    <xf numFmtId="2" fontId="20" fillId="0" borderId="0" xfId="0" applyNumberFormat="1" applyFont="1" applyFill="1" applyBorder="1" applyAlignment="1">
      <alignment vertical="center"/>
    </xf>
    <xf numFmtId="182" fontId="16" fillId="0" borderId="0" xfId="20" applyNumberFormat="1" applyFont="1" applyFill="1" applyBorder="1" applyAlignment="1" applyProtection="1">
      <alignment vertical="center"/>
      <protection locked="0"/>
    </xf>
    <xf numFmtId="182" fontId="17" fillId="0" borderId="0" xfId="20" applyNumberFormat="1" applyFont="1" applyFill="1" applyBorder="1" applyAlignment="1" applyProtection="1">
      <alignment vertical="center"/>
      <protection hidden="1"/>
    </xf>
    <xf numFmtId="0" fontId="27" fillId="0" borderId="0" xfId="20" applyFont="1" applyFill="1" applyBorder="1" applyAlignment="1" applyProtection="1">
      <alignment vertical="center"/>
      <protection hidden="1"/>
    </xf>
    <xf numFmtId="0" fontId="28" fillId="0" borderId="0" xfId="20" applyFont="1" applyFill="1" applyBorder="1" applyAlignment="1" applyProtection="1">
      <alignment vertical="center"/>
      <protection hidden="1"/>
    </xf>
    <xf numFmtId="10" fontId="16" fillId="0" borderId="0" xfId="23" applyNumberFormat="1" applyFont="1" applyFill="1" applyBorder="1" applyAlignment="1" applyProtection="1">
      <alignment vertical="center"/>
      <protection hidden="1"/>
    </xf>
    <xf numFmtId="183" fontId="16" fillId="0" borderId="0" xfId="23" applyNumberFormat="1" applyFont="1" applyFill="1" applyBorder="1" applyAlignment="1" applyProtection="1">
      <alignment vertical="center"/>
      <protection hidden="1"/>
    </xf>
    <xf numFmtId="183" fontId="16" fillId="0" borderId="0" xfId="20" applyNumberFormat="1" applyFont="1" applyFill="1" applyBorder="1" applyAlignment="1" applyProtection="1">
      <alignment vertical="center"/>
      <protection hidden="1"/>
    </xf>
    <xf numFmtId="183" fontId="20" fillId="0" borderId="0" xfId="23" applyNumberFormat="1" applyFont="1" applyFill="1" applyBorder="1" applyAlignment="1" applyProtection="1">
      <alignment vertical="center"/>
      <protection hidden="1"/>
    </xf>
    <xf numFmtId="183" fontId="20" fillId="0" borderId="0" xfId="20" applyNumberFormat="1" applyFont="1" applyFill="1" applyBorder="1" applyAlignment="1" applyProtection="1">
      <alignment horizontal="right" vertical="center"/>
      <protection hidden="1"/>
    </xf>
    <xf numFmtId="0" fontId="18" fillId="0" borderId="0" xfId="20" applyFont="1" applyFill="1" applyBorder="1" applyAlignment="1" applyProtection="1">
      <alignment vertical="center"/>
      <protection hidden="1"/>
    </xf>
    <xf numFmtId="10" fontId="18" fillId="0" borderId="0" xfId="23" applyNumberFormat="1" applyFont="1" applyFill="1" applyBorder="1" applyAlignment="1" applyProtection="1">
      <alignment vertical="center"/>
      <protection hidden="1"/>
    </xf>
    <xf numFmtId="183" fontId="18" fillId="0" borderId="0" xfId="0" applyNumberFormat="1" applyFont="1" applyFill="1" applyBorder="1"/>
    <xf numFmtId="0" fontId="20" fillId="0" borderId="0" xfId="20" applyFont="1" applyFill="1" applyBorder="1" applyAlignment="1" applyProtection="1">
      <alignment horizontal="right" vertical="center"/>
      <protection hidden="1"/>
    </xf>
    <xf numFmtId="0" fontId="22" fillId="0" borderId="0" xfId="20" applyFont="1" applyFill="1" applyBorder="1" applyAlignment="1" applyProtection="1">
      <alignment vertical="center"/>
      <protection hidden="1"/>
    </xf>
    <xf numFmtId="183" fontId="18" fillId="0" borderId="0" xfId="20" applyNumberFormat="1" applyFont="1" applyFill="1" applyBorder="1" applyAlignment="1" applyProtection="1">
      <alignment vertical="center"/>
      <protection hidden="1"/>
    </xf>
    <xf numFmtId="10" fontId="18" fillId="0" borderId="0" xfId="0" applyNumberFormat="1" applyFont="1" applyFill="1" applyBorder="1" applyAlignment="1"/>
    <xf numFmtId="0" fontId="21" fillId="0" borderId="0" xfId="20" applyFont="1" applyFill="1" applyBorder="1" applyAlignment="1" applyProtection="1">
      <protection hidden="1"/>
    </xf>
    <xf numFmtId="0" fontId="21" fillId="0" borderId="0" xfId="20" applyFont="1" applyFill="1" applyBorder="1" applyProtection="1">
      <protection hidden="1"/>
    </xf>
    <xf numFmtId="0" fontId="19" fillId="0" borderId="0" xfId="20" applyFont="1" applyFill="1" applyBorder="1" applyAlignment="1" applyProtection="1">
      <protection hidden="1"/>
    </xf>
    <xf numFmtId="0" fontId="20" fillId="0" borderId="0" xfId="20" applyFont="1" applyFill="1" applyBorder="1" applyAlignment="1" applyProtection="1">
      <protection hidden="1"/>
    </xf>
    <xf numFmtId="0" fontId="20" fillId="0" borderId="0" xfId="0" applyFont="1" applyAlignment="1"/>
    <xf numFmtId="0" fontId="20" fillId="0" borderId="0" xfId="0" applyFont="1" applyFill="1" applyAlignment="1"/>
    <xf numFmtId="0" fontId="20" fillId="0" borderId="0" xfId="20" applyFont="1" applyFill="1" applyAlignment="1" applyProtection="1">
      <protection hidden="1"/>
    </xf>
    <xf numFmtId="0" fontId="20" fillId="0" borderId="0" xfId="0" applyFont="1" applyFill="1"/>
    <xf numFmtId="2" fontId="27" fillId="0" borderId="0" xfId="17" applyNumberFormat="1" applyFont="1" applyFill="1" applyBorder="1" applyAlignment="1"/>
    <xf numFmtId="2" fontId="29" fillId="0" borderId="0" xfId="17" applyNumberFormat="1" applyFont="1" applyFill="1" applyBorder="1" applyAlignment="1"/>
    <xf numFmtId="2" fontId="30" fillId="0" borderId="0" xfId="15" applyNumberFormat="1" applyFont="1" applyFill="1"/>
    <xf numFmtId="2" fontId="27" fillId="0" borderId="0" xfId="15" applyNumberFormat="1" applyFont="1" applyFill="1" applyBorder="1" applyAlignment="1">
      <alignment vertical="center"/>
    </xf>
    <xf numFmtId="2" fontId="27" fillId="0" borderId="0" xfId="15" applyNumberFormat="1" applyFont="1" applyFill="1" applyBorder="1" applyAlignment="1">
      <alignment horizontal="right" vertical="center"/>
    </xf>
    <xf numFmtId="1" fontId="29" fillId="0" borderId="0" xfId="17" applyNumberFormat="1" applyFont="1" applyFill="1" applyBorder="1" applyAlignment="1">
      <alignment horizontal="left"/>
    </xf>
    <xf numFmtId="2" fontId="29" fillId="0" borderId="0" xfId="15" applyNumberFormat="1" applyFont="1" applyFill="1" applyBorder="1" applyAlignment="1">
      <alignment vertical="center"/>
    </xf>
    <xf numFmtId="0" fontId="17" fillId="0" borderId="0" xfId="21" applyFont="1" applyFill="1" applyBorder="1"/>
    <xf numFmtId="2" fontId="17" fillId="0" borderId="0" xfId="21" applyNumberFormat="1" applyFont="1" applyFill="1" applyBorder="1"/>
    <xf numFmtId="0" fontId="27" fillId="2" borderId="5" xfId="14" applyNumberFormat="1" applyFont="1" applyFill="1" applyBorder="1" applyAlignment="1" applyProtection="1">
      <alignment horizontal="left" vertical="center"/>
      <protection hidden="1"/>
    </xf>
    <xf numFmtId="0" fontId="20" fillId="2" borderId="6" xfId="15" applyFont="1" applyFill="1" applyBorder="1"/>
    <xf numFmtId="0" fontId="30" fillId="2" borderId="6" xfId="15" applyFont="1" applyFill="1" applyBorder="1"/>
    <xf numFmtId="0" fontId="30" fillId="2" borderId="7" xfId="15" applyFont="1" applyFill="1" applyBorder="1"/>
    <xf numFmtId="0" fontId="17" fillId="0" borderId="5" xfId="14" applyFont="1" applyFill="1" applyBorder="1" applyAlignment="1" applyProtection="1">
      <alignment horizontal="left"/>
      <protection hidden="1"/>
    </xf>
    <xf numFmtId="0" fontId="17" fillId="0" borderId="7" xfId="14" applyFont="1" applyFill="1" applyBorder="1" applyAlignment="1" applyProtection="1">
      <alignment horizontal="left"/>
      <protection hidden="1"/>
    </xf>
    <xf numFmtId="0" fontId="17" fillId="0" borderId="1" xfId="14" applyFont="1" applyFill="1" applyBorder="1" applyAlignment="1" applyProtection="1">
      <alignment horizontal="left"/>
      <protection hidden="1"/>
    </xf>
    <xf numFmtId="0" fontId="17" fillId="0" borderId="1" xfId="14" applyFont="1" applyFill="1" applyBorder="1" applyAlignment="1" applyProtection="1">
      <alignment horizontal="center"/>
      <protection hidden="1"/>
    </xf>
    <xf numFmtId="0" fontId="17" fillId="0" borderId="1" xfId="0" applyFont="1" applyBorder="1" applyAlignment="1">
      <alignment horizontal="center"/>
    </xf>
    <xf numFmtId="0" fontId="20" fillId="0" borderId="1" xfId="15" applyFont="1" applyFill="1" applyBorder="1"/>
    <xf numFmtId="0" fontId="20" fillId="3" borderId="1" xfId="15" applyFont="1" applyFill="1" applyBorder="1"/>
    <xf numFmtId="186" fontId="30" fillId="3" borderId="1" xfId="15" applyNumberFormat="1" applyFont="1" applyFill="1" applyBorder="1"/>
    <xf numFmtId="0" fontId="16" fillId="0" borderId="1" xfId="14" applyNumberFormat="1" applyFont="1" applyFill="1" applyBorder="1" applyAlignment="1" applyProtection="1">
      <alignment horizontal="left"/>
      <protection hidden="1"/>
    </xf>
    <xf numFmtId="0" fontId="20" fillId="0" borderId="1" xfId="15" applyFont="1" applyFill="1" applyBorder="1" applyAlignment="1"/>
    <xf numFmtId="0" fontId="20" fillId="0" borderId="0" xfId="15" applyFont="1" applyFill="1" applyBorder="1" applyAlignment="1"/>
    <xf numFmtId="0" fontId="30" fillId="0" borderId="0" xfId="15" applyFont="1" applyFill="1" applyBorder="1" applyAlignment="1"/>
    <xf numFmtId="0" fontId="27" fillId="2" borderId="11" xfId="14" applyNumberFormat="1" applyFont="1" applyFill="1" applyBorder="1" applyAlignment="1" applyProtection="1">
      <alignment horizontal="left" vertical="center"/>
      <protection hidden="1"/>
    </xf>
    <xf numFmtId="0" fontId="28" fillId="2" borderId="8" xfId="14" applyFont="1" applyFill="1" applyBorder="1" applyAlignment="1" applyProtection="1">
      <alignment horizontal="left"/>
      <protection hidden="1"/>
    </xf>
    <xf numFmtId="0" fontId="31" fillId="2" borderId="8" xfId="15" applyFont="1" applyFill="1" applyBorder="1"/>
    <xf numFmtId="0" fontId="31" fillId="2" borderId="9" xfId="15" applyFont="1" applyFill="1" applyBorder="1"/>
    <xf numFmtId="0" fontId="18" fillId="2" borderId="14" xfId="14" applyFont="1" applyFill="1" applyBorder="1" applyAlignment="1" applyProtection="1">
      <alignment horizontal="left"/>
      <protection hidden="1"/>
    </xf>
    <xf numFmtId="0" fontId="18" fillId="2" borderId="2" xfId="14" applyFont="1" applyFill="1" applyBorder="1" applyAlignment="1" applyProtection="1">
      <alignment horizontal="left"/>
      <protection hidden="1"/>
    </xf>
    <xf numFmtId="0" fontId="31" fillId="2" borderId="2" xfId="15" applyFont="1" applyFill="1" applyBorder="1"/>
    <xf numFmtId="0" fontId="31" fillId="2" borderId="13" xfId="15" applyFont="1" applyFill="1" applyBorder="1"/>
    <xf numFmtId="0" fontId="18" fillId="0" borderId="0" xfId="14" applyFont="1" applyFill="1" applyBorder="1" applyAlignment="1" applyProtection="1">
      <alignment horizontal="left"/>
      <protection hidden="1"/>
    </xf>
    <xf numFmtId="0" fontId="22" fillId="0" borderId="0" xfId="0" applyFont="1"/>
    <xf numFmtId="0" fontId="18" fillId="0" borderId="5" xfId="14" applyFont="1" applyFill="1" applyBorder="1" applyAlignment="1" applyProtection="1">
      <alignment horizontal="left"/>
      <protection hidden="1"/>
    </xf>
    <xf numFmtId="0" fontId="18" fillId="0" borderId="7" xfId="14" applyFont="1" applyFill="1" applyBorder="1" applyAlignment="1" applyProtection="1">
      <alignment horizontal="left"/>
      <protection hidden="1"/>
    </xf>
    <xf numFmtId="0" fontId="17" fillId="0" borderId="0" xfId="0" applyFont="1"/>
    <xf numFmtId="0" fontId="16" fillId="0" borderId="1" xfId="14" applyNumberFormat="1" applyFont="1" applyFill="1" applyBorder="1" applyAlignment="1" applyProtection="1">
      <protection hidden="1"/>
    </xf>
    <xf numFmtId="0" fontId="16" fillId="3" borderId="1" xfId="14" applyFont="1" applyFill="1" applyBorder="1" applyAlignment="1" applyProtection="1">
      <alignment horizontal="left"/>
      <protection hidden="1"/>
    </xf>
    <xf numFmtId="17" fontId="16" fillId="3" borderId="1" xfId="14" quotePrefix="1" applyNumberFormat="1" applyFont="1" applyFill="1" applyBorder="1" applyAlignment="1" applyProtection="1">
      <alignment horizontal="left"/>
      <protection hidden="1"/>
    </xf>
    <xf numFmtId="0" fontId="16" fillId="0" borderId="0" xfId="14" applyNumberFormat="1" applyFont="1" applyFill="1" applyBorder="1" applyAlignment="1" applyProtection="1">
      <alignment horizontal="center"/>
      <protection hidden="1"/>
    </xf>
    <xf numFmtId="0" fontId="16" fillId="0" borderId="0" xfId="14" applyFont="1" applyFill="1" applyBorder="1" applyAlignment="1" applyProtection="1">
      <alignment horizontal="left"/>
      <protection hidden="1"/>
    </xf>
    <xf numFmtId="0" fontId="16" fillId="0" borderId="0" xfId="14" applyFont="1" applyFill="1" applyBorder="1" applyAlignment="1" applyProtection="1">
      <alignment horizontal="center"/>
      <protection hidden="1"/>
    </xf>
    <xf numFmtId="0" fontId="20" fillId="2" borderId="6" xfId="15" applyFont="1" applyFill="1" applyBorder="1" applyAlignment="1"/>
    <xf numFmtId="0" fontId="20" fillId="2" borderId="7" xfId="15" applyFont="1" applyFill="1" applyBorder="1" applyAlignment="1"/>
    <xf numFmtId="0" fontId="18" fillId="0" borderId="0" xfId="14" applyNumberFormat="1" applyFont="1" applyFill="1" applyBorder="1" applyAlignment="1" applyProtection="1">
      <alignment horizontal="left" vertical="center"/>
      <protection hidden="1"/>
    </xf>
    <xf numFmtId="0" fontId="18" fillId="0" borderId="1" xfId="14" applyFont="1" applyFill="1" applyBorder="1" applyAlignment="1" applyProtection="1">
      <alignment horizontal="left"/>
      <protection hidden="1"/>
    </xf>
    <xf numFmtId="0" fontId="20" fillId="0" borderId="6" xfId="15" applyFont="1" applyFill="1" applyBorder="1" applyAlignment="1"/>
    <xf numFmtId="0" fontId="17" fillId="0" borderId="1" xfId="14" applyFont="1" applyFill="1" applyBorder="1" applyAlignment="1" applyProtection="1">
      <alignment horizontal="right"/>
      <protection hidden="1"/>
    </xf>
    <xf numFmtId="0" fontId="20" fillId="3" borderId="2" xfId="15" applyFont="1" applyFill="1" applyBorder="1" applyAlignment="1"/>
    <xf numFmtId="186" fontId="30" fillId="3" borderId="1" xfId="15" applyNumberFormat="1" applyFont="1" applyFill="1" applyBorder="1" applyAlignment="1"/>
    <xf numFmtId="0" fontId="20" fillId="3" borderId="6" xfId="15" applyFont="1" applyFill="1" applyBorder="1" applyAlignment="1"/>
    <xf numFmtId="0" fontId="20" fillId="0" borderId="0" xfId="0" applyFont="1" applyBorder="1"/>
    <xf numFmtId="0" fontId="17" fillId="0" borderId="5" xfId="14" applyFont="1" applyFill="1" applyBorder="1" applyAlignment="1" applyProtection="1">
      <alignment horizontal="left" vertical="top"/>
      <protection hidden="1"/>
    </xf>
    <xf numFmtId="0" fontId="16" fillId="0" borderId="6" xfId="14" applyFont="1" applyFill="1" applyBorder="1" applyAlignment="1" applyProtection="1">
      <alignment horizontal="left" vertical="top"/>
      <protection hidden="1"/>
    </xf>
    <xf numFmtId="0" fontId="16" fillId="0" borderId="7" xfId="14" applyFont="1" applyFill="1" applyBorder="1" applyAlignment="1" applyProtection="1">
      <alignment horizontal="center" vertical="top"/>
      <protection hidden="1"/>
    </xf>
    <xf numFmtId="0" fontId="17" fillId="0" borderId="1" xfId="14" applyFont="1" applyFill="1" applyBorder="1" applyAlignment="1" applyProtection="1">
      <alignment horizontal="left" wrapText="1"/>
      <protection hidden="1"/>
    </xf>
    <xf numFmtId="0" fontId="17" fillId="0" borderId="7" xfId="14" applyFont="1" applyFill="1" applyBorder="1" applyAlignment="1" applyProtection="1">
      <alignment horizontal="left" wrapText="1"/>
      <protection hidden="1"/>
    </xf>
    <xf numFmtId="0" fontId="20" fillId="3" borderId="1" xfId="15" applyFont="1" applyFill="1" applyBorder="1" applyAlignment="1"/>
    <xf numFmtId="0" fontId="20" fillId="3" borderId="5" xfId="15" applyFont="1" applyFill="1" applyBorder="1" applyAlignment="1"/>
    <xf numFmtId="0" fontId="27" fillId="0" borderId="0" xfId="14" applyNumberFormat="1" applyFont="1" applyFill="1" applyBorder="1" applyAlignment="1" applyProtection="1">
      <alignment horizontal="left" vertical="center"/>
      <protection hidden="1"/>
    </xf>
    <xf numFmtId="0" fontId="32" fillId="3" borderId="1" xfId="15" applyFont="1" applyFill="1" applyBorder="1"/>
    <xf numFmtId="0" fontId="30" fillId="0" borderId="0" xfId="15" applyFont="1" applyBorder="1" applyAlignment="1"/>
    <xf numFmtId="0" fontId="30" fillId="0" borderId="0" xfId="15" applyFont="1" applyFill="1" applyBorder="1"/>
    <xf numFmtId="186" fontId="30" fillId="0" borderId="0" xfId="15" applyNumberFormat="1" applyFont="1" applyFill="1" applyBorder="1"/>
    <xf numFmtId="2" fontId="27" fillId="0" borderId="0" xfId="0" applyNumberFormat="1" applyFont="1" applyAlignment="1">
      <alignment horizontal="left"/>
    </xf>
    <xf numFmtId="2" fontId="29" fillId="0" borderId="0" xfId="0" applyNumberFormat="1" applyFont="1" applyAlignment="1">
      <alignment horizontal="left"/>
    </xf>
    <xf numFmtId="2" fontId="20" fillId="0" borderId="0" xfId="14" applyNumberFormat="1" applyFont="1" applyFill="1" applyAlignment="1" applyProtection="1">
      <alignment horizontal="center"/>
      <protection hidden="1"/>
    </xf>
    <xf numFmtId="1" fontId="29" fillId="0" borderId="0" xfId="0" applyNumberFormat="1" applyFont="1" applyAlignment="1">
      <alignment horizontal="left"/>
    </xf>
    <xf numFmtId="2" fontId="20" fillId="0" borderId="0" xfId="14" applyNumberFormat="1" applyFont="1" applyFill="1" applyProtection="1">
      <protection hidden="1"/>
    </xf>
    <xf numFmtId="2" fontId="27" fillId="2" borderId="5" xfId="14" applyNumberFormat="1" applyFont="1" applyFill="1" applyBorder="1" applyAlignment="1" applyProtection="1">
      <alignment horizontal="left"/>
      <protection hidden="1"/>
    </xf>
    <xf numFmtId="2" fontId="18" fillId="2" borderId="6" xfId="14" applyNumberFormat="1" applyFont="1" applyFill="1" applyBorder="1" applyAlignment="1" applyProtection="1">
      <alignment horizontal="left"/>
      <protection hidden="1"/>
    </xf>
    <xf numFmtId="0" fontId="18" fillId="2" borderId="7" xfId="14" applyNumberFormat="1" applyFont="1" applyFill="1" applyBorder="1" applyAlignment="1" applyProtection="1">
      <alignment horizontal="left"/>
      <protection hidden="1"/>
    </xf>
    <xf numFmtId="0" fontId="17" fillId="0" borderId="0" xfId="14" applyFont="1" applyFill="1" applyProtection="1">
      <protection hidden="1"/>
    </xf>
    <xf numFmtId="0" fontId="18" fillId="0" borderId="5" xfId="14" applyNumberFormat="1" applyFont="1" applyFill="1" applyBorder="1" applyAlignment="1" applyProtection="1">
      <alignment horizontal="left"/>
      <protection hidden="1"/>
    </xf>
    <xf numFmtId="3" fontId="16" fillId="3" borderId="5" xfId="14" applyNumberFormat="1" applyFont="1" applyFill="1" applyBorder="1" applyAlignment="1" applyProtection="1">
      <alignment horizontal="left" wrapText="1"/>
      <protection hidden="1"/>
    </xf>
    <xf numFmtId="0" fontId="18" fillId="0" borderId="11" xfId="14" applyNumberFormat="1" applyFont="1" applyFill="1" applyBorder="1" applyAlignment="1" applyProtection="1">
      <alignment horizontal="left" vertical="top"/>
      <protection hidden="1"/>
    </xf>
    <xf numFmtId="3" fontId="16" fillId="3" borderId="11" xfId="14" applyNumberFormat="1" applyFont="1" applyFill="1" applyBorder="1" applyAlignment="1" applyProtection="1">
      <alignment horizontal="left" vertical="top" wrapText="1"/>
      <protection hidden="1"/>
    </xf>
    <xf numFmtId="0" fontId="16" fillId="0" borderId="5" xfId="14" applyNumberFormat="1" applyFont="1" applyFill="1" applyBorder="1" applyAlignment="1" applyProtection="1">
      <alignment horizontal="left"/>
      <protection hidden="1"/>
    </xf>
    <xf numFmtId="0" fontId="18" fillId="0" borderId="1" xfId="14" applyNumberFormat="1" applyFont="1" applyFill="1" applyBorder="1" applyAlignment="1" applyProtection="1">
      <alignment horizontal="left"/>
      <protection hidden="1"/>
    </xf>
    <xf numFmtId="0" fontId="16" fillId="0" borderId="0" xfId="14" applyNumberFormat="1" applyFont="1" applyFill="1" applyBorder="1" applyAlignment="1" applyProtection="1">
      <alignment horizontal="left"/>
      <protection hidden="1"/>
    </xf>
    <xf numFmtId="4" fontId="16" fillId="0" borderId="0" xfId="14" applyNumberFormat="1" applyFont="1" applyFill="1" applyBorder="1" applyAlignment="1" applyProtection="1">
      <alignment horizontal="center"/>
      <protection hidden="1"/>
    </xf>
    <xf numFmtId="0" fontId="24" fillId="0" borderId="0" xfId="18" applyFont="1" applyFill="1" applyAlignment="1"/>
    <xf numFmtId="0" fontId="20" fillId="0" borderId="0" xfId="18" applyFont="1" applyFill="1" applyAlignment="1"/>
    <xf numFmtId="0" fontId="20" fillId="0" borderId="0" xfId="18" applyFont="1" applyFill="1" applyBorder="1" applyAlignment="1"/>
    <xf numFmtId="0" fontId="21" fillId="0" borderId="0" xfId="0" applyFont="1" applyFill="1" applyAlignment="1">
      <alignment horizontal="left"/>
    </xf>
    <xf numFmtId="0" fontId="32" fillId="0" borderId="0" xfId="0" applyFont="1" applyFill="1" applyBorder="1"/>
    <xf numFmtId="2" fontId="33" fillId="0" borderId="0" xfId="20" applyNumberFormat="1" applyFont="1" applyFill="1" applyBorder="1" applyAlignment="1" applyProtection="1">
      <alignment horizontal="center"/>
      <protection hidden="1"/>
    </xf>
    <xf numFmtId="2" fontId="20" fillId="0" borderId="0" xfId="19" applyNumberFormat="1" applyFont="1" applyFill="1" applyBorder="1" applyProtection="1">
      <protection hidden="1"/>
    </xf>
    <xf numFmtId="2" fontId="20" fillId="0" borderId="0" xfId="0" applyNumberFormat="1" applyFont="1" applyFill="1" applyBorder="1"/>
    <xf numFmtId="2" fontId="15" fillId="0" borderId="0" xfId="20" applyNumberFormat="1" applyFont="1" applyFill="1" applyBorder="1" applyAlignment="1" applyProtection="1">
      <alignment horizontal="center" vertical="center"/>
      <protection hidden="1"/>
    </xf>
    <xf numFmtId="2" fontId="20" fillId="0" borderId="0" xfId="19" applyNumberFormat="1" applyFont="1" applyFill="1" applyBorder="1" applyAlignment="1" applyProtection="1">
      <alignment vertical="center"/>
      <protection hidden="1"/>
    </xf>
    <xf numFmtId="2" fontId="34" fillId="0" borderId="0" xfId="20" applyNumberFormat="1" applyFont="1" applyFill="1" applyBorder="1" applyAlignment="1" applyProtection="1">
      <alignment horizontal="left" vertical="center"/>
      <protection hidden="1"/>
    </xf>
    <xf numFmtId="0" fontId="32" fillId="0" borderId="0" xfId="0" applyFont="1" applyFill="1" applyBorder="1" applyAlignment="1">
      <alignment vertical="center"/>
    </xf>
    <xf numFmtId="0" fontId="20" fillId="0" borderId="0" xfId="0" applyFont="1" applyFill="1" applyAlignment="1">
      <alignment vertical="center"/>
    </xf>
    <xf numFmtId="2" fontId="32" fillId="0" borderId="0" xfId="0" applyNumberFormat="1" applyFont="1" applyFill="1" applyBorder="1"/>
    <xf numFmtId="2" fontId="20" fillId="0" borderId="0" xfId="19" applyNumberFormat="1" applyFont="1" applyFill="1" applyProtection="1">
      <protection hidden="1"/>
    </xf>
    <xf numFmtId="0" fontId="20" fillId="0" borderId="0" xfId="19" applyFont="1" applyFill="1" applyProtection="1">
      <protection hidden="1"/>
    </xf>
    <xf numFmtId="1" fontId="35" fillId="0" borderId="0" xfId="0" applyNumberFormat="1" applyFont="1" applyAlignment="1">
      <alignment horizontal="left"/>
    </xf>
    <xf numFmtId="2" fontId="27" fillId="2" borderId="6" xfId="19" applyNumberFormat="1" applyFont="1" applyFill="1" applyBorder="1" applyAlignment="1" applyProtection="1">
      <alignment horizontal="centerContinuous" vertical="center"/>
      <protection hidden="1"/>
    </xf>
    <xf numFmtId="0" fontId="27" fillId="2" borderId="6" xfId="19" applyFont="1" applyFill="1" applyBorder="1" applyAlignment="1" applyProtection="1">
      <alignment horizontal="centerContinuous" vertical="center"/>
      <protection hidden="1"/>
    </xf>
    <xf numFmtId="0" fontId="27" fillId="2" borderId="7" xfId="19" applyFont="1" applyFill="1" applyBorder="1" applyAlignment="1" applyProtection="1">
      <alignment horizontal="right" vertical="top"/>
      <protection hidden="1"/>
    </xf>
    <xf numFmtId="0" fontId="20" fillId="0" borderId="0" xfId="19" applyFont="1" applyFill="1" applyBorder="1" applyAlignment="1" applyProtection="1">
      <protection hidden="1"/>
    </xf>
    <xf numFmtId="2" fontId="36" fillId="0" borderId="4" xfId="19" applyNumberFormat="1" applyFont="1" applyFill="1" applyBorder="1" applyAlignment="1" applyProtection="1">
      <alignment horizontal="center"/>
      <protection hidden="1"/>
    </xf>
    <xf numFmtId="2" fontId="36" fillId="0" borderId="9" xfId="19" applyNumberFormat="1" applyFont="1" applyFill="1" applyBorder="1" applyAlignment="1" applyProtection="1">
      <alignment horizontal="center"/>
      <protection hidden="1"/>
    </xf>
    <xf numFmtId="2" fontId="18" fillId="0" borderId="1" xfId="19" applyNumberFormat="1" applyFont="1" applyFill="1" applyBorder="1" applyAlignment="1" applyProtection="1">
      <alignment horizontal="left"/>
      <protection hidden="1"/>
    </xf>
    <xf numFmtId="2" fontId="18" fillId="0" borderId="1" xfId="19" applyNumberFormat="1" applyFont="1" applyFill="1" applyBorder="1" applyAlignment="1" applyProtection="1">
      <alignment horizontal="center"/>
      <protection hidden="1"/>
    </xf>
    <xf numFmtId="0" fontId="18" fillId="0" borderId="1" xfId="19" applyFont="1" applyFill="1" applyBorder="1" applyAlignment="1" applyProtection="1">
      <alignment horizontal="center"/>
      <protection hidden="1"/>
    </xf>
    <xf numFmtId="0" fontId="20" fillId="0" borderId="0" xfId="19" applyFont="1" applyFill="1" applyBorder="1" applyProtection="1">
      <protection hidden="1"/>
    </xf>
    <xf numFmtId="2" fontId="32" fillId="0" borderId="15" xfId="19" applyNumberFormat="1" applyFont="1" applyFill="1" applyBorder="1" applyAlignment="1" applyProtection="1">
      <alignment horizontal="center"/>
      <protection hidden="1"/>
    </xf>
    <xf numFmtId="186" fontId="32" fillId="0" borderId="12" xfId="4" applyNumberFormat="1" applyFont="1" applyFill="1" applyBorder="1" applyAlignment="1" applyProtection="1">
      <protection hidden="1"/>
    </xf>
    <xf numFmtId="2" fontId="16" fillId="0" borderId="1" xfId="19" applyNumberFormat="1" applyFont="1" applyFill="1" applyBorder="1" applyAlignment="1" applyProtection="1">
      <alignment horizontal="left"/>
      <protection hidden="1"/>
    </xf>
    <xf numFmtId="186" fontId="20" fillId="0" borderId="1" xfId="4" applyNumberFormat="1" applyFont="1" applyFill="1" applyBorder="1" applyAlignment="1" applyProtection="1">
      <protection hidden="1"/>
    </xf>
    <xf numFmtId="2" fontId="32" fillId="0" borderId="10" xfId="19" applyNumberFormat="1" applyFont="1" applyFill="1" applyBorder="1" applyAlignment="1" applyProtection="1">
      <alignment horizontal="center"/>
      <protection hidden="1"/>
    </xf>
    <xf numFmtId="2" fontId="32" fillId="0" borderId="13" xfId="19" applyNumberFormat="1" applyFont="1" applyFill="1" applyBorder="1" applyAlignment="1" applyProtection="1">
      <alignment horizontal="center"/>
      <protection hidden="1"/>
    </xf>
    <xf numFmtId="0" fontId="16" fillId="0" borderId="0" xfId="19" applyFont="1" applyFill="1" applyBorder="1" applyAlignment="1" applyProtection="1">
      <alignment horizontal="left"/>
      <protection hidden="1"/>
    </xf>
    <xf numFmtId="172" fontId="16" fillId="0" borderId="0" xfId="19" applyNumberFormat="1" applyFont="1" applyFill="1" applyBorder="1" applyAlignment="1" applyProtection="1">
      <protection hidden="1"/>
    </xf>
    <xf numFmtId="2" fontId="32" fillId="0" borderId="0" xfId="19" applyNumberFormat="1" applyFont="1" applyFill="1" applyBorder="1" applyAlignment="1" applyProtection="1">
      <alignment horizontal="center"/>
      <protection hidden="1"/>
    </xf>
    <xf numFmtId="0" fontId="20" fillId="0" borderId="0" xfId="19" applyFont="1" applyFill="1" applyBorder="1" applyAlignment="1" applyProtection="1">
      <alignment horizontal="left"/>
      <protection hidden="1"/>
    </xf>
    <xf numFmtId="2" fontId="20" fillId="0" borderId="0" xfId="19" applyNumberFormat="1" applyFont="1" applyFill="1" applyAlignment="1" applyProtection="1">
      <alignment horizontal="left"/>
      <protection hidden="1"/>
    </xf>
    <xf numFmtId="0" fontId="32" fillId="0" borderId="0" xfId="19" applyFont="1" applyFill="1" applyBorder="1" applyAlignment="1" applyProtection="1">
      <alignment horizontal="center"/>
      <protection hidden="1"/>
    </xf>
    <xf numFmtId="2" fontId="18" fillId="2" borderId="6" xfId="19" applyNumberFormat="1" applyFont="1" applyFill="1" applyBorder="1" applyAlignment="1" applyProtection="1">
      <alignment horizontal="centerContinuous" vertical="center" wrapText="1"/>
      <protection hidden="1"/>
    </xf>
    <xf numFmtId="0" fontId="18" fillId="2" borderId="6" xfId="19" applyFont="1" applyFill="1" applyBorder="1" applyAlignment="1" applyProtection="1">
      <alignment horizontal="centerContinuous" vertical="center" wrapText="1"/>
      <protection hidden="1"/>
    </xf>
    <xf numFmtId="184" fontId="16" fillId="0" borderId="0" xfId="19" applyNumberFormat="1" applyFont="1" applyFill="1" applyBorder="1" applyAlignment="1" applyProtection="1">
      <protection hidden="1"/>
    </xf>
    <xf numFmtId="186" fontId="32" fillId="0" borderId="15" xfId="4" applyNumberFormat="1" applyFont="1" applyFill="1" applyBorder="1" applyAlignment="1" applyProtection="1">
      <protection hidden="1"/>
    </xf>
    <xf numFmtId="186" fontId="32" fillId="0" borderId="10" xfId="4" applyNumberFormat="1" applyFont="1" applyFill="1" applyBorder="1" applyAlignment="1" applyProtection="1">
      <protection hidden="1"/>
    </xf>
    <xf numFmtId="2" fontId="27" fillId="2" borderId="5" xfId="19" applyNumberFormat="1" applyFont="1" applyFill="1" applyBorder="1" applyAlignment="1" applyProtection="1">
      <alignment horizontal="left" vertical="top"/>
      <protection hidden="1"/>
    </xf>
    <xf numFmtId="0" fontId="27" fillId="2" borderId="7" xfId="0" applyFont="1" applyFill="1" applyBorder="1" applyAlignment="1" applyProtection="1">
      <alignment horizontal="right" vertical="top"/>
      <protection hidden="1"/>
    </xf>
    <xf numFmtId="0" fontId="18" fillId="0" borderId="1" xfId="0" applyFont="1" applyBorder="1" applyAlignment="1" applyProtection="1">
      <alignment horizontal="center"/>
      <protection hidden="1"/>
    </xf>
    <xf numFmtId="184" fontId="16" fillId="0" borderId="0" xfId="0" applyNumberFormat="1" applyFont="1" applyProtection="1">
      <protection hidden="1"/>
    </xf>
    <xf numFmtId="0" fontId="24" fillId="0" borderId="0" xfId="19" applyFont="1" applyFill="1" applyBorder="1" applyAlignment="1" applyProtection="1">
      <protection hidden="1"/>
    </xf>
    <xf numFmtId="2" fontId="35" fillId="0" borderId="4" xfId="19" applyNumberFormat="1" applyFont="1" applyFill="1" applyBorder="1" applyAlignment="1" applyProtection="1">
      <alignment horizontal="center"/>
      <protection hidden="1"/>
    </xf>
    <xf numFmtId="0" fontId="24" fillId="0" borderId="0" xfId="0" applyFont="1" applyFill="1"/>
    <xf numFmtId="2" fontId="35" fillId="2" borderId="5" xfId="19" applyNumberFormat="1" applyFont="1" applyFill="1" applyBorder="1" applyAlignment="1" applyProtection="1">
      <alignment horizontal="left" vertical="top"/>
      <protection hidden="1"/>
    </xf>
    <xf numFmtId="2" fontId="35" fillId="2" borderId="6" xfId="19" applyNumberFormat="1" applyFont="1" applyFill="1" applyBorder="1" applyAlignment="1" applyProtection="1">
      <alignment horizontal="centerContinuous" vertical="center"/>
      <protection hidden="1"/>
    </xf>
    <xf numFmtId="0" fontId="35" fillId="2" borderId="6" xfId="19" applyFont="1" applyFill="1" applyBorder="1" applyAlignment="1" applyProtection="1">
      <alignment horizontal="centerContinuous" vertical="center"/>
      <protection hidden="1"/>
    </xf>
    <xf numFmtId="0" fontId="35" fillId="2" borderId="7" xfId="19" applyFont="1" applyFill="1" applyBorder="1" applyAlignment="1" applyProtection="1">
      <alignment horizontal="right" vertical="top"/>
      <protection hidden="1"/>
    </xf>
    <xf numFmtId="2" fontId="21" fillId="0" borderId="7" xfId="19" applyNumberFormat="1" applyFont="1" applyFill="1" applyBorder="1" applyAlignment="1" applyProtection="1">
      <alignment horizontal="left"/>
      <protection hidden="1"/>
    </xf>
    <xf numFmtId="2" fontId="21" fillId="0" borderId="1" xfId="19" applyNumberFormat="1" applyFont="1" applyFill="1" applyBorder="1" applyAlignment="1" applyProtection="1">
      <alignment horizontal="center"/>
      <protection hidden="1"/>
    </xf>
    <xf numFmtId="0" fontId="21" fillId="0" borderId="1" xfId="19" applyFont="1" applyFill="1" applyBorder="1" applyAlignment="1" applyProtection="1">
      <alignment horizontal="center"/>
      <protection hidden="1"/>
    </xf>
    <xf numFmtId="2" fontId="19" fillId="0" borderId="7" xfId="19" applyNumberFormat="1" applyFont="1" applyFill="1" applyBorder="1" applyAlignment="1" applyProtection="1">
      <alignment horizontal="left"/>
      <protection hidden="1"/>
    </xf>
    <xf numFmtId="9" fontId="19" fillId="0" borderId="1" xfId="23" applyFont="1" applyFill="1" applyBorder="1" applyAlignment="1" applyProtection="1">
      <protection hidden="1"/>
    </xf>
    <xf numFmtId="0" fontId="19" fillId="0" borderId="7" xfId="19" applyFont="1" applyFill="1" applyBorder="1" applyAlignment="1" applyProtection="1">
      <alignment horizontal="left"/>
      <protection hidden="1"/>
    </xf>
    <xf numFmtId="0" fontId="19" fillId="0" borderId="0" xfId="0" applyFont="1" applyFill="1"/>
    <xf numFmtId="0" fontId="20" fillId="0" borderId="0" xfId="0" applyFont="1" applyFill="1" applyAlignment="1">
      <alignment horizontal="left"/>
    </xf>
    <xf numFmtId="0" fontId="33" fillId="0" borderId="0" xfId="20" applyFont="1" applyFill="1" applyBorder="1" applyAlignment="1" applyProtection="1">
      <protection hidden="1"/>
    </xf>
    <xf numFmtId="0" fontId="33" fillId="0" borderId="0" xfId="20" applyFont="1" applyFill="1" applyBorder="1" applyAlignment="1" applyProtection="1">
      <alignment horizontal="center"/>
      <protection hidden="1"/>
    </xf>
    <xf numFmtId="0" fontId="33" fillId="0" borderId="0" xfId="20" applyFont="1" applyFill="1" applyBorder="1" applyAlignment="1" applyProtection="1">
      <alignment horizontal="right"/>
      <protection hidden="1"/>
    </xf>
    <xf numFmtId="171" fontId="33" fillId="0" borderId="0" xfId="4" applyFont="1" applyFill="1" applyBorder="1" applyAlignment="1" applyProtection="1">
      <alignment horizontal="center"/>
      <protection hidden="1"/>
    </xf>
    <xf numFmtId="181" fontId="33" fillId="0" borderId="0" xfId="4" applyNumberFormat="1" applyFont="1" applyFill="1" applyBorder="1" applyAlignment="1" applyProtection="1">
      <alignment horizontal="center"/>
      <protection hidden="1"/>
    </xf>
    <xf numFmtId="2" fontId="27" fillId="0" borderId="0" xfId="0" applyNumberFormat="1" applyFont="1" applyAlignment="1"/>
    <xf numFmtId="2" fontId="29" fillId="0" borderId="0" xfId="0" applyNumberFormat="1" applyFont="1"/>
    <xf numFmtId="0" fontId="37" fillId="0" borderId="0" xfId="0" applyFont="1" applyFill="1" applyBorder="1" applyAlignment="1">
      <alignment horizontal="center" vertical="center"/>
    </xf>
    <xf numFmtId="181" fontId="37" fillId="0" borderId="0" xfId="0" applyNumberFormat="1" applyFont="1" applyFill="1" applyBorder="1" applyAlignment="1">
      <alignment horizontal="center" vertical="center"/>
    </xf>
    <xf numFmtId="2" fontId="15" fillId="0" borderId="0" xfId="20" applyNumberFormat="1" applyFont="1" applyFill="1" applyBorder="1" applyAlignment="1" applyProtection="1">
      <alignment horizontal="right"/>
      <protection hidden="1"/>
    </xf>
    <xf numFmtId="2" fontId="15" fillId="0" borderId="0" xfId="20" applyNumberFormat="1" applyFont="1" applyFill="1" applyBorder="1" applyAlignment="1" applyProtection="1">
      <alignment horizontal="center"/>
      <protection hidden="1"/>
    </xf>
    <xf numFmtId="2" fontId="17" fillId="0" borderId="0" xfId="0" applyNumberFormat="1" applyFont="1" applyFill="1" applyBorder="1" applyAlignment="1">
      <alignment horizontal="center" vertical="center"/>
    </xf>
    <xf numFmtId="181" fontId="17" fillId="0" borderId="0" xfId="0" applyNumberFormat="1" applyFont="1" applyFill="1" applyBorder="1" applyAlignment="1">
      <alignment horizontal="center" vertical="center"/>
    </xf>
    <xf numFmtId="0" fontId="17" fillId="0" borderId="0" xfId="0" applyFont="1" applyFill="1" applyBorder="1" applyAlignment="1">
      <alignment horizontal="center" vertical="center"/>
    </xf>
    <xf numFmtId="2" fontId="27" fillId="2" borderId="5" xfId="20" applyNumberFormat="1" applyFont="1" applyFill="1" applyBorder="1" applyAlignment="1" applyProtection="1">
      <alignment horizontal="left" vertical="center" wrapText="1"/>
      <protection hidden="1"/>
    </xf>
    <xf numFmtId="2" fontId="15" fillId="2" borderId="6" xfId="20" applyNumberFormat="1" applyFont="1" applyFill="1" applyBorder="1" applyAlignment="1" applyProtection="1">
      <alignment horizontal="center" wrapText="1"/>
      <protection hidden="1"/>
    </xf>
    <xf numFmtId="2" fontId="15" fillId="2" borderId="7" xfId="20" applyNumberFormat="1" applyFont="1" applyFill="1" applyBorder="1" applyAlignment="1" applyProtection="1">
      <alignment horizontal="right" wrapText="1"/>
      <protection hidden="1"/>
    </xf>
    <xf numFmtId="2" fontId="15" fillId="0" borderId="0" xfId="20" applyNumberFormat="1" applyFont="1" applyFill="1" applyBorder="1" applyAlignment="1" applyProtection="1">
      <alignment horizontal="center" wrapText="1"/>
      <protection hidden="1"/>
    </xf>
    <xf numFmtId="0" fontId="20" fillId="0" borderId="0" xfId="0" applyFont="1" applyAlignment="1">
      <alignment horizontal="center" wrapText="1"/>
    </xf>
    <xf numFmtId="171" fontId="33" fillId="0" borderId="0" xfId="4" applyFont="1" applyFill="1" applyBorder="1" applyAlignment="1" applyProtection="1">
      <alignment horizontal="center" wrapText="1"/>
      <protection hidden="1"/>
    </xf>
    <xf numFmtId="2" fontId="20" fillId="0" borderId="5" xfId="20" applyNumberFormat="1" applyFont="1" applyFill="1" applyBorder="1" applyAlignment="1" applyProtection="1">
      <protection hidden="1"/>
    </xf>
    <xf numFmtId="2" fontId="38" fillId="0" borderId="6" xfId="4" applyNumberFormat="1" applyFont="1" applyFill="1" applyBorder="1" applyAlignment="1" applyProtection="1">
      <alignment horizontal="center" vertical="center"/>
      <protection hidden="1"/>
    </xf>
    <xf numFmtId="2" fontId="38" fillId="0" borderId="7" xfId="4" applyNumberFormat="1" applyFont="1" applyFill="1" applyBorder="1" applyAlignment="1" applyProtection="1">
      <alignment horizontal="right" vertical="center"/>
      <protection hidden="1"/>
    </xf>
    <xf numFmtId="181" fontId="17" fillId="0" borderId="9" xfId="0" applyNumberFormat="1" applyFont="1" applyFill="1" applyBorder="1" applyAlignment="1">
      <alignment horizontal="center" vertical="center"/>
    </xf>
    <xf numFmtId="2" fontId="33" fillId="0" borderId="6" xfId="4" applyNumberFormat="1" applyFont="1" applyFill="1" applyBorder="1" applyAlignment="1" applyProtection="1">
      <alignment horizontal="center" vertical="center"/>
      <protection hidden="1"/>
    </xf>
    <xf numFmtId="2" fontId="33" fillId="0" borderId="7" xfId="4" applyNumberFormat="1" applyFont="1" applyFill="1" applyBorder="1" applyAlignment="1" applyProtection="1">
      <alignment horizontal="right" vertical="center"/>
      <protection hidden="1"/>
    </xf>
    <xf numFmtId="2" fontId="39" fillId="0" borderId="6" xfId="20" applyNumberFormat="1" applyFont="1" applyFill="1" applyBorder="1" applyAlignment="1" applyProtection="1">
      <protection hidden="1"/>
    </xf>
    <xf numFmtId="10" fontId="32" fillId="0" borderId="7" xfId="23" applyNumberFormat="1" applyFont="1" applyFill="1" applyBorder="1" applyAlignment="1" applyProtection="1">
      <alignment horizontal="right"/>
      <protection hidden="1"/>
    </xf>
    <xf numFmtId="171" fontId="16" fillId="3" borderId="1" xfId="4" applyFont="1" applyFill="1" applyBorder="1" applyAlignment="1" applyProtection="1">
      <protection locked="0"/>
    </xf>
    <xf numFmtId="0" fontId="20" fillId="0" borderId="5" xfId="20" applyFont="1" applyFill="1" applyBorder="1" applyAlignment="1" applyProtection="1">
      <protection hidden="1"/>
    </xf>
    <xf numFmtId="0" fontId="39" fillId="0" borderId="6" xfId="20" applyFont="1" applyFill="1" applyBorder="1" applyAlignment="1" applyProtection="1">
      <protection hidden="1"/>
    </xf>
    <xf numFmtId="0" fontId="39" fillId="0" borderId="7" xfId="20" applyFont="1" applyFill="1" applyBorder="1" applyAlignment="1" applyProtection="1">
      <alignment horizontal="right"/>
      <protection hidden="1"/>
    </xf>
    <xf numFmtId="0" fontId="18" fillId="0" borderId="5" xfId="20" applyFont="1" applyFill="1" applyBorder="1" applyAlignment="1" applyProtection="1">
      <protection hidden="1"/>
    </xf>
    <xf numFmtId="0" fontId="32" fillId="0" borderId="6" xfId="20" applyFont="1" applyFill="1" applyBorder="1" applyAlignment="1" applyProtection="1">
      <alignment horizontal="right"/>
      <protection hidden="1"/>
    </xf>
    <xf numFmtId="0" fontId="32" fillId="0" borderId="7" xfId="20" applyFont="1" applyFill="1" applyBorder="1" applyAlignment="1" applyProtection="1">
      <alignment horizontal="right"/>
      <protection hidden="1"/>
    </xf>
    <xf numFmtId="0" fontId="16" fillId="0" borderId="5" xfId="20" applyNumberFormat="1" applyFont="1" applyFill="1" applyBorder="1" applyAlignment="1" applyProtection="1">
      <protection hidden="1"/>
    </xf>
    <xf numFmtId="10" fontId="32" fillId="0" borderId="6" xfId="20" applyNumberFormat="1" applyFont="1" applyFill="1" applyBorder="1" applyAlignment="1" applyProtection="1">
      <alignment horizontal="right"/>
      <protection hidden="1"/>
    </xf>
    <xf numFmtId="10" fontId="39" fillId="3" borderId="1" xfId="23" applyNumberFormat="1" applyFont="1" applyFill="1" applyBorder="1" applyAlignment="1" applyProtection="1">
      <alignment horizontal="right"/>
      <protection hidden="1"/>
    </xf>
    <xf numFmtId="0" fontId="39" fillId="0" borderId="6" xfId="20" applyFont="1" applyFill="1" applyBorder="1" applyAlignment="1" applyProtection="1">
      <alignment horizontal="center"/>
      <protection hidden="1"/>
    </xf>
    <xf numFmtId="181" fontId="40" fillId="0" borderId="1" xfId="23" applyNumberFormat="1" applyFont="1" applyFill="1" applyBorder="1" applyAlignment="1" applyProtection="1">
      <alignment horizontal="center"/>
      <protection hidden="1"/>
    </xf>
    <xf numFmtId="0" fontId="41" fillId="0" borderId="5" xfId="20" applyNumberFormat="1" applyFont="1" applyFill="1" applyBorder="1" applyAlignment="1" applyProtection="1">
      <protection hidden="1"/>
    </xf>
    <xf numFmtId="2" fontId="36" fillId="0" borderId="0" xfId="20" applyNumberFormat="1" applyFont="1" applyFill="1" applyBorder="1" applyAlignment="1" applyProtection="1">
      <alignment horizontal="center"/>
      <protection hidden="1"/>
    </xf>
    <xf numFmtId="181" fontId="19" fillId="0" borderId="12" xfId="0" applyNumberFormat="1" applyFont="1" applyFill="1" applyBorder="1" applyAlignment="1">
      <alignment horizontal="center" vertical="center"/>
    </xf>
    <xf numFmtId="171" fontId="36" fillId="0" borderId="0" xfId="4" applyFont="1" applyFill="1" applyBorder="1" applyAlignment="1" applyProtection="1">
      <alignment horizontal="center"/>
      <protection hidden="1"/>
    </xf>
    <xf numFmtId="181" fontId="39" fillId="0" borderId="7" xfId="23" applyNumberFormat="1" applyFont="1" applyFill="1" applyBorder="1" applyAlignment="1" applyProtection="1">
      <alignment horizontal="right"/>
      <protection hidden="1"/>
    </xf>
    <xf numFmtId="171" fontId="39" fillId="0" borderId="6" xfId="20" applyNumberFormat="1" applyFont="1" applyFill="1" applyBorder="1" applyAlignment="1" applyProtection="1">
      <alignment horizontal="center"/>
      <protection hidden="1"/>
    </xf>
    <xf numFmtId="165" fontId="39" fillId="0" borderId="6" xfId="20" applyNumberFormat="1" applyFont="1" applyFill="1" applyBorder="1" applyAlignment="1" applyProtection="1">
      <alignment horizontal="center"/>
      <protection hidden="1"/>
    </xf>
    <xf numFmtId="2" fontId="16" fillId="0" borderId="1" xfId="4" applyNumberFormat="1" applyFont="1" applyFill="1" applyBorder="1" applyAlignment="1" applyProtection="1">
      <alignment horizontal="right"/>
      <protection locked="0"/>
    </xf>
    <xf numFmtId="0" fontId="20" fillId="3" borderId="5" xfId="20" applyFont="1" applyFill="1" applyBorder="1" applyAlignment="1" applyProtection="1">
      <protection hidden="1"/>
    </xf>
    <xf numFmtId="168" fontId="39" fillId="0" borderId="7" xfId="11" applyFont="1" applyFill="1" applyBorder="1" applyAlignment="1" applyProtection="1">
      <alignment horizontal="right"/>
      <protection hidden="1"/>
    </xf>
    <xf numFmtId="9" fontId="17" fillId="0" borderId="12" xfId="23" applyFont="1" applyFill="1" applyBorder="1" applyAlignment="1">
      <alignment horizontal="center" vertical="center"/>
    </xf>
    <xf numFmtId="10" fontId="39" fillId="0" borderId="7" xfId="23" applyNumberFormat="1" applyFont="1" applyFill="1" applyBorder="1" applyAlignment="1" applyProtection="1">
      <alignment horizontal="right"/>
      <protection hidden="1"/>
    </xf>
    <xf numFmtId="181" fontId="20" fillId="0" borderId="12" xfId="0" applyNumberFormat="1" applyFont="1" applyBorder="1"/>
    <xf numFmtId="181" fontId="20" fillId="0" borderId="12" xfId="0" applyNumberFormat="1" applyFont="1" applyFill="1" applyBorder="1"/>
    <xf numFmtId="171" fontId="39" fillId="0" borderId="6" xfId="20" applyNumberFormat="1" applyFont="1" applyFill="1" applyBorder="1" applyAlignment="1" applyProtection="1">
      <protection hidden="1"/>
    </xf>
    <xf numFmtId="171" fontId="39" fillId="0" borderId="7" xfId="20" applyNumberFormat="1" applyFont="1" applyFill="1" applyBorder="1" applyAlignment="1" applyProtection="1">
      <alignment horizontal="right"/>
      <protection hidden="1"/>
    </xf>
    <xf numFmtId="181" fontId="17" fillId="0" borderId="13" xfId="0" applyNumberFormat="1" applyFont="1" applyFill="1" applyBorder="1" applyAlignment="1">
      <alignment horizontal="center" vertical="center"/>
    </xf>
    <xf numFmtId="0" fontId="20" fillId="0" borderId="0" xfId="0" applyFont="1" applyFill="1" applyBorder="1" applyAlignment="1"/>
    <xf numFmtId="0" fontId="30" fillId="0" borderId="0" xfId="0" applyFont="1" applyFill="1" applyBorder="1"/>
    <xf numFmtId="0" fontId="30" fillId="0" borderId="9" xfId="0" applyFont="1" applyFill="1" applyBorder="1" applyAlignment="1">
      <alignment horizontal="right"/>
    </xf>
    <xf numFmtId="0" fontId="21" fillId="0" borderId="5" xfId="20" applyFont="1" applyFill="1" applyBorder="1" applyAlignment="1" applyProtection="1">
      <protection hidden="1"/>
    </xf>
    <xf numFmtId="171" fontId="32" fillId="0" borderId="6" xfId="20" applyNumberFormat="1" applyFont="1" applyFill="1" applyBorder="1" applyAlignment="1" applyProtection="1">
      <protection hidden="1"/>
    </xf>
    <xf numFmtId="171" fontId="32" fillId="0" borderId="7" xfId="20" applyNumberFormat="1" applyFont="1" applyFill="1" applyBorder="1" applyAlignment="1" applyProtection="1">
      <alignment horizontal="right"/>
      <protection hidden="1"/>
    </xf>
    <xf numFmtId="0" fontId="32" fillId="0" borderId="0" xfId="0" applyFont="1" applyFill="1" applyBorder="1" applyAlignment="1"/>
    <xf numFmtId="0" fontId="32" fillId="0" borderId="12" xfId="0" applyFont="1" applyFill="1" applyBorder="1" applyAlignment="1">
      <alignment horizontal="right"/>
    </xf>
    <xf numFmtId="0" fontId="32" fillId="0" borderId="0" xfId="0" applyFont="1"/>
    <xf numFmtId="0" fontId="32" fillId="0" borderId="0" xfId="0" applyFont="1" applyAlignment="1">
      <alignment horizontal="right"/>
    </xf>
    <xf numFmtId="181" fontId="19" fillId="0" borderId="0" xfId="0" applyNumberFormat="1" applyFont="1" applyFill="1"/>
    <xf numFmtId="0" fontId="32" fillId="0" borderId="0" xfId="0" applyFont="1" applyAlignment="1"/>
    <xf numFmtId="0" fontId="19" fillId="0" borderId="0" xfId="0" applyFont="1" applyAlignment="1">
      <alignment horizontal="right"/>
    </xf>
    <xf numFmtId="187" fontId="19" fillId="0" borderId="0" xfId="0" applyNumberFormat="1" applyFont="1"/>
    <xf numFmtId="0" fontId="22" fillId="0" borderId="0" xfId="0" applyFont="1" applyAlignment="1">
      <alignment horizontal="center"/>
    </xf>
    <xf numFmtId="0" fontId="20" fillId="0" borderId="0" xfId="20" applyFont="1" applyFill="1" applyAlignment="1" applyProtection="1">
      <alignment vertical="center"/>
      <protection hidden="1"/>
    </xf>
    <xf numFmtId="2" fontId="20" fillId="0" borderId="0" xfId="0" applyNumberFormat="1" applyFont="1" applyFill="1" applyAlignment="1">
      <alignment vertical="center"/>
    </xf>
    <xf numFmtId="2" fontId="20" fillId="0" borderId="0" xfId="20" applyNumberFormat="1" applyFont="1" applyFill="1" applyAlignment="1" applyProtection="1">
      <alignment vertical="center"/>
      <protection hidden="1"/>
    </xf>
    <xf numFmtId="2" fontId="22" fillId="0" borderId="0" xfId="0" applyNumberFormat="1" applyFont="1" applyAlignment="1">
      <alignment horizontal="center"/>
    </xf>
    <xf numFmtId="2" fontId="22" fillId="0" borderId="0" xfId="0" applyNumberFormat="1" applyFont="1" applyFill="1" applyBorder="1" applyAlignment="1">
      <alignment horizontal="center"/>
    </xf>
    <xf numFmtId="2" fontId="20" fillId="0" borderId="0" xfId="20" applyNumberFormat="1" applyFont="1" applyFill="1" applyBorder="1" applyAlignment="1" applyProtection="1">
      <alignment vertical="center"/>
      <protection hidden="1"/>
    </xf>
    <xf numFmtId="1" fontId="35" fillId="0" borderId="0" xfId="17" applyNumberFormat="1" applyFont="1" applyFill="1" applyBorder="1" applyAlignment="1">
      <alignment horizontal="left"/>
    </xf>
    <xf numFmtId="2" fontId="27" fillId="0" borderId="0" xfId="20" applyNumberFormat="1" applyFont="1" applyFill="1" applyBorder="1" applyAlignment="1" applyProtection="1">
      <alignment vertical="center"/>
      <protection locked="0"/>
    </xf>
    <xf numFmtId="2" fontId="23" fillId="2" borderId="5" xfId="20" applyNumberFormat="1" applyFont="1" applyFill="1" applyBorder="1" applyAlignment="1" applyProtection="1">
      <alignment horizontal="left" vertical="center"/>
      <protection hidden="1"/>
    </xf>
    <xf numFmtId="2" fontId="20" fillId="2" borderId="7" xfId="16" applyNumberFormat="1" applyFont="1" applyFill="1" applyBorder="1" applyProtection="1">
      <protection hidden="1"/>
    </xf>
    <xf numFmtId="2" fontId="20" fillId="0" borderId="3" xfId="16" applyNumberFormat="1" applyFont="1" applyFill="1" applyBorder="1" applyProtection="1">
      <protection hidden="1"/>
    </xf>
    <xf numFmtId="2" fontId="20" fillId="0" borderId="5" xfId="16" applyNumberFormat="1" applyFont="1" applyFill="1" applyBorder="1" applyProtection="1">
      <protection hidden="1"/>
    </xf>
    <xf numFmtId="0" fontId="20" fillId="0" borderId="7" xfId="0" applyFont="1" applyBorder="1"/>
    <xf numFmtId="2" fontId="20" fillId="0" borderId="7" xfId="16" applyNumberFormat="1" applyFont="1" applyFill="1" applyBorder="1" applyProtection="1">
      <protection hidden="1"/>
    </xf>
    <xf numFmtId="0" fontId="20" fillId="0" borderId="5" xfId="0" applyFont="1" applyFill="1" applyBorder="1"/>
    <xf numFmtId="0" fontId="20" fillId="0" borderId="7" xfId="0" applyFont="1" applyFill="1" applyBorder="1"/>
    <xf numFmtId="0" fontId="22" fillId="0" borderId="5" xfId="0" applyFont="1" applyFill="1" applyBorder="1"/>
    <xf numFmtId="0" fontId="22" fillId="0" borderId="7" xfId="0" applyFont="1" applyFill="1" applyBorder="1"/>
    <xf numFmtId="0" fontId="18" fillId="0" borderId="3" xfId="20" applyFont="1" applyFill="1" applyBorder="1" applyAlignment="1" applyProtection="1">
      <alignment horizontal="left" vertical="center"/>
      <protection hidden="1"/>
    </xf>
    <xf numFmtId="0" fontId="20" fillId="0" borderId="5" xfId="16" applyFont="1" applyFill="1" applyBorder="1" applyAlignment="1" applyProtection="1">
      <alignment vertical="center"/>
      <protection hidden="1"/>
    </xf>
    <xf numFmtId="0" fontId="20" fillId="0" borderId="2" xfId="0" applyFont="1" applyBorder="1"/>
    <xf numFmtId="0" fontId="20" fillId="0" borderId="6" xfId="0" applyFont="1" applyBorder="1"/>
    <xf numFmtId="0" fontId="18" fillId="0" borderId="5" xfId="20" applyFont="1" applyFill="1" applyBorder="1" applyAlignment="1" applyProtection="1">
      <alignment vertical="center"/>
      <protection hidden="1"/>
    </xf>
    <xf numFmtId="168" fontId="18" fillId="0" borderId="0" xfId="11" applyFont="1" applyFill="1" applyBorder="1" applyAlignment="1"/>
    <xf numFmtId="190" fontId="20" fillId="0" borderId="0" xfId="11" applyNumberFormat="1" applyFont="1"/>
    <xf numFmtId="168" fontId="20" fillId="0" borderId="0" xfId="11" applyFont="1" applyFill="1" applyBorder="1" applyProtection="1">
      <protection hidden="1"/>
    </xf>
    <xf numFmtId="0" fontId="23" fillId="2" borderId="5" xfId="20" applyFont="1" applyFill="1" applyBorder="1" applyAlignment="1" applyProtection="1">
      <alignment horizontal="left" vertical="center"/>
      <protection hidden="1"/>
    </xf>
    <xf numFmtId="0" fontId="34" fillId="2" borderId="6" xfId="20" applyFont="1" applyFill="1" applyBorder="1" applyAlignment="1" applyProtection="1">
      <alignment horizontal="left" vertical="center"/>
      <protection hidden="1"/>
    </xf>
    <xf numFmtId="9" fontId="16" fillId="2" borderId="6" xfId="20" applyNumberFormat="1" applyFont="1" applyFill="1" applyBorder="1" applyAlignment="1" applyProtection="1">
      <alignment vertical="center"/>
      <protection hidden="1"/>
    </xf>
    <xf numFmtId="0" fontId="16" fillId="2" borderId="6" xfId="20" applyFont="1" applyFill="1" applyBorder="1" applyAlignment="1" applyProtection="1">
      <alignment vertical="center"/>
      <protection hidden="1"/>
    </xf>
    <xf numFmtId="0" fontId="16" fillId="2" borderId="7" xfId="20" applyFont="1" applyFill="1" applyBorder="1" applyAlignment="1" applyProtection="1">
      <alignment vertical="center"/>
      <protection hidden="1"/>
    </xf>
    <xf numFmtId="0" fontId="18" fillId="0" borderId="1" xfId="20" applyFont="1" applyFill="1" applyBorder="1" applyAlignment="1" applyProtection="1">
      <alignment horizontal="left" vertical="center"/>
      <protection hidden="1"/>
    </xf>
    <xf numFmtId="0" fontId="18" fillId="0" borderId="7" xfId="20" applyFont="1" applyFill="1" applyBorder="1" applyAlignment="1" applyProtection="1">
      <alignment horizontal="left" vertical="center"/>
      <protection hidden="1"/>
    </xf>
    <xf numFmtId="0" fontId="16" fillId="0" borderId="1" xfId="20" applyFont="1" applyFill="1" applyBorder="1" applyAlignment="1" applyProtection="1">
      <alignment horizontal="left" vertical="center"/>
      <protection hidden="1"/>
    </xf>
    <xf numFmtId="2" fontId="16" fillId="3" borderId="14" xfId="20" applyNumberFormat="1" applyFont="1" applyFill="1" applyBorder="1" applyAlignment="1" applyProtection="1">
      <alignment horizontal="right" vertical="center"/>
      <protection hidden="1"/>
    </xf>
    <xf numFmtId="2" fontId="20" fillId="0" borderId="10" xfId="0" applyNumberFormat="1" applyFont="1" applyFill="1" applyBorder="1" applyAlignment="1">
      <alignment vertical="center"/>
    </xf>
    <xf numFmtId="2" fontId="20" fillId="0" borderId="1" xfId="0" applyNumberFormat="1" applyFont="1" applyFill="1" applyBorder="1" applyAlignment="1">
      <alignment vertical="center"/>
    </xf>
    <xf numFmtId="2" fontId="16" fillId="3" borderId="1" xfId="20" applyNumberFormat="1" applyFont="1" applyFill="1" applyBorder="1" applyAlignment="1" applyProtection="1">
      <alignment horizontal="right" vertical="center"/>
      <protection hidden="1"/>
    </xf>
    <xf numFmtId="0" fontId="18" fillId="0" borderId="1" xfId="20" applyFont="1" applyFill="1" applyBorder="1" applyAlignment="1" applyProtection="1">
      <alignment vertical="center"/>
      <protection hidden="1"/>
    </xf>
    <xf numFmtId="2" fontId="18" fillId="0" borderId="1" xfId="20" applyNumberFormat="1" applyFont="1" applyFill="1" applyBorder="1" applyAlignment="1" applyProtection="1">
      <alignment vertical="center"/>
      <protection hidden="1"/>
    </xf>
    <xf numFmtId="0" fontId="20" fillId="0" borderId="1" xfId="0" applyFont="1" applyFill="1" applyBorder="1" applyAlignment="1">
      <alignment vertical="center"/>
    </xf>
    <xf numFmtId="0" fontId="28" fillId="0" borderId="1" xfId="20" applyFont="1" applyFill="1" applyBorder="1" applyAlignment="1" applyProtection="1">
      <alignment vertical="center"/>
      <protection hidden="1"/>
    </xf>
    <xf numFmtId="0" fontId="20" fillId="0" borderId="1" xfId="20" applyFont="1" applyFill="1" applyBorder="1" applyAlignment="1" applyProtection="1">
      <alignment vertical="center"/>
      <protection hidden="1"/>
    </xf>
    <xf numFmtId="10" fontId="16" fillId="0" borderId="1" xfId="23" applyNumberFormat="1" applyFont="1" applyFill="1" applyBorder="1" applyAlignment="1" applyProtection="1">
      <alignment vertical="center"/>
      <protection hidden="1"/>
    </xf>
    <xf numFmtId="10" fontId="18" fillId="0" borderId="1" xfId="23" applyNumberFormat="1" applyFont="1" applyFill="1" applyBorder="1" applyAlignment="1" applyProtection="1">
      <alignment vertical="center"/>
      <protection hidden="1"/>
    </xf>
    <xf numFmtId="0" fontId="19" fillId="3" borderId="1" xfId="20" applyFont="1" applyFill="1" applyBorder="1" applyAlignment="1" applyProtection="1">
      <protection hidden="1"/>
    </xf>
    <xf numFmtId="0" fontId="19" fillId="0" borderId="0" xfId="20" applyFont="1" applyFill="1" applyAlignment="1" applyProtection="1">
      <protection hidden="1"/>
    </xf>
    <xf numFmtId="0" fontId="42" fillId="0" borderId="0" xfId="0" applyFont="1" applyFill="1" applyAlignment="1">
      <alignment horizontal="left" indent="3"/>
    </xf>
    <xf numFmtId="0" fontId="42" fillId="0" borderId="0" xfId="0" applyFont="1" applyFill="1"/>
    <xf numFmtId="0" fontId="42" fillId="0" borderId="0" xfId="0" applyFont="1" applyFill="1" applyAlignment="1">
      <alignment horizontal="left" indent="1"/>
    </xf>
    <xf numFmtId="188" fontId="42" fillId="0" borderId="0" xfId="0" applyNumberFormat="1" applyFont="1" applyFill="1"/>
    <xf numFmtId="186" fontId="42" fillId="0" borderId="0" xfId="0" applyNumberFormat="1" applyFont="1" applyFill="1"/>
    <xf numFmtId="0" fontId="21" fillId="0" borderId="0" xfId="0" applyFont="1"/>
    <xf numFmtId="0" fontId="20" fillId="0" borderId="0" xfId="0" applyNumberFormat="1" applyFont="1" applyAlignment="1"/>
    <xf numFmtId="0" fontId="20" fillId="0" borderId="0" xfId="0" applyFont="1" applyFill="1" applyAlignment="1">
      <alignment horizontal="center"/>
    </xf>
    <xf numFmtId="168" fontId="20" fillId="0" borderId="0" xfId="11" applyFont="1"/>
    <xf numFmtId="1" fontId="20" fillId="0" borderId="0" xfId="0" applyNumberFormat="1" applyFont="1" applyFill="1"/>
    <xf numFmtId="2" fontId="21" fillId="0" borderId="0" xfId="0" applyNumberFormat="1" applyFont="1"/>
    <xf numFmtId="2" fontId="22" fillId="0" borderId="0" xfId="0" applyNumberFormat="1" applyFont="1"/>
    <xf numFmtId="0" fontId="22" fillId="0" borderId="0" xfId="0" applyNumberFormat="1" applyFont="1" applyAlignment="1"/>
    <xf numFmtId="0" fontId="22" fillId="0" borderId="0" xfId="0" applyFont="1" applyFill="1" applyAlignment="1">
      <alignment horizontal="center"/>
    </xf>
    <xf numFmtId="0" fontId="22" fillId="0" borderId="0" xfId="0" applyFont="1" applyFill="1"/>
    <xf numFmtId="168" fontId="22" fillId="0" borderId="0" xfId="11" applyFont="1"/>
    <xf numFmtId="2" fontId="22" fillId="0" borderId="0" xfId="0" applyNumberFormat="1" applyFont="1" applyFill="1"/>
    <xf numFmtId="2" fontId="20" fillId="2" borderId="4" xfId="0" applyNumberFormat="1" applyFont="1" applyFill="1" applyBorder="1" applyAlignment="1">
      <alignment vertical="top" wrapText="1"/>
    </xf>
    <xf numFmtId="0" fontId="20" fillId="2" borderId="4" xfId="0" applyNumberFormat="1" applyFont="1" applyFill="1" applyBorder="1" applyAlignment="1">
      <alignment vertical="top" wrapText="1"/>
    </xf>
    <xf numFmtId="0" fontId="20" fillId="2" borderId="4" xfId="0" applyFont="1" applyFill="1" applyBorder="1" applyAlignment="1">
      <alignment vertical="top" wrapText="1"/>
    </xf>
    <xf numFmtId="0" fontId="20" fillId="2" borderId="4" xfId="0" applyFont="1" applyFill="1" applyBorder="1" applyAlignment="1">
      <alignment horizontal="center" vertical="top" wrapText="1"/>
    </xf>
    <xf numFmtId="168" fontId="19" fillId="2" borderId="4" xfId="11" applyFont="1" applyFill="1" applyBorder="1" applyAlignment="1">
      <alignment horizontal="center" vertical="top" wrapText="1"/>
    </xf>
    <xf numFmtId="2" fontId="19" fillId="2" borderId="4" xfId="0" applyNumberFormat="1" applyFont="1" applyFill="1" applyBorder="1" applyAlignment="1">
      <alignment vertical="top" wrapText="1"/>
    </xf>
    <xf numFmtId="2" fontId="20" fillId="0" borderId="1" xfId="0" applyNumberFormat="1" applyFont="1" applyFill="1" applyBorder="1"/>
    <xf numFmtId="1" fontId="20" fillId="0" borderId="1" xfId="0" applyNumberFormat="1" applyFont="1" applyFill="1" applyBorder="1" applyAlignment="1">
      <alignment horizontal="center"/>
    </xf>
    <xf numFmtId="179" fontId="44" fillId="0" borderId="1" xfId="11" applyNumberFormat="1" applyFont="1" applyFill="1" applyBorder="1" applyAlignment="1">
      <alignment horizontal="left"/>
    </xf>
    <xf numFmtId="0" fontId="20" fillId="0" borderId="1" xfId="0" applyFont="1" applyFill="1" applyBorder="1"/>
    <xf numFmtId="1" fontId="19" fillId="0" borderId="1" xfId="0" applyNumberFormat="1" applyFont="1" applyFill="1" applyBorder="1" applyAlignment="1">
      <alignment horizontal="center"/>
    </xf>
    <xf numFmtId="168" fontId="19" fillId="0" borderId="1" xfId="11" applyFont="1" applyFill="1" applyBorder="1" applyAlignment="1">
      <alignment horizontal="center"/>
    </xf>
    <xf numFmtId="2" fontId="19" fillId="0" borderId="1" xfId="11" applyNumberFormat="1" applyFont="1" applyFill="1" applyBorder="1" applyAlignment="1">
      <alignment horizontal="center"/>
    </xf>
    <xf numFmtId="0" fontId="19" fillId="0" borderId="1" xfId="0" applyFont="1" applyFill="1" applyBorder="1"/>
    <xf numFmtId="0" fontId="20" fillId="0" borderId="1" xfId="0" applyFont="1" applyBorder="1"/>
    <xf numFmtId="1" fontId="20" fillId="0" borderId="0" xfId="24" applyNumberFormat="1" applyFont="1" applyAlignment="1">
      <alignment horizontal="center"/>
    </xf>
    <xf numFmtId="168" fontId="20" fillId="0" borderId="0" xfId="11" applyFont="1" applyAlignment="1">
      <alignment horizontal="left"/>
    </xf>
    <xf numFmtId="178" fontId="20" fillId="0" borderId="0" xfId="24" applyNumberFormat="1" applyFont="1" applyAlignment="1">
      <alignment horizontal="center"/>
    </xf>
    <xf numFmtId="3" fontId="20" fillId="0" borderId="0" xfId="24" applyNumberFormat="1" applyFont="1" applyAlignment="1">
      <alignment horizontal="right"/>
    </xf>
    <xf numFmtId="3" fontId="20" fillId="0" borderId="0" xfId="11" applyNumberFormat="1" applyFont="1" applyAlignment="1">
      <alignment horizontal="right"/>
    </xf>
    <xf numFmtId="168" fontId="20" fillId="0" borderId="0" xfId="11" applyFont="1" applyAlignment="1">
      <alignment horizontal="right"/>
    </xf>
    <xf numFmtId="168" fontId="20" fillId="0" borderId="0" xfId="11" applyFont="1" applyAlignment="1">
      <alignment horizontal="center"/>
    </xf>
    <xf numFmtId="0" fontId="20" fillId="0" borderId="0" xfId="24" applyFont="1" applyAlignment="1">
      <alignment horizontal="center"/>
    </xf>
    <xf numFmtId="0" fontId="20" fillId="0" borderId="0" xfId="24" applyFont="1"/>
    <xf numFmtId="0" fontId="29" fillId="0" borderId="0" xfId="17" applyFont="1" applyFill="1" applyAlignment="1"/>
    <xf numFmtId="178" fontId="29" fillId="0" borderId="0" xfId="17" applyNumberFormat="1" applyFont="1" applyFill="1" applyAlignment="1"/>
    <xf numFmtId="3" fontId="29" fillId="0" borderId="0" xfId="17" applyNumberFormat="1" applyFont="1" applyFill="1" applyAlignment="1">
      <alignment horizontal="right"/>
    </xf>
    <xf numFmtId="0" fontId="29" fillId="0" borderId="0" xfId="17" applyFont="1" applyFill="1" applyAlignment="1">
      <alignment horizontal="right"/>
    </xf>
    <xf numFmtId="2" fontId="29" fillId="0" borderId="0" xfId="17" applyNumberFormat="1" applyFont="1" applyFill="1" applyAlignment="1"/>
    <xf numFmtId="0" fontId="20" fillId="0" borderId="0" xfId="24" applyFont="1" applyFill="1" applyAlignment="1">
      <alignment horizontal="center"/>
    </xf>
    <xf numFmtId="2" fontId="20" fillId="0" borderId="0" xfId="24" applyNumberFormat="1" applyFont="1" applyAlignment="1">
      <alignment horizontal="center"/>
    </xf>
    <xf numFmtId="2" fontId="20" fillId="0" borderId="0" xfId="11" applyNumberFormat="1" applyFont="1" applyAlignment="1">
      <alignment horizontal="left"/>
    </xf>
    <xf numFmtId="175" fontId="20" fillId="2" borderId="1" xfId="0" applyNumberFormat="1" applyFont="1" applyFill="1" applyBorder="1" applyAlignment="1" applyProtection="1">
      <alignment horizontal="left" vertical="top" wrapText="1"/>
    </xf>
    <xf numFmtId="2" fontId="20" fillId="2" borderId="1" xfId="0" applyNumberFormat="1" applyFont="1" applyFill="1" applyBorder="1" applyAlignment="1">
      <alignment vertical="top" wrapText="1"/>
    </xf>
    <xf numFmtId="2" fontId="20" fillId="2" borderId="1" xfId="11" applyNumberFormat="1" applyFont="1" applyFill="1" applyBorder="1" applyAlignment="1" applyProtection="1">
      <alignment horizontal="left" vertical="top" wrapText="1"/>
    </xf>
    <xf numFmtId="2" fontId="20" fillId="2" borderId="1" xfId="0" applyNumberFormat="1" applyFont="1" applyFill="1" applyBorder="1" applyAlignment="1" applyProtection="1">
      <alignment horizontal="left" vertical="top" wrapText="1"/>
    </xf>
    <xf numFmtId="178" fontId="20" fillId="2" borderId="1" xfId="0" applyNumberFormat="1" applyFont="1" applyFill="1" applyBorder="1" applyAlignment="1" applyProtection="1">
      <alignment horizontal="center" vertical="top" wrapText="1"/>
    </xf>
    <xf numFmtId="3" fontId="19" fillId="2" borderId="1" xfId="0" applyNumberFormat="1" applyFont="1" applyFill="1" applyBorder="1" applyAlignment="1" applyProtection="1">
      <alignment horizontal="right" vertical="top" wrapText="1"/>
    </xf>
    <xf numFmtId="177" fontId="19" fillId="2" borderId="1" xfId="0" applyNumberFormat="1" applyFont="1" applyFill="1" applyBorder="1" applyAlignment="1" applyProtection="1">
      <alignment horizontal="right" vertical="top" wrapText="1"/>
    </xf>
    <xf numFmtId="177" fontId="20" fillId="2" borderId="1" xfId="0" applyNumberFormat="1" applyFont="1" applyFill="1" applyBorder="1" applyAlignment="1" applyProtection="1">
      <alignment horizontal="center" vertical="top" wrapText="1"/>
    </xf>
    <xf numFmtId="0" fontId="20" fillId="0" borderId="1" xfId="0" applyNumberFormat="1" applyFont="1" applyFill="1" applyBorder="1" applyAlignment="1">
      <alignment horizontal="center"/>
    </xf>
    <xf numFmtId="0" fontId="20" fillId="0" borderId="1" xfId="12" quotePrefix="1" applyNumberFormat="1" applyFont="1" applyFill="1" applyBorder="1" applyAlignment="1">
      <alignment horizontal="center"/>
    </xf>
    <xf numFmtId="0" fontId="20" fillId="0" borderId="1" xfId="0" applyNumberFormat="1" applyFont="1" applyFill="1" applyBorder="1" applyAlignment="1">
      <alignment horizontal="left"/>
    </xf>
    <xf numFmtId="178" fontId="20" fillId="0" borderId="1" xfId="0" applyNumberFormat="1" applyFont="1" applyFill="1" applyBorder="1" applyAlignment="1">
      <alignment horizontal="left"/>
    </xf>
    <xf numFmtId="3" fontId="19" fillId="0" borderId="1" xfId="0" applyNumberFormat="1" applyFont="1" applyFill="1" applyBorder="1" applyAlignment="1">
      <alignment horizontal="right"/>
    </xf>
    <xf numFmtId="3" fontId="19" fillId="0" borderId="1" xfId="0" applyNumberFormat="1" applyFont="1" applyFill="1" applyBorder="1" applyAlignment="1" applyProtection="1">
      <alignment horizontal="right"/>
    </xf>
    <xf numFmtId="177" fontId="19" fillId="0" borderId="7" xfId="0" applyNumberFormat="1" applyFont="1" applyFill="1" applyBorder="1" applyAlignment="1" applyProtection="1">
      <alignment horizontal="right"/>
    </xf>
    <xf numFmtId="177" fontId="20" fillId="0" borderId="1" xfId="0" applyNumberFormat="1" applyFont="1" applyFill="1" applyBorder="1" applyAlignment="1" applyProtection="1">
      <alignment horizontal="center"/>
    </xf>
    <xf numFmtId="176" fontId="20" fillId="0" borderId="1" xfId="0" applyNumberFormat="1" applyFont="1" applyFill="1" applyBorder="1" applyAlignment="1" applyProtection="1">
      <alignment horizontal="center"/>
    </xf>
    <xf numFmtId="0" fontId="16" fillId="0" borderId="0" xfId="24" applyFont="1"/>
    <xf numFmtId="0" fontId="16" fillId="0" borderId="0" xfId="0" applyFont="1"/>
    <xf numFmtId="180" fontId="20" fillId="0" borderId="1" xfId="0" applyNumberFormat="1" applyFont="1" applyBorder="1" applyAlignment="1">
      <alignment horizontal="center"/>
    </xf>
    <xf numFmtId="1" fontId="20" fillId="0" borderId="1" xfId="0" applyNumberFormat="1" applyFont="1" applyBorder="1" applyAlignment="1">
      <alignment horizontal="center"/>
    </xf>
    <xf numFmtId="2" fontId="20" fillId="0" borderId="1" xfId="0" applyNumberFormat="1" applyFont="1" applyBorder="1"/>
    <xf numFmtId="2" fontId="20" fillId="0" borderId="1" xfId="0" applyNumberFormat="1" applyFont="1" applyFill="1" applyBorder="1" applyAlignment="1">
      <alignment horizontal="left"/>
    </xf>
    <xf numFmtId="178" fontId="20" fillId="3" borderId="1" xfId="0" applyNumberFormat="1" applyFont="1" applyFill="1" applyBorder="1" applyAlignment="1">
      <alignment horizontal="center"/>
    </xf>
    <xf numFmtId="3" fontId="19" fillId="0" borderId="1" xfId="11" applyNumberFormat="1" applyFont="1" applyFill="1" applyBorder="1" applyAlignment="1">
      <alignment horizontal="right"/>
    </xf>
    <xf numFmtId="181" fontId="19" fillId="0" borderId="1" xfId="0" applyNumberFormat="1" applyFont="1" applyFill="1" applyBorder="1" applyAlignment="1" applyProtection="1">
      <alignment horizontal="right"/>
    </xf>
    <xf numFmtId="0" fontId="20" fillId="0" borderId="1" xfId="0" applyFont="1" applyFill="1" applyBorder="1" applyAlignment="1">
      <alignment horizontal="left"/>
    </xf>
    <xf numFmtId="180" fontId="20" fillId="0" borderId="4" xfId="0" applyNumberFormat="1" applyFont="1" applyBorder="1" applyAlignment="1">
      <alignment horizontal="center"/>
    </xf>
    <xf numFmtId="1" fontId="20" fillId="0" borderId="4" xfId="0" applyNumberFormat="1" applyFont="1" applyBorder="1" applyAlignment="1">
      <alignment horizontal="center"/>
    </xf>
    <xf numFmtId="0" fontId="20" fillId="0" borderId="4" xfId="0" applyFont="1" applyBorder="1"/>
    <xf numFmtId="0" fontId="20" fillId="0" borderId="4" xfId="0" applyFont="1" applyFill="1" applyBorder="1" applyAlignment="1">
      <alignment horizontal="left"/>
    </xf>
    <xf numFmtId="178" fontId="20" fillId="0" borderId="1" xfId="0" applyNumberFormat="1" applyFont="1" applyFill="1" applyBorder="1" applyAlignment="1">
      <alignment horizontal="center"/>
    </xf>
    <xf numFmtId="3" fontId="20" fillId="0" borderId="0" xfId="11" applyNumberFormat="1" applyFont="1" applyFill="1" applyAlignment="1">
      <alignment horizontal="right"/>
    </xf>
    <xf numFmtId="168" fontId="20" fillId="0" borderId="0" xfId="11" applyFont="1" applyFill="1" applyAlignment="1">
      <alignment horizontal="right"/>
    </xf>
    <xf numFmtId="0" fontId="19" fillId="3" borderId="1" xfId="24" applyFont="1" applyFill="1" applyBorder="1" applyAlignment="1">
      <alignment horizontal="left"/>
    </xf>
    <xf numFmtId="0" fontId="20" fillId="0" borderId="0" xfId="24" applyFont="1" applyFill="1"/>
    <xf numFmtId="168" fontId="20" fillId="0" borderId="0" xfId="11" applyFont="1" applyFill="1" applyAlignment="1">
      <alignment horizontal="center"/>
    </xf>
    <xf numFmtId="0" fontId="18" fillId="0" borderId="0" xfId="0" applyFont="1" applyFill="1" applyAlignment="1"/>
    <xf numFmtId="0" fontId="20" fillId="0" borderId="0" xfId="24" applyFont="1" applyFill="1" applyAlignment="1"/>
    <xf numFmtId="49" fontId="21" fillId="4" borderId="0" xfId="14" applyNumberFormat="1" applyFont="1" applyFill="1" applyBorder="1" applyAlignment="1" applyProtection="1">
      <alignment horizontal="left" vertical="top"/>
      <protection hidden="1"/>
    </xf>
    <xf numFmtId="0" fontId="21" fillId="0" borderId="0" xfId="17" applyFont="1" applyFill="1" applyBorder="1" applyAlignment="1"/>
    <xf numFmtId="0" fontId="20" fillId="0" borderId="0" xfId="17" applyFont="1" applyFill="1" applyAlignment="1"/>
    <xf numFmtId="49" fontId="44" fillId="0" borderId="0" xfId="14" applyNumberFormat="1" applyFont="1" applyFill="1" applyBorder="1" applyAlignment="1" applyProtection="1">
      <alignment horizontal="left" vertical="top"/>
      <protection hidden="1"/>
    </xf>
    <xf numFmtId="49" fontId="27" fillId="0" borderId="0" xfId="17" applyNumberFormat="1" applyFont="1" applyFill="1" applyBorder="1" applyAlignment="1"/>
    <xf numFmtId="2" fontId="29" fillId="0" borderId="0" xfId="17" applyNumberFormat="1" applyFont="1" applyFill="1" applyAlignment="1">
      <alignment horizontal="left"/>
    </xf>
    <xf numFmtId="0" fontId="27" fillId="0" borderId="0" xfId="17" applyFont="1" applyFill="1" applyAlignment="1"/>
    <xf numFmtId="0" fontId="29" fillId="0" borderId="0" xfId="17" applyFont="1" applyFill="1" applyAlignment="1">
      <alignment horizontal="left"/>
    </xf>
    <xf numFmtId="186" fontId="44" fillId="0" borderId="0" xfId="17" applyNumberFormat="1" applyFont="1" applyFill="1" applyAlignment="1">
      <alignment horizontal="left"/>
    </xf>
    <xf numFmtId="186" fontId="44" fillId="0" borderId="2" xfId="17" applyNumberFormat="1" applyFont="1" applyFill="1" applyBorder="1" applyAlignment="1">
      <alignment horizontal="left"/>
    </xf>
    <xf numFmtId="186" fontId="45" fillId="0" borderId="0" xfId="17" applyNumberFormat="1" applyFont="1" applyFill="1" applyBorder="1" applyAlignment="1">
      <alignment horizontal="left"/>
    </xf>
    <xf numFmtId="0" fontId="27" fillId="2" borderId="5" xfId="17" applyNumberFormat="1" applyFont="1" applyFill="1" applyBorder="1" applyAlignment="1"/>
    <xf numFmtId="0" fontId="27" fillId="2" borderId="6" xfId="17" applyNumberFormat="1" applyFont="1" applyFill="1" applyBorder="1" applyAlignment="1"/>
    <xf numFmtId="0" fontId="27" fillId="2" borderId="6" xfId="17" applyNumberFormat="1" applyFont="1" applyFill="1" applyBorder="1" applyAlignment="1">
      <alignment horizontal="left"/>
    </xf>
    <xf numFmtId="0" fontId="29" fillId="2" borderId="7" xfId="17" applyNumberFormat="1" applyFont="1" applyFill="1" applyBorder="1" applyAlignment="1">
      <alignment horizontal="left"/>
    </xf>
    <xf numFmtId="185" fontId="20" fillId="0" borderId="0" xfId="17" applyNumberFormat="1" applyFont="1" applyFill="1" applyAlignment="1">
      <alignment horizontal="right"/>
    </xf>
    <xf numFmtId="49" fontId="17" fillId="0" borderId="0" xfId="14" applyNumberFormat="1" applyFont="1" applyFill="1" applyBorder="1" applyAlignment="1" applyProtection="1">
      <alignment horizontal="left" vertical="top"/>
      <protection hidden="1"/>
    </xf>
    <xf numFmtId="0" fontId="17" fillId="0" borderId="0" xfId="14" applyFont="1" applyFill="1" applyBorder="1" applyAlignment="1" applyProtection="1">
      <alignment horizontal="center" vertical="justify"/>
      <protection hidden="1"/>
    </xf>
    <xf numFmtId="0" fontId="17" fillId="0" borderId="0" xfId="14" applyFont="1" applyFill="1" applyBorder="1" applyAlignment="1" applyProtection="1">
      <alignment horizontal="left" vertical="justify"/>
      <protection hidden="1"/>
    </xf>
    <xf numFmtId="0" fontId="20" fillId="0" borderId="0" xfId="17" applyFont="1" applyFill="1" applyAlignment="1">
      <alignment horizontal="left"/>
    </xf>
    <xf numFmtId="49" fontId="18" fillId="0" borderId="0" xfId="14" applyNumberFormat="1" applyFont="1" applyFill="1" applyBorder="1" applyAlignment="1" applyProtection="1">
      <alignment horizontal="left" vertical="top"/>
      <protection hidden="1"/>
    </xf>
    <xf numFmtId="0" fontId="18" fillId="0" borderId="0" xfId="14" applyNumberFormat="1" applyFont="1" applyFill="1" applyBorder="1" applyAlignment="1" applyProtection="1">
      <alignment horizontal="left" vertical="top"/>
      <protection hidden="1"/>
    </xf>
    <xf numFmtId="179" fontId="17" fillId="0" borderId="0" xfId="14" applyNumberFormat="1" applyFont="1" applyFill="1" applyBorder="1" applyAlignment="1" applyProtection="1">
      <alignment horizontal="left" vertical="top"/>
      <protection hidden="1"/>
    </xf>
    <xf numFmtId="179" fontId="20" fillId="0" borderId="0" xfId="14" applyNumberFormat="1" applyFont="1" applyFill="1" applyBorder="1" applyAlignment="1" applyProtection="1">
      <alignment horizontal="left" vertical="top"/>
      <protection hidden="1"/>
    </xf>
    <xf numFmtId="49" fontId="44" fillId="0" borderId="0" xfId="14" applyNumberFormat="1" applyFont="1" applyFill="1" applyBorder="1" applyAlignment="1" applyProtection="1">
      <alignment horizontal="left"/>
      <protection hidden="1"/>
    </xf>
    <xf numFmtId="185" fontId="20" fillId="0" borderId="0" xfId="17" applyNumberFormat="1" applyFont="1" applyFill="1" applyAlignment="1">
      <alignment horizontal="left"/>
    </xf>
    <xf numFmtId="49" fontId="16" fillId="0" borderId="0" xfId="14" applyNumberFormat="1" applyFont="1" applyFill="1" applyBorder="1" applyAlignment="1" applyProtection="1">
      <alignment horizontal="left"/>
      <protection hidden="1"/>
    </xf>
    <xf numFmtId="181" fontId="18" fillId="0" borderId="0" xfId="23" applyNumberFormat="1" applyFont="1" applyFill="1" applyBorder="1" applyAlignment="1" applyProtection="1">
      <alignment horizontal="center"/>
      <protection hidden="1"/>
    </xf>
    <xf numFmtId="10" fontId="20" fillId="3" borderId="1" xfId="23" applyNumberFormat="1" applyFont="1" applyFill="1" applyBorder="1" applyAlignment="1">
      <alignment horizontal="center"/>
    </xf>
    <xf numFmtId="1" fontId="20" fillId="0" borderId="0" xfId="3" applyNumberFormat="1" applyFont="1" applyFill="1" applyAlignment="1">
      <alignment horizontal="center"/>
    </xf>
    <xf numFmtId="165" fontId="20" fillId="0" borderId="0" xfId="3" applyFont="1" applyFill="1" applyAlignment="1"/>
    <xf numFmtId="185" fontId="20" fillId="0" borderId="0" xfId="8" applyNumberFormat="1" applyFont="1" applyFill="1" applyAlignment="1">
      <alignment horizontal="left"/>
    </xf>
    <xf numFmtId="165" fontId="20" fillId="0" borderId="0" xfId="17" applyNumberFormat="1" applyFont="1" applyFill="1" applyAlignment="1"/>
    <xf numFmtId="10" fontId="20" fillId="0" borderId="0" xfId="17" applyNumberFormat="1" applyFont="1" applyFill="1" applyAlignment="1">
      <alignment horizontal="center"/>
    </xf>
    <xf numFmtId="165" fontId="20" fillId="0" borderId="2" xfId="3" applyFont="1" applyFill="1" applyBorder="1" applyAlignment="1"/>
    <xf numFmtId="185" fontId="20" fillId="0" borderId="2" xfId="8" applyNumberFormat="1" applyFont="1" applyFill="1" applyBorder="1" applyAlignment="1">
      <alignment horizontal="left"/>
    </xf>
    <xf numFmtId="0" fontId="20" fillId="2" borderId="1" xfId="17" applyFont="1" applyFill="1" applyBorder="1" applyAlignment="1"/>
    <xf numFmtId="49" fontId="18" fillId="0" borderId="0" xfId="14" applyNumberFormat="1" applyFont="1" applyFill="1" applyBorder="1" applyAlignment="1" applyProtection="1">
      <alignment horizontal="left"/>
      <protection hidden="1"/>
    </xf>
    <xf numFmtId="10" fontId="18" fillId="0" borderId="0" xfId="23" applyNumberFormat="1" applyFont="1" applyFill="1" applyBorder="1" applyAlignment="1" applyProtection="1">
      <alignment horizontal="center"/>
      <protection hidden="1"/>
    </xf>
    <xf numFmtId="165" fontId="18" fillId="0" borderId="0" xfId="3" applyFont="1" applyFill="1" applyBorder="1" applyAlignment="1" applyProtection="1">
      <alignment horizontal="left"/>
      <protection hidden="1"/>
    </xf>
    <xf numFmtId="0" fontId="22" fillId="0" borderId="0" xfId="14" applyNumberFormat="1" applyFont="1" applyFill="1" applyBorder="1" applyAlignment="1" applyProtection="1">
      <alignment horizontal="left"/>
      <protection hidden="1"/>
    </xf>
    <xf numFmtId="186" fontId="18" fillId="0" borderId="0" xfId="3" applyNumberFormat="1" applyFont="1" applyFill="1" applyBorder="1" applyAlignment="1" applyProtection="1">
      <alignment horizontal="left"/>
      <protection hidden="1"/>
    </xf>
    <xf numFmtId="186" fontId="20" fillId="0" borderId="1" xfId="17" applyNumberFormat="1" applyFont="1" applyFill="1" applyBorder="1" applyAlignment="1"/>
    <xf numFmtId="185" fontId="18" fillId="0" borderId="0" xfId="14" applyNumberFormat="1" applyFont="1" applyFill="1" applyBorder="1" applyAlignment="1" applyProtection="1">
      <alignment horizontal="left"/>
      <protection hidden="1"/>
    </xf>
    <xf numFmtId="0" fontId="17" fillId="0" borderId="0" xfId="14" applyNumberFormat="1" applyFont="1" applyFill="1" applyBorder="1" applyAlignment="1" applyProtection="1">
      <alignment horizontal="left" vertical="top"/>
      <protection hidden="1"/>
    </xf>
    <xf numFmtId="0" fontId="18" fillId="0" borderId="0" xfId="14" applyNumberFormat="1" applyFont="1" applyFill="1" applyBorder="1" applyAlignment="1" applyProtection="1">
      <alignment horizontal="left"/>
      <protection hidden="1"/>
    </xf>
    <xf numFmtId="0" fontId="17" fillId="0" borderId="0" xfId="14" applyFont="1" applyFill="1" applyBorder="1" applyAlignment="1" applyProtection="1">
      <alignment horizontal="left"/>
      <protection hidden="1"/>
    </xf>
    <xf numFmtId="1" fontId="20" fillId="3" borderId="1" xfId="3" applyNumberFormat="1" applyFont="1" applyFill="1" applyBorder="1" applyAlignment="1">
      <alignment horizontal="center"/>
    </xf>
    <xf numFmtId="165" fontId="20" fillId="3" borderId="1" xfId="3" applyFont="1" applyFill="1" applyBorder="1" applyAlignment="1"/>
    <xf numFmtId="181" fontId="18" fillId="0" borderId="2" xfId="23" applyNumberFormat="1" applyFont="1" applyFill="1" applyBorder="1" applyAlignment="1" applyProtection="1">
      <alignment horizontal="center"/>
      <protection hidden="1"/>
    </xf>
    <xf numFmtId="49" fontId="18" fillId="0" borderId="0" xfId="17" applyNumberFormat="1" applyFont="1" applyFill="1" applyBorder="1" applyAlignment="1"/>
    <xf numFmtId="186" fontId="18" fillId="0" borderId="0" xfId="14" applyNumberFormat="1" applyFont="1" applyFill="1" applyBorder="1" applyAlignment="1" applyProtection="1">
      <alignment horizontal="left"/>
      <protection hidden="1"/>
    </xf>
    <xf numFmtId="49" fontId="20" fillId="0" borderId="0" xfId="17" applyNumberFormat="1" applyFont="1" applyFill="1" applyBorder="1" applyAlignment="1"/>
    <xf numFmtId="10" fontId="20" fillId="0" borderId="0" xfId="17" applyNumberFormat="1" applyFont="1" applyFill="1" applyAlignment="1">
      <alignment horizontal="left"/>
    </xf>
    <xf numFmtId="49" fontId="27" fillId="2" borderId="5" xfId="17" applyNumberFormat="1" applyFont="1" applyFill="1" applyBorder="1" applyAlignment="1"/>
    <xf numFmtId="0" fontId="18" fillId="2" borderId="6" xfId="17" applyFont="1" applyFill="1" applyBorder="1" applyAlignment="1"/>
    <xf numFmtId="0" fontId="18" fillId="2" borderId="6" xfId="17" applyFont="1" applyFill="1" applyBorder="1" applyAlignment="1">
      <alignment horizontal="left"/>
    </xf>
    <xf numFmtId="0" fontId="17" fillId="2" borderId="7" xfId="17" applyFont="1" applyFill="1" applyBorder="1" applyAlignment="1">
      <alignment horizontal="left"/>
    </xf>
    <xf numFmtId="0" fontId="20" fillId="0" borderId="0" xfId="17" applyFont="1" applyFill="1" applyBorder="1" applyAlignment="1" applyProtection="1">
      <alignment horizontal="center"/>
      <protection hidden="1"/>
    </xf>
    <xf numFmtId="0" fontId="20" fillId="0" borderId="0" xfId="17" applyFont="1" applyFill="1" applyBorder="1" applyAlignment="1" applyProtection="1">
      <protection hidden="1"/>
    </xf>
    <xf numFmtId="0" fontId="17" fillId="2" borderId="6" xfId="17" applyFont="1" applyFill="1" applyBorder="1" applyAlignment="1"/>
    <xf numFmtId="0" fontId="17" fillId="0" borderId="0" xfId="17" applyFont="1" applyFill="1" applyAlignment="1"/>
    <xf numFmtId="0" fontId="16" fillId="0" borderId="0" xfId="17" applyFont="1" applyFill="1" applyBorder="1" applyAlignment="1" applyProtection="1">
      <protection hidden="1"/>
    </xf>
    <xf numFmtId="0" fontId="20" fillId="0" borderId="0" xfId="17" applyFont="1" applyFill="1" applyBorder="1" applyAlignment="1" applyProtection="1">
      <alignment horizontal="left"/>
      <protection hidden="1"/>
    </xf>
    <xf numFmtId="0" fontId="46" fillId="0" borderId="0" xfId="20" applyFont="1" applyFill="1" applyProtection="1">
      <protection hidden="1"/>
    </xf>
    <xf numFmtId="0" fontId="46" fillId="0" borderId="0" xfId="20" applyFont="1" applyFill="1" applyBorder="1" applyProtection="1">
      <protection hidden="1"/>
    </xf>
    <xf numFmtId="2" fontId="46" fillId="0" borderId="0" xfId="16" applyNumberFormat="1" applyFont="1" applyFill="1" applyBorder="1" applyProtection="1">
      <protection hidden="1"/>
    </xf>
    <xf numFmtId="0" fontId="46" fillId="0" borderId="0" xfId="20" applyFont="1" applyFill="1" applyBorder="1" applyAlignment="1" applyProtection="1">
      <alignment vertical="center"/>
      <protection hidden="1"/>
    </xf>
    <xf numFmtId="0" fontId="0" fillId="0" borderId="0" xfId="0" applyAlignment="1"/>
    <xf numFmtId="2" fontId="47" fillId="0" borderId="0" xfId="20" applyNumberFormat="1" applyFont="1" applyFill="1" applyBorder="1" applyAlignment="1" applyProtection="1">
      <alignment vertical="center"/>
      <protection hidden="1"/>
    </xf>
    <xf numFmtId="0" fontId="46" fillId="0" borderId="0" xfId="0" applyFont="1" applyFill="1" applyBorder="1" applyAlignment="1">
      <alignment vertical="center"/>
    </xf>
    <xf numFmtId="182" fontId="48" fillId="0" borderId="0" xfId="20" applyNumberFormat="1" applyFont="1" applyFill="1" applyBorder="1" applyAlignment="1" applyProtection="1">
      <alignment vertical="center"/>
      <protection hidden="1"/>
    </xf>
    <xf numFmtId="182" fontId="46" fillId="0" borderId="0" xfId="20" applyNumberFormat="1" applyFont="1" applyFill="1" applyBorder="1" applyAlignment="1" applyProtection="1">
      <alignment vertical="center"/>
      <protection hidden="1"/>
    </xf>
    <xf numFmtId="0" fontId="49" fillId="0" borderId="0" xfId="20" applyFont="1" applyFill="1" applyBorder="1" applyAlignment="1" applyProtection="1">
      <alignment vertical="center" wrapText="1"/>
      <protection hidden="1"/>
    </xf>
    <xf numFmtId="0" fontId="46" fillId="0" borderId="0" xfId="0" applyFont="1" applyFill="1" applyBorder="1" applyAlignment="1">
      <alignment vertical="center" wrapText="1"/>
    </xf>
    <xf numFmtId="182" fontId="48" fillId="0" borderId="0" xfId="20" applyNumberFormat="1" applyFont="1" applyFill="1" applyBorder="1" applyAlignment="1" applyProtection="1">
      <alignment vertical="center" wrapText="1"/>
      <protection hidden="1"/>
    </xf>
    <xf numFmtId="182" fontId="46" fillId="0" borderId="0" xfId="20" applyNumberFormat="1" applyFont="1" applyFill="1" applyBorder="1" applyAlignment="1" applyProtection="1">
      <alignment vertical="center" wrapText="1"/>
      <protection hidden="1"/>
    </xf>
    <xf numFmtId="0" fontId="0" fillId="0" borderId="0" xfId="0" applyAlignment="1">
      <alignment wrapText="1"/>
    </xf>
    <xf numFmtId="10" fontId="48" fillId="0" borderId="0" xfId="23" applyNumberFormat="1" applyFont="1" applyFill="1" applyBorder="1" applyAlignment="1" applyProtection="1">
      <alignment vertical="center" wrapText="1"/>
      <protection hidden="1"/>
    </xf>
    <xf numFmtId="10" fontId="48" fillId="0" borderId="0" xfId="23" applyNumberFormat="1" applyFont="1" applyFill="1" applyBorder="1" applyAlignment="1" applyProtection="1">
      <alignment vertical="center"/>
      <protection hidden="1"/>
    </xf>
    <xf numFmtId="0" fontId="22" fillId="9" borderId="16" xfId="0" applyFont="1" applyFill="1" applyBorder="1" applyAlignment="1">
      <alignment vertical="top" wrapText="1"/>
    </xf>
    <xf numFmtId="183" fontId="48" fillId="0" borderId="0" xfId="23" applyNumberFormat="1" applyFont="1" applyFill="1" applyBorder="1" applyAlignment="1" applyProtection="1">
      <alignment vertical="center"/>
      <protection hidden="1"/>
    </xf>
    <xf numFmtId="183" fontId="48" fillId="0" borderId="0" xfId="20" applyNumberFormat="1" applyFont="1" applyFill="1" applyBorder="1" applyAlignment="1" applyProtection="1">
      <alignment vertical="center"/>
      <protection hidden="1"/>
    </xf>
    <xf numFmtId="183" fontId="46" fillId="0" borderId="0" xfId="23" applyNumberFormat="1" applyFont="1" applyFill="1" applyBorder="1" applyAlignment="1" applyProtection="1">
      <alignment vertical="center"/>
      <protection hidden="1"/>
    </xf>
    <xf numFmtId="0" fontId="20" fillId="0" borderId="18" xfId="0" applyFont="1" applyBorder="1" applyAlignment="1">
      <alignment vertical="top" wrapText="1"/>
    </xf>
    <xf numFmtId="183" fontId="46" fillId="0" borderId="0" xfId="20" applyNumberFormat="1" applyFont="1" applyFill="1" applyBorder="1" applyAlignment="1" applyProtection="1">
      <alignment horizontal="right" vertical="center"/>
      <protection hidden="1"/>
    </xf>
    <xf numFmtId="10" fontId="47" fillId="0" borderId="0" xfId="23" applyNumberFormat="1" applyFont="1" applyFill="1" applyBorder="1" applyAlignment="1" applyProtection="1">
      <alignment vertical="center"/>
      <protection hidden="1"/>
    </xf>
    <xf numFmtId="183" fontId="47" fillId="0" borderId="0" xfId="0" applyNumberFormat="1" applyFont="1" applyFill="1" applyBorder="1"/>
    <xf numFmtId="0" fontId="46" fillId="0" borderId="0" xfId="20" applyFont="1" applyFill="1" applyBorder="1" applyAlignment="1" applyProtection="1">
      <alignment horizontal="right" vertical="center"/>
      <protection hidden="1"/>
    </xf>
    <xf numFmtId="0" fontId="50" fillId="0" borderId="0" xfId="20" applyFont="1" applyFill="1" applyBorder="1" applyAlignment="1" applyProtection="1">
      <alignment vertical="center"/>
      <protection hidden="1"/>
    </xf>
    <xf numFmtId="183" fontId="47" fillId="0" borderId="0" xfId="20" applyNumberFormat="1" applyFont="1" applyFill="1" applyBorder="1" applyAlignment="1" applyProtection="1">
      <alignment vertical="center"/>
      <protection hidden="1"/>
    </xf>
    <xf numFmtId="10" fontId="47" fillId="0" borderId="0" xfId="0" applyNumberFormat="1" applyFont="1" applyFill="1" applyBorder="1" applyAlignment="1"/>
    <xf numFmtId="0" fontId="52" fillId="0" borderId="0" xfId="20" applyFont="1" applyFill="1" applyBorder="1" applyAlignment="1" applyProtection="1">
      <protection hidden="1"/>
    </xf>
    <xf numFmtId="0" fontId="52" fillId="0" borderId="0" xfId="20" applyFont="1" applyFill="1" applyBorder="1" applyProtection="1">
      <protection hidden="1"/>
    </xf>
    <xf numFmtId="0" fontId="46" fillId="0" borderId="0" xfId="20" applyFont="1" applyFill="1" applyBorder="1" applyAlignment="1" applyProtection="1">
      <protection hidden="1"/>
    </xf>
    <xf numFmtId="0" fontId="46" fillId="0" borderId="0" xfId="0" applyFont="1" applyFill="1" applyAlignment="1"/>
    <xf numFmtId="0" fontId="46" fillId="0" borderId="0" xfId="20" applyFont="1" applyFill="1" applyAlignment="1" applyProtection="1">
      <protection hidden="1"/>
    </xf>
    <xf numFmtId="0" fontId="46" fillId="0" borderId="0" xfId="0" applyFont="1" applyFill="1"/>
    <xf numFmtId="0" fontId="46" fillId="0" borderId="0" xfId="0" applyFont="1" applyFill="1" applyBorder="1"/>
    <xf numFmtId="0" fontId="20" fillId="0" borderId="0" xfId="0" applyFont="1" applyAlignment="1">
      <alignment vertical="top" wrapText="1"/>
    </xf>
    <xf numFmtId="0" fontId="20" fillId="0" borderId="0" xfId="0" applyFont="1" applyBorder="1" applyAlignment="1">
      <alignment vertical="top" wrapText="1"/>
    </xf>
    <xf numFmtId="0" fontId="6" fillId="0" borderId="0" xfId="0" applyFont="1" applyAlignment="1">
      <alignment vertical="top" wrapText="1"/>
    </xf>
    <xf numFmtId="0" fontId="0" fillId="0" borderId="0" xfId="0" applyAlignment="1">
      <alignment vertical="top" wrapText="1"/>
    </xf>
    <xf numFmtId="0" fontId="20" fillId="0" borderId="23" xfId="0" applyFont="1" applyBorder="1" applyAlignment="1">
      <alignment vertical="top" wrapText="1"/>
    </xf>
    <xf numFmtId="0" fontId="20" fillId="0" borderId="16" xfId="0" applyFont="1" applyBorder="1" applyAlignment="1">
      <alignment vertical="top" wrapText="1"/>
    </xf>
    <xf numFmtId="0" fontId="20" fillId="0" borderId="21" xfId="0" applyFont="1" applyBorder="1" applyAlignment="1">
      <alignment vertical="top" wrapText="1"/>
    </xf>
    <xf numFmtId="0" fontId="0" fillId="0" borderId="0" xfId="0" applyBorder="1" applyAlignment="1">
      <alignment horizontal="left"/>
    </xf>
    <xf numFmtId="0" fontId="0" fillId="0" borderId="27" xfId="0" applyBorder="1" applyAlignment="1">
      <alignment horizontal="left"/>
    </xf>
    <xf numFmtId="0" fontId="20" fillId="0" borderId="20" xfId="0" applyFont="1" applyBorder="1" applyAlignment="1">
      <alignment horizontal="left" vertical="top"/>
    </xf>
    <xf numFmtId="2" fontId="18" fillId="0" borderId="0" xfId="17" applyNumberFormat="1" applyFont="1" applyFill="1" applyBorder="1" applyAlignment="1"/>
    <xf numFmtId="2" fontId="17" fillId="0" borderId="0" xfId="17" applyNumberFormat="1" applyFont="1" applyFill="1" applyBorder="1" applyAlignment="1"/>
    <xf numFmtId="0" fontId="17" fillId="0" borderId="0" xfId="17" applyNumberFormat="1" applyFont="1" applyFill="1" applyBorder="1" applyAlignment="1"/>
    <xf numFmtId="0" fontId="53" fillId="0" borderId="1" xfId="0" applyFont="1" applyBorder="1" applyAlignment="1">
      <alignment horizontal="center"/>
    </xf>
    <xf numFmtId="0" fontId="53" fillId="0" borderId="1" xfId="0" applyFont="1" applyBorder="1"/>
    <xf numFmtId="0" fontId="54" fillId="10" borderId="1" xfId="0" applyFont="1" applyFill="1" applyBorder="1" applyAlignment="1">
      <alignment vertical="center" wrapText="1"/>
    </xf>
    <xf numFmtId="191" fontId="53" fillId="10" borderId="1" xfId="0" applyNumberFormat="1" applyFont="1" applyFill="1" applyBorder="1" applyAlignment="1">
      <alignment horizontal="left"/>
    </xf>
    <xf numFmtId="192" fontId="20" fillId="0" borderId="1" xfId="0" applyNumberFormat="1" applyFont="1" applyFill="1" applyBorder="1" applyAlignment="1">
      <alignment horizontal="left"/>
    </xf>
    <xf numFmtId="191" fontId="53" fillId="10" borderId="5" xfId="0" applyNumberFormat="1" applyFont="1" applyFill="1" applyBorder="1" applyAlignment="1">
      <alignment horizontal="left"/>
    </xf>
    <xf numFmtId="0" fontId="54" fillId="0" borderId="29" xfId="0" applyFont="1" applyBorder="1" applyAlignment="1">
      <alignment horizontal="left" vertical="top"/>
    </xf>
    <xf numFmtId="0" fontId="54" fillId="0" borderId="30" xfId="0" applyFont="1" applyBorder="1" applyAlignment="1">
      <alignment horizontal="left" vertical="top"/>
    </xf>
    <xf numFmtId="0" fontId="54" fillId="0" borderId="1" xfId="0" applyFont="1" applyBorder="1" applyAlignment="1">
      <alignment horizontal="left" vertical="top"/>
    </xf>
    <xf numFmtId="0" fontId="55" fillId="3" borderId="0" xfId="0" applyFont="1" applyFill="1" applyAlignment="1">
      <alignment horizontal="center"/>
    </xf>
    <xf numFmtId="0" fontId="55" fillId="0" borderId="0" xfId="0" applyFont="1" applyAlignment="1">
      <alignment horizontal="center"/>
    </xf>
    <xf numFmtId="0" fontId="43" fillId="0" borderId="0" xfId="0" applyFont="1"/>
    <xf numFmtId="2" fontId="20" fillId="0" borderId="1" xfId="0" applyNumberFormat="1" applyFont="1" applyBorder="1" applyAlignment="1" applyProtection="1">
      <alignment horizontal="right"/>
    </xf>
    <xf numFmtId="168" fontId="21" fillId="0" borderId="0" xfId="11" applyFont="1" applyFill="1" applyBorder="1" applyAlignment="1"/>
    <xf numFmtId="168" fontId="20" fillId="0" borderId="0" xfId="11" applyFont="1" applyFill="1" applyAlignment="1"/>
    <xf numFmtId="168" fontId="29" fillId="0" borderId="0" xfId="11" applyFont="1" applyFill="1" applyBorder="1" applyAlignment="1"/>
    <xf numFmtId="168" fontId="29" fillId="0" borderId="0" xfId="11" applyFont="1" applyFill="1" applyAlignment="1">
      <alignment horizontal="left"/>
    </xf>
    <xf numFmtId="168" fontId="29" fillId="0" borderId="0" xfId="11" applyFont="1" applyFill="1" applyBorder="1" applyAlignment="1">
      <alignment horizontal="left"/>
    </xf>
    <xf numFmtId="1" fontId="35" fillId="0" borderId="0" xfId="11" applyNumberFormat="1" applyFont="1" applyFill="1" applyBorder="1" applyAlignment="1">
      <alignment horizontal="left"/>
    </xf>
    <xf numFmtId="168" fontId="29" fillId="0" borderId="0" xfId="11" applyFont="1" applyFill="1" applyAlignment="1"/>
    <xf numFmtId="49" fontId="20" fillId="0" borderId="0" xfId="14" applyNumberFormat="1" applyFont="1" applyFill="1" applyBorder="1" applyAlignment="1" applyProtection="1">
      <alignment horizontal="left" vertical="top"/>
      <protection hidden="1"/>
    </xf>
    <xf numFmtId="189" fontId="56" fillId="0" borderId="0" xfId="11" applyNumberFormat="1" applyFont="1" applyFill="1" applyBorder="1" applyAlignment="1">
      <alignment horizontal="center" vertical="center"/>
    </xf>
    <xf numFmtId="0" fontId="56" fillId="0" borderId="0" xfId="17" applyFont="1" applyFill="1" applyAlignment="1"/>
    <xf numFmtId="49" fontId="24" fillId="2" borderId="4" xfId="17" applyNumberFormat="1" applyFont="1" applyFill="1" applyBorder="1" applyAlignment="1"/>
    <xf numFmtId="168" fontId="24" fillId="2" borderId="4" xfId="11" applyFont="1" applyFill="1" applyBorder="1" applyAlignment="1"/>
    <xf numFmtId="168" fontId="24" fillId="2" borderId="4" xfId="11" applyFont="1" applyFill="1" applyBorder="1" applyAlignment="1">
      <alignment horizontal="left"/>
    </xf>
    <xf numFmtId="0" fontId="24" fillId="2" borderId="4" xfId="17" applyFont="1" applyFill="1" applyBorder="1" applyAlignment="1"/>
    <xf numFmtId="0" fontId="24" fillId="2" borderId="10" xfId="17" applyNumberFormat="1" applyFont="1" applyFill="1" applyBorder="1" applyAlignment="1"/>
    <xf numFmtId="168" fontId="24" fillId="2" borderId="10" xfId="11" applyFont="1" applyFill="1" applyBorder="1" applyAlignment="1"/>
    <xf numFmtId="168" fontId="24" fillId="2" borderId="10" xfId="11" applyFont="1" applyFill="1" applyBorder="1" applyAlignment="1">
      <alignment horizontal="left"/>
    </xf>
    <xf numFmtId="0" fontId="24" fillId="2" borderId="10" xfId="17" applyFont="1" applyFill="1" applyBorder="1" applyAlignment="1"/>
    <xf numFmtId="0" fontId="20" fillId="7" borderId="1" xfId="26" applyFont="1" applyFill="1" applyBorder="1" applyAlignment="1" applyProtection="1">
      <protection hidden="1"/>
    </xf>
    <xf numFmtId="168" fontId="20" fillId="0" borderId="1" xfId="11" applyNumberFormat="1" applyFont="1" applyFill="1" applyBorder="1" applyAlignment="1"/>
    <xf numFmtId="179" fontId="20" fillId="0" borderId="1" xfId="11" applyNumberFormat="1" applyFont="1" applyFill="1" applyBorder="1" applyAlignment="1"/>
    <xf numFmtId="189" fontId="20" fillId="0" borderId="1" xfId="17" applyNumberFormat="1" applyFont="1" applyFill="1" applyBorder="1" applyAlignment="1">
      <alignment horizontal="right"/>
    </xf>
    <xf numFmtId="189" fontId="20" fillId="0" borderId="1" xfId="11" applyNumberFormat="1" applyFont="1" applyFill="1" applyBorder="1" applyAlignment="1"/>
    <xf numFmtId="169" fontId="20" fillId="0" borderId="0" xfId="17" applyNumberFormat="1" applyFont="1" applyFill="1" applyAlignment="1"/>
    <xf numFmtId="167" fontId="20" fillId="0" borderId="0" xfId="25" applyFont="1" applyFill="1" applyAlignment="1"/>
    <xf numFmtId="44" fontId="20" fillId="0" borderId="0" xfId="17" applyNumberFormat="1" applyFont="1" applyFill="1" applyAlignment="1"/>
    <xf numFmtId="168" fontId="22" fillId="0" borderId="1" xfId="11" applyNumberFormat="1" applyFont="1" applyFill="1" applyBorder="1" applyAlignment="1"/>
    <xf numFmtId="168" fontId="22" fillId="0" borderId="1" xfId="11" applyFont="1" applyFill="1" applyBorder="1" applyAlignment="1">
      <alignment horizontal="right"/>
    </xf>
    <xf numFmtId="169" fontId="22" fillId="0" borderId="1" xfId="17" applyNumberFormat="1" applyFont="1" applyFill="1" applyBorder="1" applyAlignment="1">
      <alignment horizontal="right"/>
    </xf>
    <xf numFmtId="189" fontId="22" fillId="0" borderId="1" xfId="17" applyNumberFormat="1" applyFont="1" applyFill="1" applyBorder="1" applyAlignment="1">
      <alignment horizontal="right"/>
    </xf>
    <xf numFmtId="44" fontId="22" fillId="0" borderId="16" xfId="17" applyNumberFormat="1" applyFont="1" applyFill="1" applyBorder="1" applyAlignment="1"/>
    <xf numFmtId="168" fontId="20" fillId="0" borderId="0" xfId="11" applyFont="1" applyFill="1" applyBorder="1" applyAlignment="1">
      <alignment horizontal="left"/>
    </xf>
    <xf numFmtId="0" fontId="20" fillId="0" borderId="0" xfId="17" applyFont="1" applyFill="1" applyBorder="1" applyAlignment="1"/>
    <xf numFmtId="168" fontId="57" fillId="0" borderId="0" xfId="11" applyFont="1" applyFill="1" applyBorder="1" applyAlignment="1">
      <alignment horizontal="left"/>
    </xf>
    <xf numFmtId="168" fontId="20" fillId="0" borderId="0" xfId="11" applyFont="1" applyFill="1" applyBorder="1" applyAlignment="1"/>
    <xf numFmtId="168" fontId="20" fillId="0" borderId="0" xfId="11" applyFont="1" applyFill="1" applyBorder="1" applyAlignment="1" applyProtection="1">
      <protection hidden="1"/>
    </xf>
    <xf numFmtId="0" fontId="53" fillId="0" borderId="1" xfId="0" applyFont="1" applyBorder="1" applyAlignment="1">
      <alignment horizontal="left"/>
    </xf>
    <xf numFmtId="0" fontId="20" fillId="0" borderId="0" xfId="0" applyFont="1" applyAlignment="1">
      <alignment horizontal="right"/>
    </xf>
    <xf numFmtId="2" fontId="22" fillId="0" borderId="0" xfId="0" applyNumberFormat="1" applyFont="1" applyAlignment="1">
      <alignment horizontal="right"/>
    </xf>
    <xf numFmtId="2" fontId="20" fillId="2" borderId="4" xfId="0" applyNumberFormat="1" applyFont="1" applyFill="1" applyBorder="1" applyAlignment="1">
      <alignment horizontal="right" vertical="top" wrapText="1"/>
    </xf>
    <xf numFmtId="0" fontId="53" fillId="0" borderId="1" xfId="0" applyFont="1" applyBorder="1" applyAlignment="1">
      <alignment horizontal="right"/>
    </xf>
    <xf numFmtId="1" fontId="20" fillId="0" borderId="1" xfId="0" applyNumberFormat="1" applyFont="1" applyFill="1" applyBorder="1" applyAlignment="1">
      <alignment horizontal="right"/>
    </xf>
    <xf numFmtId="0" fontId="20" fillId="0" borderId="1" xfId="0" applyFont="1" applyBorder="1" applyAlignment="1">
      <alignment horizontal="right"/>
    </xf>
    <xf numFmtId="179" fontId="22" fillId="0" borderId="1" xfId="11" applyNumberFormat="1" applyFont="1" applyFill="1" applyBorder="1" applyAlignment="1"/>
    <xf numFmtId="9" fontId="29" fillId="0" borderId="0" xfId="23" applyFont="1" applyFill="1" applyBorder="1" applyAlignment="1"/>
    <xf numFmtId="181" fontId="29" fillId="0" borderId="0" xfId="23" applyNumberFormat="1" applyFont="1" applyFill="1" applyBorder="1" applyAlignment="1">
      <alignment horizontal="right"/>
    </xf>
    <xf numFmtId="49" fontId="20" fillId="0" borderId="1" xfId="11" applyNumberFormat="1" applyFont="1" applyFill="1" applyBorder="1" applyAlignment="1">
      <alignment horizontal="center" vertical="center"/>
    </xf>
    <xf numFmtId="0" fontId="54" fillId="0" borderId="29" xfId="0" applyFont="1" applyFill="1" applyBorder="1" applyAlignment="1">
      <alignment horizontal="left" vertical="top"/>
    </xf>
    <xf numFmtId="3" fontId="58" fillId="5" borderId="1" xfId="0" applyNumberFormat="1" applyFont="1" applyFill="1" applyBorder="1" applyAlignment="1" applyProtection="1">
      <alignment horizontal="right"/>
    </xf>
    <xf numFmtId="9" fontId="58" fillId="5" borderId="1" xfId="23" applyFont="1" applyFill="1" applyBorder="1" applyAlignment="1" applyProtection="1">
      <alignment horizontal="right"/>
    </xf>
    <xf numFmtId="180" fontId="20" fillId="0" borderId="1" xfId="0" applyNumberFormat="1" applyFont="1" applyFill="1" applyBorder="1" applyAlignment="1">
      <alignment horizontal="center"/>
    </xf>
    <xf numFmtId="49" fontId="58" fillId="0" borderId="0" xfId="14" applyNumberFormat="1" applyFont="1" applyFill="1" applyBorder="1" applyAlignment="1" applyProtection="1">
      <alignment horizontal="left" vertical="top"/>
      <protection hidden="1"/>
    </xf>
    <xf numFmtId="0" fontId="20" fillId="0" borderId="0" xfId="26" applyFont="1"/>
    <xf numFmtId="49" fontId="21" fillId="0" borderId="0" xfId="14" applyNumberFormat="1" applyFont="1" applyFill="1" applyBorder="1" applyAlignment="1" applyProtection="1">
      <alignment horizontal="left" vertical="top"/>
      <protection hidden="1"/>
    </xf>
    <xf numFmtId="2" fontId="29" fillId="0" borderId="0" xfId="26" applyNumberFormat="1" applyFont="1" applyAlignment="1">
      <alignment horizontal="left"/>
    </xf>
    <xf numFmtId="0" fontId="22" fillId="0" borderId="1" xfId="26" applyFont="1" applyBorder="1"/>
    <xf numFmtId="0" fontId="20" fillId="0" borderId="1" xfId="26" applyFont="1" applyBorder="1"/>
    <xf numFmtId="49" fontId="21" fillId="4" borderId="1" xfId="14" applyNumberFormat="1" applyFont="1" applyFill="1" applyBorder="1" applyAlignment="1" applyProtection="1">
      <alignment horizontal="left" vertical="top"/>
      <protection hidden="1"/>
    </xf>
    <xf numFmtId="0" fontId="59" fillId="2" borderId="31" xfId="26" applyFont="1" applyFill="1" applyBorder="1" applyAlignment="1">
      <alignment vertical="top" wrapText="1"/>
    </xf>
    <xf numFmtId="0" fontId="59" fillId="2" borderId="25" xfId="26" applyFont="1" applyFill="1" applyBorder="1" applyAlignment="1">
      <alignment vertical="top" wrapText="1"/>
    </xf>
    <xf numFmtId="0" fontId="20" fillId="2" borderId="34" xfId="26" applyFont="1" applyFill="1" applyBorder="1" applyAlignment="1">
      <alignment horizontal="left" vertical="top" wrapText="1"/>
    </xf>
    <xf numFmtId="0" fontId="20" fillId="2" borderId="35" xfId="26" applyFont="1" applyFill="1" applyBorder="1" applyAlignment="1">
      <alignment horizontal="left" vertical="top" wrapText="1"/>
    </xf>
    <xf numFmtId="0" fontId="20" fillId="0" borderId="36" xfId="26" applyFont="1" applyFill="1" applyBorder="1"/>
    <xf numFmtId="0" fontId="20" fillId="0" borderId="5" xfId="26" applyFont="1" applyBorder="1"/>
    <xf numFmtId="1" fontId="20" fillId="8" borderId="1" xfId="26" applyNumberFormat="1" applyFont="1" applyFill="1" applyBorder="1"/>
    <xf numFmtId="0" fontId="20" fillId="0" borderId="1" xfId="26" applyFont="1" applyFill="1" applyBorder="1"/>
    <xf numFmtId="167" fontId="20" fillId="0" borderId="1" xfId="25" applyFont="1" applyBorder="1"/>
    <xf numFmtId="0" fontId="20" fillId="0" borderId="37" xfId="26" applyFont="1" applyBorder="1"/>
    <xf numFmtId="0" fontId="20" fillId="2" borderId="36" xfId="26" applyFont="1" applyFill="1" applyBorder="1"/>
    <xf numFmtId="0" fontId="20" fillId="2" borderId="6" xfId="26" applyFont="1" applyFill="1" applyBorder="1"/>
    <xf numFmtId="0" fontId="20" fillId="2" borderId="5" xfId="26" applyFont="1" applyFill="1" applyBorder="1"/>
    <xf numFmtId="1" fontId="20" fillId="2" borderId="1" xfId="26" applyNumberFormat="1" applyFont="1" applyFill="1" applyBorder="1"/>
    <xf numFmtId="0" fontId="20" fillId="2" borderId="1" xfId="26" applyFont="1" applyFill="1" applyBorder="1"/>
    <xf numFmtId="167" fontId="20" fillId="2" borderId="1" xfId="25" applyFont="1" applyFill="1" applyBorder="1"/>
    <xf numFmtId="193" fontId="20" fillId="2" borderId="1" xfId="26" applyNumberFormat="1" applyFont="1" applyFill="1" applyBorder="1"/>
    <xf numFmtId="0" fontId="20" fillId="2" borderId="37" xfId="26" applyFont="1" applyFill="1" applyBorder="1"/>
    <xf numFmtId="0" fontId="22" fillId="0" borderId="42" xfId="26" applyFont="1" applyBorder="1"/>
    <xf numFmtId="0" fontId="22" fillId="0" borderId="0" xfId="26" applyFont="1" applyBorder="1"/>
    <xf numFmtId="3" fontId="22" fillId="0" borderId="0" xfId="26" applyNumberFormat="1" applyFont="1" applyBorder="1"/>
    <xf numFmtId="43" fontId="22" fillId="0" borderId="0" xfId="26" applyNumberFormat="1" applyFont="1" applyBorder="1"/>
    <xf numFmtId="167" fontId="22" fillId="0" borderId="18" xfId="25" applyFont="1" applyBorder="1"/>
    <xf numFmtId="0" fontId="22" fillId="0" borderId="0" xfId="26" applyFont="1"/>
    <xf numFmtId="0" fontId="20" fillId="0" borderId="0" xfId="26" applyFont="1" applyBorder="1"/>
    <xf numFmtId="0" fontId="20" fillId="8" borderId="0" xfId="26" applyFont="1" applyFill="1"/>
    <xf numFmtId="191" fontId="20" fillId="10" borderId="1" xfId="0" applyNumberFormat="1" applyFont="1" applyFill="1" applyBorder="1"/>
    <xf numFmtId="0" fontId="53" fillId="0" borderId="30" xfId="0" applyFont="1" applyBorder="1" applyAlignment="1">
      <alignment horizontal="center"/>
    </xf>
    <xf numFmtId="0" fontId="53" fillId="0" borderId="29" xfId="0" applyFont="1" applyBorder="1" applyAlignment="1">
      <alignment horizontal="center"/>
    </xf>
    <xf numFmtId="0" fontId="53" fillId="0" borderId="29" xfId="0" applyFont="1" applyBorder="1"/>
    <xf numFmtId="0" fontId="53" fillId="0" borderId="29" xfId="0" applyFont="1" applyFill="1" applyBorder="1"/>
    <xf numFmtId="0" fontId="53" fillId="0" borderId="1" xfId="0" applyFont="1" applyFill="1" applyBorder="1" applyAlignment="1">
      <alignment horizontal="left"/>
    </xf>
    <xf numFmtId="9" fontId="20" fillId="0" borderId="0" xfId="23" applyFont="1" applyFill="1" applyAlignment="1"/>
    <xf numFmtId="9" fontId="29" fillId="0" borderId="0" xfId="23" applyFont="1" applyFill="1" applyAlignment="1"/>
    <xf numFmtId="9" fontId="0" fillId="0" borderId="0" xfId="23" applyFont="1"/>
    <xf numFmtId="167" fontId="20" fillId="0" borderId="1" xfId="25" applyFont="1" applyFill="1" applyBorder="1" applyAlignment="1"/>
    <xf numFmtId="168" fontId="20" fillId="0" borderId="1" xfId="0" applyNumberFormat="1" applyFont="1" applyBorder="1"/>
    <xf numFmtId="43" fontId="20" fillId="0" borderId="1" xfId="0" applyNumberFormat="1" applyFont="1" applyBorder="1"/>
    <xf numFmtId="168" fontId="20" fillId="0" borderId="1" xfId="11" applyFont="1" applyBorder="1"/>
    <xf numFmtId="0" fontId="24" fillId="2" borderId="4" xfId="17" applyFont="1" applyFill="1" applyBorder="1" applyAlignment="1">
      <alignment horizontal="center" wrapText="1"/>
    </xf>
    <xf numFmtId="0" fontId="24" fillId="2" borderId="10" xfId="17" applyFont="1" applyFill="1" applyBorder="1" applyAlignment="1">
      <alignment horizontal="center" wrapText="1"/>
    </xf>
    <xf numFmtId="168" fontId="24" fillId="2" borderId="4" xfId="11" applyFont="1" applyFill="1" applyBorder="1" applyAlignment="1">
      <alignment horizontal="center" wrapText="1"/>
    </xf>
    <xf numFmtId="168" fontId="24" fillId="2" borderId="10" xfId="11" applyFont="1" applyFill="1" applyBorder="1" applyAlignment="1">
      <alignment horizontal="center" wrapText="1"/>
    </xf>
    <xf numFmtId="2" fontId="81" fillId="3" borderId="6" xfId="0" applyNumberFormat="1" applyFont="1" applyFill="1" applyBorder="1" applyAlignment="1">
      <alignment horizontal="left"/>
    </xf>
    <xf numFmtId="2" fontId="81" fillId="3" borderId="7" xfId="0" applyNumberFormat="1" applyFont="1" applyFill="1" applyBorder="1" applyAlignment="1">
      <alignment horizontal="left"/>
    </xf>
    <xf numFmtId="2" fontId="81" fillId="3" borderId="8" xfId="0" applyNumberFormat="1" applyFont="1" applyFill="1" applyBorder="1" applyAlignment="1">
      <alignment horizontal="left"/>
    </xf>
    <xf numFmtId="2" fontId="81" fillId="3" borderId="9" xfId="0" applyNumberFormat="1" applyFont="1" applyFill="1" applyBorder="1" applyAlignment="1">
      <alignment horizontal="left"/>
    </xf>
    <xf numFmtId="0" fontId="48" fillId="0" borderId="6" xfId="14" applyFont="1" applyFill="1" applyBorder="1" applyAlignment="1" applyProtection="1">
      <alignment horizontal="left"/>
      <protection hidden="1"/>
    </xf>
    <xf numFmtId="0" fontId="48" fillId="0" borderId="6" xfId="14" applyFont="1" applyFill="1" applyBorder="1" applyAlignment="1" applyProtection="1">
      <alignment horizontal="center"/>
      <protection hidden="1"/>
    </xf>
    <xf numFmtId="0" fontId="48" fillId="0" borderId="7" xfId="14" applyFont="1" applyFill="1" applyBorder="1" applyAlignment="1" applyProtection="1">
      <alignment horizontal="center"/>
      <protection hidden="1"/>
    </xf>
    <xf numFmtId="0" fontId="48" fillId="0" borderId="5" xfId="14" applyFont="1" applyFill="1" applyBorder="1" applyAlignment="1" applyProtection="1">
      <alignment horizontal="left"/>
      <protection hidden="1"/>
    </xf>
    <xf numFmtId="0" fontId="82" fillId="0" borderId="7" xfId="18" applyFont="1" applyFill="1" applyBorder="1" applyProtection="1">
      <protection hidden="1"/>
    </xf>
    <xf numFmtId="169" fontId="47" fillId="0" borderId="10" xfId="9" applyFont="1" applyFill="1" applyBorder="1" applyAlignment="1" applyProtection="1">
      <alignment horizontal="right"/>
      <protection hidden="1"/>
    </xf>
    <xf numFmtId="0" fontId="48" fillId="0" borderId="7" xfId="14" applyFont="1" applyFill="1" applyBorder="1" applyAlignment="1" applyProtection="1">
      <alignment horizontal="left"/>
      <protection hidden="1"/>
    </xf>
    <xf numFmtId="186" fontId="48" fillId="3" borderId="1" xfId="14" applyNumberFormat="1" applyFont="1" applyFill="1" applyBorder="1" applyAlignment="1" applyProtection="1">
      <alignment horizontal="center"/>
      <protection hidden="1"/>
    </xf>
    <xf numFmtId="186" fontId="48" fillId="0" borderId="1" xfId="14" applyNumberFormat="1" applyFont="1" applyFill="1" applyBorder="1" applyAlignment="1" applyProtection="1">
      <alignment horizontal="center"/>
      <protection hidden="1"/>
    </xf>
    <xf numFmtId="3" fontId="48" fillId="3" borderId="1" xfId="14" applyNumberFormat="1" applyFont="1" applyFill="1" applyBorder="1" applyAlignment="1" applyProtection="1">
      <alignment horizontal="center"/>
      <protection hidden="1"/>
    </xf>
    <xf numFmtId="4" fontId="48" fillId="0" borderId="1" xfId="14" applyNumberFormat="1" applyFont="1" applyFill="1" applyBorder="1" applyAlignment="1" applyProtection="1">
      <alignment horizontal="center"/>
      <protection hidden="1"/>
    </xf>
    <xf numFmtId="10" fontId="48" fillId="3" borderId="1" xfId="23" applyNumberFormat="1" applyFont="1" applyFill="1" applyBorder="1" applyAlignment="1" applyProtection="1">
      <alignment horizontal="center"/>
      <protection locked="0"/>
    </xf>
    <xf numFmtId="186" fontId="47" fillId="0" borderId="1" xfId="14" applyNumberFormat="1" applyFont="1" applyFill="1" applyBorder="1" applyAlignment="1" applyProtection="1">
      <alignment horizontal="center"/>
      <protection hidden="1"/>
    </xf>
    <xf numFmtId="0" fontId="48" fillId="3" borderId="1" xfId="14" applyFont="1" applyFill="1" applyBorder="1" applyAlignment="1" applyProtection="1">
      <alignment horizontal="center"/>
      <protection hidden="1"/>
    </xf>
    <xf numFmtId="2" fontId="46" fillId="0" borderId="0" xfId="14" applyNumberFormat="1" applyFont="1" applyFill="1" applyProtection="1">
      <protection hidden="1"/>
    </xf>
    <xf numFmtId="2" fontId="46" fillId="0" borderId="0" xfId="14" applyNumberFormat="1" applyFont="1" applyFill="1" applyAlignment="1" applyProtection="1">
      <alignment horizontal="center"/>
      <protection hidden="1"/>
    </xf>
    <xf numFmtId="0" fontId="48" fillId="0" borderId="0" xfId="14" applyFont="1" applyFill="1" applyBorder="1" applyAlignment="1" applyProtection="1">
      <alignment horizontal="left"/>
      <protection hidden="1"/>
    </xf>
    <xf numFmtId="4" fontId="48" fillId="0" borderId="0" xfId="14" applyNumberFormat="1" applyFont="1" applyFill="1" applyBorder="1" applyAlignment="1" applyProtection="1">
      <alignment horizontal="center"/>
      <protection hidden="1"/>
    </xf>
    <xf numFmtId="0" fontId="48" fillId="0" borderId="0" xfId="14" applyFont="1" applyFill="1" applyBorder="1" applyAlignment="1" applyProtection="1">
      <alignment horizontal="center"/>
      <protection hidden="1"/>
    </xf>
    <xf numFmtId="188" fontId="16" fillId="6" borderId="1" xfId="4" applyNumberFormat="1" applyFont="1" applyFill="1" applyBorder="1" applyAlignment="1" applyProtection="1">
      <protection locked="0"/>
    </xf>
    <xf numFmtId="188" fontId="17" fillId="0" borderId="12" xfId="0" applyNumberFormat="1" applyFont="1" applyFill="1" applyBorder="1" applyAlignment="1">
      <alignment horizontal="center" vertical="center"/>
    </xf>
    <xf numFmtId="188" fontId="20" fillId="0" borderId="0" xfId="0" applyNumberFormat="1" applyFont="1"/>
    <xf numFmtId="188" fontId="33" fillId="0" borderId="0" xfId="4" applyNumberFormat="1" applyFont="1" applyFill="1" applyBorder="1" applyAlignment="1" applyProtection="1">
      <alignment horizontal="center"/>
      <protection hidden="1"/>
    </xf>
    <xf numFmtId="188" fontId="15" fillId="0" borderId="0" xfId="20" applyNumberFormat="1" applyFont="1" applyFill="1" applyBorder="1" applyAlignment="1" applyProtection="1">
      <alignment horizontal="center"/>
      <protection hidden="1"/>
    </xf>
    <xf numFmtId="188" fontId="16" fillId="2" borderId="1" xfId="4" applyNumberFormat="1" applyFont="1" applyFill="1" applyBorder="1" applyAlignment="1" applyProtection="1">
      <protection locked="0"/>
    </xf>
    <xf numFmtId="188" fontId="16" fillId="4" borderId="1" xfId="4" applyNumberFormat="1" applyFont="1" applyFill="1" applyBorder="1" applyAlignment="1" applyProtection="1">
      <protection locked="0"/>
    </xf>
    <xf numFmtId="188" fontId="16" fillId="3" borderId="1" xfId="4" applyNumberFormat="1" applyFont="1" applyFill="1" applyBorder="1" applyAlignment="1" applyProtection="1">
      <protection locked="0"/>
    </xf>
    <xf numFmtId="188" fontId="41" fillId="3" borderId="1" xfId="4" applyNumberFormat="1" applyFont="1" applyFill="1" applyBorder="1" applyAlignment="1" applyProtection="1">
      <alignment horizontal="right"/>
      <protection locked="0"/>
    </xf>
    <xf numFmtId="188" fontId="19" fillId="0" borderId="12" xfId="0" applyNumberFormat="1" applyFont="1" applyFill="1" applyBorder="1" applyAlignment="1">
      <alignment horizontal="center" vertical="center"/>
    </xf>
    <xf numFmtId="188" fontId="19" fillId="0" borderId="0" xfId="0" applyNumberFormat="1" applyFont="1" applyFill="1"/>
    <xf numFmtId="188" fontId="36" fillId="0" borderId="0" xfId="4" applyNumberFormat="1" applyFont="1" applyFill="1" applyBorder="1" applyAlignment="1" applyProtection="1">
      <alignment horizontal="center"/>
      <protection hidden="1"/>
    </xf>
    <xf numFmtId="188" fontId="36" fillId="0" borderId="0" xfId="20" applyNumberFormat="1" applyFont="1" applyFill="1" applyBorder="1" applyAlignment="1" applyProtection="1">
      <alignment horizontal="center"/>
      <protection hidden="1"/>
    </xf>
    <xf numFmtId="188" fontId="16" fillId="0" borderId="1" xfId="4" applyNumberFormat="1" applyFont="1" applyFill="1" applyBorder="1" applyAlignment="1" applyProtection="1">
      <protection locked="0"/>
    </xf>
    <xf numFmtId="0" fontId="20" fillId="0" borderId="0" xfId="0" applyNumberFormat="1" applyFont="1" applyAlignment="1">
      <alignment horizontal="right"/>
    </xf>
    <xf numFmtId="0" fontId="22" fillId="0" borderId="0" xfId="0" applyNumberFormat="1" applyFont="1" applyAlignment="1">
      <alignment horizontal="right"/>
    </xf>
    <xf numFmtId="0" fontId="20" fillId="2" borderId="4" xfId="0" applyNumberFormat="1" applyFont="1" applyFill="1" applyBorder="1" applyAlignment="1">
      <alignment horizontal="right" vertical="top" wrapText="1"/>
    </xf>
    <xf numFmtId="0" fontId="20" fillId="0" borderId="0" xfId="0" applyFont="1" applyAlignment="1">
      <alignment horizontal="center"/>
    </xf>
    <xf numFmtId="2" fontId="18" fillId="0" borderId="0" xfId="17" applyNumberFormat="1" applyFont="1" applyFill="1" applyBorder="1" applyAlignment="1">
      <alignment horizontal="center"/>
    </xf>
    <xf numFmtId="2" fontId="20" fillId="2" borderId="4" xfId="0" applyNumberFormat="1" applyFont="1" applyFill="1" applyBorder="1" applyAlignment="1">
      <alignment horizontal="center" vertical="top" wrapText="1"/>
    </xf>
    <xf numFmtId="9" fontId="20" fillId="0" borderId="1" xfId="23" applyFont="1" applyFill="1" applyBorder="1" applyAlignment="1"/>
    <xf numFmtId="9" fontId="22" fillId="0" borderId="1" xfId="23" applyFont="1" applyFill="1" applyBorder="1" applyAlignment="1"/>
    <xf numFmtId="0" fontId="22" fillId="0" borderId="0" xfId="17" applyFont="1" applyFill="1" applyAlignment="1"/>
    <xf numFmtId="0" fontId="59" fillId="2" borderId="4" xfId="17" applyFont="1" applyFill="1" applyBorder="1" applyAlignment="1"/>
    <xf numFmtId="0" fontId="59" fillId="2" borderId="10" xfId="17" applyFont="1" applyFill="1" applyBorder="1" applyAlignment="1"/>
    <xf numFmtId="44" fontId="22" fillId="0" borderId="1" xfId="17" applyNumberFormat="1" applyFont="1" applyFill="1" applyBorder="1" applyAlignment="1"/>
    <xf numFmtId="189" fontId="22" fillId="0" borderId="0" xfId="17" applyNumberFormat="1" applyFont="1" applyFill="1" applyAlignment="1"/>
    <xf numFmtId="0" fontId="83" fillId="0" borderId="0" xfId="0" applyFont="1"/>
    <xf numFmtId="186" fontId="48" fillId="0" borderId="0" xfId="14" applyNumberFormat="1" applyFont="1" applyFill="1" applyBorder="1" applyAlignment="1" applyProtection="1">
      <alignment horizontal="center"/>
      <protection hidden="1"/>
    </xf>
    <xf numFmtId="0" fontId="48" fillId="0" borderId="22" xfId="14" applyFont="1" applyFill="1" applyBorder="1" applyAlignment="1" applyProtection="1">
      <alignment horizontal="left"/>
      <protection hidden="1"/>
    </xf>
    <xf numFmtId="0" fontId="48" fillId="0" borderId="22" xfId="14" applyFont="1" applyFill="1" applyBorder="1" applyAlignment="1" applyProtection="1">
      <alignment horizontal="center"/>
      <protection hidden="1"/>
    </xf>
    <xf numFmtId="186" fontId="48" fillId="0" borderId="17" xfId="14" applyNumberFormat="1" applyFont="1" applyFill="1" applyBorder="1" applyAlignment="1" applyProtection="1">
      <alignment horizontal="center"/>
      <protection hidden="1"/>
    </xf>
    <xf numFmtId="0" fontId="28" fillId="0" borderId="21" xfId="14" applyNumberFormat="1" applyFont="1" applyFill="1" applyBorder="1" applyAlignment="1" applyProtection="1">
      <alignment horizontal="left"/>
      <protection hidden="1"/>
    </xf>
    <xf numFmtId="0" fontId="20" fillId="2" borderId="38" xfId="26" applyFont="1" applyFill="1" applyBorder="1"/>
    <xf numFmtId="0" fontId="20" fillId="2" borderId="54" xfId="26" applyFont="1" applyFill="1" applyBorder="1"/>
    <xf numFmtId="0" fontId="20" fillId="2" borderId="40" xfId="26" applyFont="1" applyFill="1" applyBorder="1"/>
    <xf numFmtId="1" fontId="20" fillId="2" borderId="39" xfId="26" applyNumberFormat="1" applyFont="1" applyFill="1" applyBorder="1"/>
    <xf numFmtId="0" fontId="20" fillId="2" borderId="39" xfId="26" applyFont="1" applyFill="1" applyBorder="1"/>
    <xf numFmtId="167" fontId="20" fillId="2" borderId="39" xfId="25" applyFont="1" applyFill="1" applyBorder="1"/>
    <xf numFmtId="193" fontId="20" fillId="2" borderId="39" xfId="26" applyNumberFormat="1" applyFont="1" applyFill="1" applyBorder="1"/>
    <xf numFmtId="0" fontId="20" fillId="2" borderId="41" xfId="26" applyFont="1" applyFill="1" applyBorder="1"/>
    <xf numFmtId="165" fontId="20" fillId="0" borderId="1" xfId="11" applyNumberFormat="1" applyFont="1" applyFill="1" applyBorder="1" applyAlignment="1">
      <alignment horizontal="center"/>
    </xf>
    <xf numFmtId="167" fontId="20" fillId="0" borderId="1" xfId="25" applyFont="1" applyFill="1" applyBorder="1" applyAlignment="1">
      <alignment horizontal="center"/>
    </xf>
    <xf numFmtId="168" fontId="24" fillId="2" borderId="32" xfId="11" applyFont="1" applyFill="1" applyBorder="1" applyAlignment="1">
      <alignment horizontal="center" vertical="top"/>
    </xf>
    <xf numFmtId="168" fontId="24" fillId="2" borderId="33" xfId="11" applyFont="1" applyFill="1" applyBorder="1" applyAlignment="1">
      <alignment horizontal="center" vertical="top"/>
    </xf>
    <xf numFmtId="0" fontId="24" fillId="2" borderId="34" xfId="17" applyFont="1" applyFill="1" applyBorder="1" applyAlignment="1">
      <alignment vertical="top"/>
    </xf>
    <xf numFmtId="16" fontId="20" fillId="0" borderId="1" xfId="0" applyNumberFormat="1" applyFont="1" applyFill="1" applyBorder="1"/>
    <xf numFmtId="49" fontId="18" fillId="2" borderId="5" xfId="87" applyNumberFormat="1" applyFont="1" applyFill="1" applyBorder="1" applyAlignment="1"/>
    <xf numFmtId="49" fontId="18" fillId="2" borderId="6" xfId="87" applyNumberFormat="1" applyFont="1" applyFill="1" applyBorder="1" applyAlignment="1"/>
    <xf numFmtId="0" fontId="18" fillId="2" borderId="6" xfId="87" applyFont="1" applyFill="1" applyBorder="1" applyAlignment="1"/>
    <xf numFmtId="0" fontId="18" fillId="2" borderId="6" xfId="87" applyNumberFormat="1" applyFont="1" applyFill="1" applyBorder="1" applyAlignment="1">
      <alignment horizontal="center"/>
    </xf>
    <xf numFmtId="2" fontId="22" fillId="0" borderId="1" xfId="72" applyNumberFormat="1" applyFont="1" applyBorder="1" applyAlignment="1" applyProtection="1">
      <alignment wrapText="1"/>
      <protection hidden="1"/>
    </xf>
    <xf numFmtId="0" fontId="22" fillId="0" borderId="1" xfId="72" applyNumberFormat="1" applyFont="1" applyBorder="1" applyAlignment="1" applyProtection="1">
      <alignment horizontal="center" wrapText="1"/>
      <protection hidden="1"/>
    </xf>
    <xf numFmtId="2" fontId="22" fillId="0" borderId="1" xfId="72" applyNumberFormat="1" applyFont="1" applyBorder="1" applyAlignment="1" applyProtection="1">
      <alignment horizontal="center" wrapText="1"/>
      <protection hidden="1"/>
    </xf>
    <xf numFmtId="0" fontId="20" fillId="10" borderId="1" xfId="72" applyNumberFormat="1" applyFont="1" applyFill="1" applyBorder="1" applyAlignment="1" applyProtection="1">
      <alignment horizontal="left" vertical="center"/>
      <protection hidden="1"/>
    </xf>
    <xf numFmtId="0" fontId="20" fillId="7" borderId="1" xfId="72" applyFont="1" applyFill="1" applyBorder="1"/>
    <xf numFmtId="186" fontId="20" fillId="3" borderId="1" xfId="72" applyNumberFormat="1" applyFont="1" applyFill="1" applyBorder="1" applyAlignment="1" applyProtection="1">
      <alignment horizontal="center" vertical="center"/>
      <protection hidden="1"/>
    </xf>
    <xf numFmtId="186" fontId="20" fillId="7" borderId="1" xfId="72" applyNumberFormat="1" applyFont="1" applyFill="1" applyBorder="1" applyAlignment="1" applyProtection="1">
      <alignment vertical="center"/>
      <protection hidden="1"/>
    </xf>
    <xf numFmtId="0" fontId="20" fillId="0" borderId="1" xfId="72" applyNumberFormat="1" applyFont="1" applyFill="1" applyBorder="1" applyAlignment="1" applyProtection="1">
      <alignment horizontal="left" vertical="center"/>
      <protection hidden="1"/>
    </xf>
    <xf numFmtId="0" fontId="20" fillId="0" borderId="0" xfId="72" applyNumberFormat="1" applyFont="1" applyFill="1" applyBorder="1" applyAlignment="1" applyProtection="1">
      <alignment horizontal="left" vertical="center"/>
      <protection hidden="1"/>
    </xf>
    <xf numFmtId="0" fontId="20" fillId="0" borderId="0" xfId="72" applyFont="1" applyFill="1" applyBorder="1" applyAlignment="1" applyProtection="1">
      <alignment vertical="center"/>
      <protection hidden="1"/>
    </xf>
    <xf numFmtId="0" fontId="20" fillId="0" borderId="0" xfId="72" applyNumberFormat="1" applyFont="1" applyFill="1" applyBorder="1" applyAlignment="1" applyProtection="1">
      <alignment horizontal="center" vertical="center"/>
      <protection hidden="1"/>
    </xf>
    <xf numFmtId="0" fontId="20" fillId="0" borderId="0" xfId="72" applyFont="1"/>
    <xf numFmtId="186" fontId="20" fillId="3" borderId="5" xfId="72" applyNumberFormat="1" applyFont="1" applyFill="1" applyBorder="1" applyAlignment="1" applyProtection="1">
      <alignment horizontal="center" vertical="center"/>
      <protection hidden="1"/>
    </xf>
    <xf numFmtId="186" fontId="20" fillId="3" borderId="7" xfId="72" applyNumberFormat="1" applyFont="1" applyFill="1" applyBorder="1" applyAlignment="1" applyProtection="1">
      <alignment horizontal="center" vertical="center"/>
      <protection hidden="1"/>
    </xf>
    <xf numFmtId="0" fontId="20" fillId="3" borderId="5" xfId="72" applyNumberFormat="1" applyFont="1" applyFill="1" applyBorder="1" applyAlignment="1" applyProtection="1">
      <alignment horizontal="center" vertical="center"/>
      <protection hidden="1"/>
    </xf>
    <xf numFmtId="0" fontId="20" fillId="3" borderId="7" xfId="72" applyNumberFormat="1" applyFont="1" applyFill="1" applyBorder="1" applyAlignment="1" applyProtection="1">
      <alignment horizontal="center" vertical="center"/>
      <protection hidden="1"/>
    </xf>
    <xf numFmtId="0" fontId="18" fillId="2" borderId="7" xfId="87" applyNumberFormat="1" applyFont="1" applyFill="1" applyBorder="1" applyAlignment="1">
      <alignment horizontal="center"/>
    </xf>
    <xf numFmtId="0" fontId="20" fillId="0" borderId="0" xfId="75" applyFont="1"/>
    <xf numFmtId="2" fontId="19" fillId="3" borderId="1" xfId="16" applyNumberFormat="1" applyFont="1" applyFill="1" applyBorder="1" applyAlignment="1" applyProtection="1">
      <alignment vertical="center"/>
      <protection hidden="1"/>
    </xf>
    <xf numFmtId="1" fontId="19" fillId="0" borderId="0" xfId="0" applyNumberFormat="1" applyFont="1"/>
    <xf numFmtId="0" fontId="53" fillId="10" borderId="1" xfId="0" applyNumberFormat="1" applyFont="1" applyFill="1" applyBorder="1" applyAlignment="1">
      <alignment horizontal="center"/>
    </xf>
    <xf numFmtId="0" fontId="20" fillId="0" borderId="21" xfId="0" applyFont="1" applyBorder="1" applyAlignment="1">
      <alignment horizontal="center" vertical="top"/>
    </xf>
    <xf numFmtId="0" fontId="20" fillId="0" borderId="22" xfId="0" applyFont="1" applyBorder="1" applyAlignment="1">
      <alignment horizontal="center" vertical="top"/>
    </xf>
    <xf numFmtId="0" fontId="20" fillId="0" borderId="17" xfId="0" applyFont="1" applyBorder="1" applyAlignment="1">
      <alignment horizontal="center" vertical="top"/>
    </xf>
    <xf numFmtId="0" fontId="22" fillId="9" borderId="21" xfId="0" applyFont="1" applyFill="1" applyBorder="1" applyAlignment="1">
      <alignment horizontal="left" vertical="top"/>
    </xf>
    <xf numFmtId="0" fontId="22" fillId="9" borderId="22" xfId="0" applyFont="1" applyFill="1" applyBorder="1" applyAlignment="1">
      <alignment horizontal="left" vertical="top"/>
    </xf>
    <xf numFmtId="0" fontId="22" fillId="9" borderId="17" xfId="0" applyFont="1" applyFill="1" applyBorder="1" applyAlignment="1">
      <alignment horizontal="left" vertical="top"/>
    </xf>
    <xf numFmtId="0" fontId="20" fillId="0" borderId="21" xfId="0" applyFont="1" applyBorder="1" applyAlignment="1">
      <alignment horizontal="left" vertical="top" wrapText="1"/>
    </xf>
    <xf numFmtId="0" fontId="20" fillId="0" borderId="22" xfId="0" applyFont="1" applyBorder="1" applyAlignment="1">
      <alignment horizontal="left" vertical="top" wrapText="1"/>
    </xf>
    <xf numFmtId="0" fontId="20" fillId="0" borderId="17" xfId="0" applyFont="1" applyBorder="1" applyAlignment="1">
      <alignment horizontal="left" vertical="top" wrapText="1"/>
    </xf>
    <xf numFmtId="0" fontId="20" fillId="0" borderId="0" xfId="0" applyFont="1" applyAlignment="1">
      <alignment horizontal="left" vertical="top" wrapText="1"/>
    </xf>
    <xf numFmtId="0" fontId="20" fillId="0" borderId="0" xfId="0" applyFont="1" applyAlignment="1">
      <alignment vertical="top" wrapText="1"/>
    </xf>
    <xf numFmtId="0" fontId="20" fillId="0" borderId="20" xfId="0" applyFont="1" applyBorder="1" applyAlignment="1">
      <alignment horizontal="left" vertical="top" wrapText="1"/>
    </xf>
    <xf numFmtId="0" fontId="0" fillId="0" borderId="0" xfId="0" applyBorder="1" applyAlignment="1">
      <alignment horizontal="left"/>
    </xf>
    <xf numFmtId="0" fontId="0" fillId="0" borderId="27" xfId="0" applyBorder="1" applyAlignment="1">
      <alignment horizontal="left"/>
    </xf>
    <xf numFmtId="0" fontId="22" fillId="9" borderId="24" xfId="0" applyFont="1" applyFill="1" applyBorder="1" applyAlignment="1">
      <alignment horizontal="left" vertical="top" wrapText="1"/>
    </xf>
    <xf numFmtId="0" fontId="22" fillId="9" borderId="25" xfId="0" applyFont="1" applyFill="1" applyBorder="1" applyAlignment="1">
      <alignment horizontal="left" vertical="top" wrapText="1"/>
    </xf>
    <xf numFmtId="0" fontId="22" fillId="9" borderId="26" xfId="0" applyFont="1" applyFill="1" applyBorder="1" applyAlignment="1">
      <alignment horizontal="left" vertical="top" wrapText="1"/>
    </xf>
    <xf numFmtId="0" fontId="20" fillId="0" borderId="23" xfId="0" applyFont="1" applyBorder="1" applyAlignment="1">
      <alignment horizontal="left" vertical="top" wrapText="1"/>
    </xf>
    <xf numFmtId="0" fontId="20" fillId="0" borderId="28" xfId="0" applyFont="1" applyBorder="1" applyAlignment="1">
      <alignment horizontal="left" vertical="top" wrapText="1"/>
    </xf>
    <xf numFmtId="0" fontId="20" fillId="0" borderId="19" xfId="0" applyFont="1" applyBorder="1" applyAlignment="1">
      <alignment horizontal="left" vertical="top" wrapText="1"/>
    </xf>
    <xf numFmtId="0" fontId="20" fillId="0" borderId="0" xfId="0" applyFont="1" applyBorder="1" applyAlignment="1">
      <alignment horizontal="left" vertical="top" wrapText="1"/>
    </xf>
    <xf numFmtId="0" fontId="20" fillId="0" borderId="27" xfId="0" applyFont="1" applyBorder="1" applyAlignment="1">
      <alignment horizontal="left" vertical="top" wrapText="1"/>
    </xf>
    <xf numFmtId="2" fontId="29" fillId="3" borderId="0" xfId="17" applyNumberFormat="1" applyFont="1" applyFill="1" applyBorder="1" applyAlignment="1"/>
    <xf numFmtId="0" fontId="20" fillId="3" borderId="0" xfId="0" applyFont="1" applyFill="1" applyAlignment="1"/>
    <xf numFmtId="168" fontId="24" fillId="2" borderId="4" xfId="11" applyFont="1" applyFill="1" applyBorder="1" applyAlignment="1">
      <alignment horizontal="center" wrapText="1"/>
    </xf>
    <xf numFmtId="168" fontId="24" fillId="2" borderId="10" xfId="11" applyFont="1" applyFill="1" applyBorder="1" applyAlignment="1">
      <alignment horizontal="center" wrapText="1"/>
    </xf>
    <xf numFmtId="0" fontId="20" fillId="0" borderId="5" xfId="0" applyFont="1" applyFill="1" applyBorder="1" applyAlignment="1">
      <alignment horizontal="left"/>
    </xf>
    <xf numFmtId="0" fontId="20" fillId="0" borderId="7" xfId="0" applyFont="1" applyFill="1" applyBorder="1" applyAlignment="1">
      <alignment horizontal="left"/>
    </xf>
    <xf numFmtId="0" fontId="22" fillId="0" borderId="5" xfId="20" applyFont="1" applyFill="1" applyBorder="1" applyAlignment="1" applyProtection="1">
      <alignment horizontal="left" vertical="center"/>
      <protection hidden="1"/>
    </xf>
    <xf numFmtId="0" fontId="22" fillId="0" borderId="7" xfId="20" applyFont="1" applyFill="1" applyBorder="1" applyAlignment="1" applyProtection="1">
      <alignment horizontal="left" vertical="center"/>
      <protection hidden="1"/>
    </xf>
    <xf numFmtId="2" fontId="15" fillId="2" borderId="5" xfId="4" applyNumberFormat="1" applyFont="1" applyFill="1" applyBorder="1" applyAlignment="1" applyProtection="1">
      <alignment horizontal="center" vertical="center" wrapText="1"/>
      <protection hidden="1"/>
    </xf>
    <xf numFmtId="2" fontId="15" fillId="2" borderId="7" xfId="4" applyNumberFormat="1"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2" fontId="27" fillId="2" borderId="5" xfId="4" applyNumberFormat="1" applyFont="1" applyFill="1" applyBorder="1" applyAlignment="1" applyProtection="1">
      <alignment horizontal="left" vertical="center" wrapText="1"/>
      <protection hidden="1"/>
    </xf>
    <xf numFmtId="0" fontId="24" fillId="0" borderId="7" xfId="0" applyFont="1" applyBorder="1" applyAlignment="1">
      <alignment horizontal="left" vertical="center" wrapText="1"/>
    </xf>
    <xf numFmtId="2" fontId="27" fillId="2" borderId="7" xfId="4" applyNumberFormat="1" applyFont="1" applyFill="1" applyBorder="1" applyAlignment="1" applyProtection="1">
      <alignment horizontal="left" vertical="center" wrapText="1"/>
      <protection hidden="1"/>
    </xf>
    <xf numFmtId="2" fontId="27" fillId="2" borderId="6" xfId="4" applyNumberFormat="1" applyFont="1" applyFill="1" applyBorder="1" applyAlignment="1" applyProtection="1">
      <alignment horizontal="left" vertical="center" wrapText="1"/>
      <protection hidden="1"/>
    </xf>
    <xf numFmtId="0" fontId="17" fillId="0" borderId="5" xfId="14" applyFont="1" applyFill="1" applyBorder="1" applyAlignment="1" applyProtection="1">
      <alignment horizontal="center"/>
      <protection hidden="1"/>
    </xf>
    <xf numFmtId="0" fontId="17" fillId="0" borderId="6" xfId="14" applyFont="1" applyFill="1" applyBorder="1" applyAlignment="1" applyProtection="1">
      <alignment horizontal="center"/>
      <protection hidden="1"/>
    </xf>
    <xf numFmtId="0" fontId="17" fillId="0" borderId="7" xfId="14" applyFont="1" applyFill="1" applyBorder="1" applyAlignment="1" applyProtection="1">
      <alignment horizontal="center"/>
      <protection hidden="1"/>
    </xf>
    <xf numFmtId="0" fontId="20" fillId="3" borderId="5" xfId="72" applyNumberFormat="1" applyFont="1" applyFill="1" applyBorder="1" applyAlignment="1" applyProtection="1">
      <alignment horizontal="center" vertical="center"/>
      <protection hidden="1"/>
    </xf>
    <xf numFmtId="0" fontId="20" fillId="3" borderId="7" xfId="72" applyNumberFormat="1" applyFont="1" applyFill="1" applyBorder="1" applyAlignment="1" applyProtection="1">
      <alignment horizontal="center" vertical="center"/>
      <protection hidden="1"/>
    </xf>
    <xf numFmtId="49" fontId="18" fillId="2" borderId="5" xfId="87" applyNumberFormat="1" applyFont="1" applyFill="1" applyBorder="1" applyAlignment="1">
      <alignment horizontal="left"/>
    </xf>
    <xf numFmtId="49" fontId="18" fillId="2" borderId="6" xfId="87" applyNumberFormat="1" applyFont="1" applyFill="1" applyBorder="1" applyAlignment="1">
      <alignment horizontal="left"/>
    </xf>
    <xf numFmtId="49" fontId="18" fillId="2" borderId="7" xfId="87" applyNumberFormat="1" applyFont="1" applyFill="1" applyBorder="1" applyAlignment="1">
      <alignment horizontal="left"/>
    </xf>
    <xf numFmtId="2" fontId="22" fillId="0" borderId="5" xfId="72" applyNumberFormat="1" applyFont="1" applyBorder="1" applyAlignment="1" applyProtection="1">
      <alignment horizontal="center" wrapText="1"/>
      <protection hidden="1"/>
    </xf>
    <xf numFmtId="2" fontId="22" fillId="0" borderId="7" xfId="72" applyNumberFormat="1" applyFont="1" applyBorder="1" applyAlignment="1" applyProtection="1">
      <alignment horizontal="center" wrapText="1"/>
      <protection hidden="1"/>
    </xf>
    <xf numFmtId="2" fontId="22" fillId="0" borderId="5" xfId="72" applyNumberFormat="1" applyFont="1" applyBorder="1" applyAlignment="1" applyProtection="1">
      <alignment horizontal="left" wrapText="1"/>
      <protection hidden="1"/>
    </xf>
    <xf numFmtId="2" fontId="22" fillId="0" borderId="7" xfId="72" applyNumberFormat="1" applyFont="1" applyBorder="1" applyAlignment="1" applyProtection="1">
      <alignment horizontal="left" wrapText="1"/>
      <protection hidden="1"/>
    </xf>
  </cellXfs>
  <cellStyles count="88">
    <cellStyle name="20% - Accent1 2" xfId="27"/>
    <cellStyle name="20% - Accent2 2" xfId="28"/>
    <cellStyle name="20% - Accent3 2" xfId="29"/>
    <cellStyle name="20% - Accent4 2" xfId="30"/>
    <cellStyle name="20% - Accent5 2" xfId="31"/>
    <cellStyle name="20% - Accent6 2" xfId="32"/>
    <cellStyle name="40% - Accent1 2" xfId="33"/>
    <cellStyle name="40% - Accent2 2" xfId="34"/>
    <cellStyle name="40% - Accent3 2" xfId="35"/>
    <cellStyle name="40% - Accent4 2" xfId="36"/>
    <cellStyle name="40% - Accent5 2" xfId="37"/>
    <cellStyle name="40% - Accent6 2" xfId="38"/>
    <cellStyle name="60% - Accent1 2" xfId="39"/>
    <cellStyle name="60% - Accent2 2" xfId="40"/>
    <cellStyle name="60% - Accent3 2" xfId="41"/>
    <cellStyle name="60% - Accent4 2" xfId="42"/>
    <cellStyle name="60% - Accent5 2" xfId="43"/>
    <cellStyle name="60% - Accent6 2" xfId="44"/>
    <cellStyle name="Accent1 2" xfId="45"/>
    <cellStyle name="Accent2 2" xfId="46"/>
    <cellStyle name="Accent3 2" xfId="47"/>
    <cellStyle name="Accent4 2" xfId="48"/>
    <cellStyle name="Accent5 2" xfId="49"/>
    <cellStyle name="Accent6 2" xfId="50"/>
    <cellStyle name="Berekening 2" xfId="51"/>
    <cellStyle name="Comma [0]_AA BCR/ Basis ruimtestaat 13.0" xfId="1"/>
    <cellStyle name="Comma_AA BCR/ Basis ruimtestaat 13.0" xfId="2"/>
    <cellStyle name="Comma_CALCULATIEBLAD.XLS" xfId="3"/>
    <cellStyle name="Comma_Uurtarieven 2000 LEVERANCIER" xfId="4"/>
    <cellStyle name="Controlecel 2" xfId="52"/>
    <cellStyle name="Currency [0]_AA BCR/ Basis ruimtestaat 13.0" xfId="5"/>
    <cellStyle name="Currency_AA BCR/ Basis ruimtestaat 13.0" xfId="6"/>
    <cellStyle name="Currency_ATIR-Calc-Uurtarief 2001" xfId="7"/>
    <cellStyle name="Currency_CALCULATIEBLAD.XLS" xfId="8"/>
    <cellStyle name="Currency_MACHINEKST.xls" xfId="9"/>
    <cellStyle name="euro" xfId="53"/>
    <cellStyle name="euro 2" xfId="54"/>
    <cellStyle name="Followed Hyperlink_Aantal groepen per school.xls" xfId="10"/>
    <cellStyle name="Gekoppelde cel 2" xfId="55"/>
    <cellStyle name="Goed 2" xfId="56"/>
    <cellStyle name="invoer 2" xfId="57"/>
    <cellStyle name="Komma" xfId="11" builtinId="3"/>
    <cellStyle name="Komma [0]" xfId="12" builtinId="6"/>
    <cellStyle name="Komma 2" xfId="58"/>
    <cellStyle name="Komma 2 2" xfId="59"/>
    <cellStyle name="kop" xfId="60"/>
    <cellStyle name="Kop 1 2" xfId="61"/>
    <cellStyle name="Kop 2 2" xfId="62"/>
    <cellStyle name="Kop 3 2" xfId="63"/>
    <cellStyle name="Kop 4 2" xfId="64"/>
    <cellStyle name="Koppen_rekenblad" xfId="65"/>
    <cellStyle name="koppenrekenblad2" xfId="66"/>
    <cellStyle name="m2" xfId="67"/>
    <cellStyle name="Neutraal 2" xfId="68"/>
    <cellStyle name="Normaal_GLAS gegevens.xls" xfId="13"/>
    <cellStyle name="Normal_ KLM-CTR(STA)-Recap.xls" xfId="14"/>
    <cellStyle name="Normal_AFRPPRIJS.xls" xfId="15"/>
    <cellStyle name="Normal_ATIR-Calc-Uurtarief 2001" xfId="16"/>
    <cellStyle name="Normal_CALCULATIEBLAD.XLS" xfId="17"/>
    <cellStyle name="Normal_CALCULATIEBLAD.XLS 3" xfId="87"/>
    <cellStyle name="Normal_MACHINEKST.xls" xfId="18"/>
    <cellStyle name="Normal_Uurloonopbouw model Atir" xfId="19"/>
    <cellStyle name="Normal_Uurtarieven 2000 LEVERANCIER" xfId="20"/>
    <cellStyle name="Normal_Workbook1_AFRPPRIJS.xls" xfId="21"/>
    <cellStyle name="Notitie 2" xfId="69"/>
    <cellStyle name="Ongedefinieerd" xfId="22"/>
    <cellStyle name="Ongeldig 2" xfId="70"/>
    <cellStyle name="Procent" xfId="23" builtinId="5"/>
    <cellStyle name="Ruimtestaat_Koppen" xfId="71"/>
    <cellStyle name="Standaard" xfId="0" builtinId="0"/>
    <cellStyle name="Standaard 2" xfId="26"/>
    <cellStyle name="Standaard 2 2" xfId="72"/>
    <cellStyle name="Standaard 3" xfId="73"/>
    <cellStyle name="Standaard 3 2" xfId="74"/>
    <cellStyle name="Standaard 4" xfId="75"/>
    <cellStyle name="Standaard_Blad1" xfId="24"/>
    <cellStyle name="Titel 2" xfId="76"/>
    <cellStyle name="Totaal 2" xfId="77"/>
    <cellStyle name="Uitvoer 2" xfId="78"/>
    <cellStyle name="Valuta" xfId="25" builtinId="4"/>
    <cellStyle name="Valuta 2" xfId="79"/>
    <cellStyle name="Valuta 3" xfId="80"/>
    <cellStyle name="Valuta 4" xfId="81"/>
    <cellStyle name="Valuta euro rb" xfId="82"/>
    <cellStyle name="Valuta F rb" xfId="83"/>
    <cellStyle name="Valuta gulden rb" xfId="84"/>
    <cellStyle name="Verklarende tekst 2" xfId="85"/>
    <cellStyle name="Waarschuwingstekst 2" xfId="86"/>
  </cellStyles>
  <dxfs count="4">
    <dxf>
      <fill>
        <patternFill>
          <bgColor indexed="22"/>
        </patternFill>
      </fill>
    </dxf>
    <dxf>
      <numFmt numFmtId="2" formatCode="0.00"/>
    </dxf>
    <dxf>
      <numFmt numFmtId="182" formatCode="0.0"/>
    </dxf>
    <dxf>
      <numFmt numFmtId="1" formatCode="0"/>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TC2008SBS\AtirData\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showGridLines="0" workbookViewId="0">
      <selection activeCell="A3" sqref="A3"/>
    </sheetView>
  </sheetViews>
  <sheetFormatPr defaultColWidth="9.28515625" defaultRowHeight="12.75"/>
  <cols>
    <col min="1" max="2" width="18.5703125" customWidth="1"/>
    <col min="5" max="5" width="29.140625" customWidth="1"/>
    <col min="6" max="6" width="39.85546875" customWidth="1"/>
    <col min="7" max="7" width="65.140625" customWidth="1"/>
    <col min="8" max="10" width="15.7109375" customWidth="1"/>
    <col min="11" max="11" width="12.85546875" bestFit="1" customWidth="1"/>
    <col min="12" max="12" width="2.140625" customWidth="1"/>
    <col min="13" max="13" width="7.85546875" customWidth="1"/>
    <col min="14" max="14" width="27" bestFit="1" customWidth="1"/>
  </cols>
  <sheetData>
    <row r="1" spans="1:13" ht="18">
      <c r="A1" s="34" t="s">
        <v>278</v>
      </c>
      <c r="B1" s="501"/>
      <c r="H1" s="501"/>
      <c r="I1" s="501"/>
      <c r="J1" s="501"/>
      <c r="K1" s="502"/>
      <c r="L1" s="502"/>
      <c r="M1" s="502"/>
    </row>
    <row r="2" spans="1:13" ht="26.1" customHeight="1">
      <c r="A2" s="34"/>
      <c r="B2" s="503"/>
      <c r="H2" s="503"/>
      <c r="I2" s="503"/>
      <c r="J2" s="503"/>
      <c r="K2" s="504"/>
      <c r="L2" s="504"/>
      <c r="M2" s="504"/>
    </row>
    <row r="3" spans="1:13" ht="18">
      <c r="A3" s="34" t="s">
        <v>279</v>
      </c>
      <c r="B3" s="505"/>
      <c r="H3" s="506"/>
      <c r="I3" s="507"/>
      <c r="J3" s="506"/>
      <c r="K3" s="508"/>
      <c r="L3" s="508"/>
      <c r="M3" s="509"/>
    </row>
    <row r="4" spans="1:13" s="514" customFormat="1" ht="33.75" customHeight="1">
      <c r="A4" s="767" t="s">
        <v>280</v>
      </c>
      <c r="B4" s="767"/>
      <c r="C4" s="767"/>
      <c r="D4" s="767"/>
      <c r="E4" s="767"/>
      <c r="F4" s="767"/>
      <c r="H4" s="510"/>
      <c r="I4" s="511"/>
      <c r="J4" s="510"/>
      <c r="K4" s="512"/>
      <c r="L4" s="512"/>
      <c r="M4" s="513"/>
    </row>
    <row r="5" spans="1:13" s="514" customFormat="1" ht="41.25" customHeight="1">
      <c r="A5" s="767" t="s">
        <v>281</v>
      </c>
      <c r="B5" s="767"/>
      <c r="C5" s="767"/>
      <c r="D5" s="767"/>
      <c r="E5" s="767"/>
      <c r="F5" s="767"/>
      <c r="H5" s="511"/>
      <c r="I5" s="515"/>
      <c r="J5" s="511"/>
      <c r="K5" s="512"/>
      <c r="L5" s="512"/>
      <c r="M5" s="513"/>
    </row>
    <row r="6" spans="1:13" ht="13.5" thickBot="1">
      <c r="A6" s="37" t="s">
        <v>282</v>
      </c>
      <c r="H6" s="507"/>
      <c r="I6" s="516"/>
      <c r="J6" s="507"/>
      <c r="K6" s="508"/>
      <c r="L6" s="508"/>
      <c r="M6" s="509"/>
    </row>
    <row r="7" spans="1:13" ht="13.5" thickBot="1">
      <c r="A7" s="517" t="s">
        <v>283</v>
      </c>
      <c r="B7" s="772" t="s">
        <v>270</v>
      </c>
      <c r="C7" s="773"/>
      <c r="D7" s="773"/>
      <c r="E7" s="774"/>
      <c r="H7" s="507"/>
      <c r="I7" s="516"/>
      <c r="J7" s="507"/>
      <c r="K7" s="518"/>
      <c r="L7" s="519"/>
      <c r="M7" s="520"/>
    </row>
    <row r="8" spans="1:13" ht="13.5" customHeight="1" thickBot="1">
      <c r="A8" s="542" t="s">
        <v>284</v>
      </c>
      <c r="B8" s="764" t="s">
        <v>285</v>
      </c>
      <c r="C8" s="765"/>
      <c r="D8" s="765"/>
      <c r="E8" s="766"/>
      <c r="H8" s="507"/>
      <c r="I8" s="516"/>
      <c r="J8" s="507"/>
      <c r="K8" s="518"/>
      <c r="L8" s="519"/>
      <c r="M8" s="522"/>
    </row>
    <row r="9" spans="1:13" ht="13.5" customHeight="1" thickBot="1">
      <c r="A9" s="540" t="s">
        <v>286</v>
      </c>
      <c r="B9" s="769" t="s">
        <v>287</v>
      </c>
      <c r="C9" s="778"/>
      <c r="D9" s="778"/>
      <c r="E9" s="779"/>
      <c r="H9" s="523"/>
      <c r="I9" s="507"/>
      <c r="J9" s="523"/>
      <c r="K9" s="524"/>
      <c r="L9" s="519"/>
      <c r="M9" s="525"/>
    </row>
    <row r="10" spans="1:13" ht="13.5" customHeight="1" thickBot="1">
      <c r="A10" s="540" t="s">
        <v>288</v>
      </c>
      <c r="B10" s="764" t="s">
        <v>289</v>
      </c>
      <c r="C10" s="765"/>
      <c r="D10" s="765"/>
      <c r="E10" s="766"/>
      <c r="H10" s="526"/>
      <c r="I10" s="507"/>
      <c r="J10" s="526"/>
      <c r="K10" s="527"/>
      <c r="L10" s="519"/>
      <c r="M10" s="525"/>
    </row>
    <row r="11" spans="1:13" ht="13.5" customHeight="1" thickBot="1">
      <c r="A11" s="540" t="s">
        <v>290</v>
      </c>
      <c r="B11" s="769" t="s">
        <v>291</v>
      </c>
      <c r="C11" s="778"/>
      <c r="D11" s="778"/>
      <c r="E11" s="779"/>
      <c r="H11" s="528"/>
      <c r="I11" s="507"/>
      <c r="J11" s="528"/>
      <c r="K11" s="524"/>
      <c r="L11" s="519"/>
      <c r="M11" s="525"/>
    </row>
    <row r="12" spans="1:13" ht="13.5" customHeight="1" thickBot="1">
      <c r="A12" s="540" t="s">
        <v>92</v>
      </c>
      <c r="B12" s="764" t="s">
        <v>292</v>
      </c>
      <c r="C12" s="765"/>
      <c r="D12" s="765"/>
      <c r="E12" s="766"/>
      <c r="H12" s="528"/>
      <c r="I12" s="507"/>
      <c r="J12" s="528"/>
      <c r="K12" s="524"/>
      <c r="L12" s="519"/>
      <c r="M12" s="525"/>
    </row>
    <row r="13" spans="1:13" ht="13.5" customHeight="1" thickBot="1">
      <c r="A13" s="540" t="s">
        <v>293</v>
      </c>
      <c r="B13" s="769" t="s">
        <v>294</v>
      </c>
      <c r="C13" s="778"/>
      <c r="D13" s="778"/>
      <c r="E13" s="779"/>
      <c r="H13" s="529"/>
      <c r="I13" s="529"/>
      <c r="J13" s="529"/>
      <c r="K13" s="530"/>
      <c r="L13" s="502"/>
      <c r="M13" s="502"/>
    </row>
    <row r="14" spans="1:13" ht="13.5" customHeight="1" thickBot="1">
      <c r="A14" s="540" t="s">
        <v>295</v>
      </c>
      <c r="B14" s="764" t="s">
        <v>296</v>
      </c>
      <c r="C14" s="765"/>
      <c r="D14" s="765"/>
      <c r="E14" s="766"/>
      <c r="H14" s="531"/>
      <c r="I14" s="531"/>
      <c r="J14" s="531"/>
      <c r="K14" s="502"/>
      <c r="L14" s="502"/>
      <c r="M14" s="502"/>
    </row>
    <row r="15" spans="1:13" ht="13.5" customHeight="1" thickBot="1">
      <c r="A15" s="540" t="s">
        <v>297</v>
      </c>
      <c r="B15" s="769" t="s">
        <v>298</v>
      </c>
      <c r="C15" s="778"/>
      <c r="D15" s="778"/>
      <c r="E15" s="779"/>
      <c r="H15" s="532"/>
      <c r="I15" s="533"/>
      <c r="J15" s="533"/>
      <c r="K15" s="502"/>
      <c r="L15" s="502"/>
      <c r="M15" s="502"/>
    </row>
    <row r="16" spans="1:13" ht="13.5" customHeight="1" thickBot="1">
      <c r="A16" s="540" t="s">
        <v>299</v>
      </c>
      <c r="B16" s="764" t="s">
        <v>300</v>
      </c>
      <c r="C16" s="765"/>
      <c r="D16" s="765"/>
      <c r="E16" s="766"/>
      <c r="H16" s="534"/>
      <c r="I16" s="534"/>
      <c r="J16" s="534"/>
      <c r="K16" s="535"/>
      <c r="L16" s="535"/>
      <c r="M16" s="535"/>
    </row>
    <row r="17" spans="1:6" ht="13.5" customHeight="1" thickBot="1">
      <c r="A17" s="540" t="s">
        <v>301</v>
      </c>
      <c r="B17" s="545" t="s">
        <v>302</v>
      </c>
      <c r="C17" s="543"/>
      <c r="D17" s="543"/>
      <c r="E17" s="544"/>
    </row>
    <row r="18" spans="1:6" ht="13.5" customHeight="1" thickBot="1">
      <c r="A18" s="540" t="s">
        <v>303</v>
      </c>
      <c r="B18" s="758" t="s">
        <v>304</v>
      </c>
      <c r="C18" s="759"/>
      <c r="D18" s="759"/>
      <c r="E18" s="760"/>
    </row>
    <row r="19" spans="1:6" ht="13.5" customHeight="1" thickBot="1">
      <c r="A19" s="540" t="s">
        <v>305</v>
      </c>
      <c r="B19" s="769" t="s">
        <v>306</v>
      </c>
      <c r="C19" s="770"/>
      <c r="D19" s="770"/>
      <c r="E19" s="771"/>
    </row>
    <row r="20" spans="1:6" ht="13.5" customHeight="1" thickBot="1">
      <c r="A20" s="540" t="s">
        <v>91</v>
      </c>
      <c r="B20" s="764" t="s">
        <v>307</v>
      </c>
      <c r="C20" s="765"/>
      <c r="D20" s="765"/>
      <c r="E20" s="766"/>
    </row>
    <row r="21" spans="1:6" ht="13.5" customHeight="1" thickBot="1">
      <c r="A21" s="540" t="s">
        <v>107</v>
      </c>
      <c r="B21" s="775" t="s">
        <v>308</v>
      </c>
      <c r="C21" s="776"/>
      <c r="D21" s="776"/>
      <c r="E21" s="777"/>
    </row>
    <row r="22" spans="1:6">
      <c r="A22" s="37"/>
    </row>
    <row r="23" spans="1:6" ht="12.75" customHeight="1">
      <c r="A23" s="767" t="s">
        <v>309</v>
      </c>
      <c r="B23" s="767"/>
      <c r="C23" s="767"/>
      <c r="D23" s="767"/>
      <c r="E23" s="767"/>
      <c r="F23" s="767"/>
    </row>
    <row r="24" spans="1:6">
      <c r="A24" s="767"/>
      <c r="B24" s="767"/>
      <c r="C24" s="767"/>
      <c r="D24" s="767"/>
      <c r="E24" s="767"/>
      <c r="F24" s="767"/>
    </row>
    <row r="25" spans="1:6">
      <c r="A25" s="536"/>
    </row>
    <row r="26" spans="1:6" ht="18">
      <c r="A26" s="34" t="s">
        <v>310</v>
      </c>
    </row>
    <row r="27" spans="1:6">
      <c r="A27" s="37" t="s">
        <v>311</v>
      </c>
    </row>
    <row r="28" spans="1:6" ht="13.5" thickBot="1">
      <c r="A28" s="37"/>
    </row>
    <row r="29" spans="1:6" ht="26.25" thickBot="1">
      <c r="A29" s="517" t="s">
        <v>312</v>
      </c>
      <c r="B29" s="761" t="s">
        <v>270</v>
      </c>
      <c r="C29" s="762"/>
      <c r="D29" s="763"/>
    </row>
    <row r="30" spans="1:6" ht="13.5" customHeight="1" thickBot="1">
      <c r="A30" s="541">
        <v>365</v>
      </c>
      <c r="B30" s="764" t="s">
        <v>318</v>
      </c>
      <c r="C30" s="765"/>
      <c r="D30" s="766"/>
    </row>
    <row r="31" spans="1:6" ht="13.5" customHeight="1" thickBot="1">
      <c r="A31" s="521">
        <v>255</v>
      </c>
      <c r="B31" s="764" t="s">
        <v>317</v>
      </c>
      <c r="C31" s="765"/>
      <c r="D31" s="766"/>
    </row>
    <row r="32" spans="1:6" ht="13.5" customHeight="1" thickBot="1">
      <c r="A32" s="521">
        <v>156</v>
      </c>
      <c r="B32" s="764" t="s">
        <v>319</v>
      </c>
      <c r="C32" s="765"/>
      <c r="D32" s="766"/>
    </row>
    <row r="33" spans="1:7" ht="13.5" customHeight="1" thickBot="1">
      <c r="A33" s="521">
        <v>130</v>
      </c>
      <c r="B33" s="764" t="s">
        <v>320</v>
      </c>
      <c r="C33" s="765"/>
      <c r="D33" s="766"/>
    </row>
    <row r="34" spans="1:7" ht="13.5" customHeight="1" thickBot="1">
      <c r="A34" s="521">
        <v>104</v>
      </c>
      <c r="B34" s="764" t="s">
        <v>313</v>
      </c>
      <c r="C34" s="765"/>
      <c r="D34" s="766"/>
    </row>
    <row r="35" spans="1:7" ht="13.5" customHeight="1" thickBot="1">
      <c r="A35" s="521">
        <v>52</v>
      </c>
      <c r="B35" s="764" t="s">
        <v>248</v>
      </c>
      <c r="C35" s="765"/>
      <c r="D35" s="766"/>
    </row>
    <row r="36" spans="1:7" ht="13.5" customHeight="1" thickBot="1">
      <c r="A36" s="521">
        <v>12</v>
      </c>
      <c r="B36" s="764" t="s">
        <v>321</v>
      </c>
      <c r="C36" s="765"/>
      <c r="D36" s="766"/>
    </row>
    <row r="37" spans="1:7" ht="13.5" customHeight="1" thickBot="1">
      <c r="A37" s="521">
        <v>4</v>
      </c>
      <c r="B37" s="764" t="s">
        <v>314</v>
      </c>
      <c r="C37" s="765"/>
      <c r="D37" s="766"/>
    </row>
    <row r="38" spans="1:7">
      <c r="A38" s="537"/>
      <c r="B38" s="537"/>
    </row>
    <row r="39" spans="1:7" ht="18">
      <c r="A39" s="34" t="s">
        <v>315</v>
      </c>
    </row>
    <row r="40" spans="1:7" ht="12.75" customHeight="1">
      <c r="A40" s="767" t="s">
        <v>316</v>
      </c>
      <c r="B40" s="767"/>
      <c r="C40" s="767"/>
      <c r="D40" s="767"/>
      <c r="E40" s="767"/>
      <c r="F40" s="767"/>
    </row>
    <row r="41" spans="1:7">
      <c r="A41" s="767"/>
      <c r="B41" s="767"/>
      <c r="C41" s="767"/>
      <c r="D41" s="767"/>
      <c r="E41" s="767"/>
      <c r="F41" s="767"/>
    </row>
    <row r="42" spans="1:7">
      <c r="A42" s="767"/>
      <c r="B42" s="767"/>
      <c r="C42" s="767"/>
      <c r="D42" s="767"/>
      <c r="E42" s="767"/>
      <c r="F42" s="767"/>
    </row>
    <row r="43" spans="1:7">
      <c r="A43" s="767"/>
      <c r="B43" s="767"/>
      <c r="C43" s="767"/>
      <c r="D43" s="767"/>
      <c r="E43" s="767"/>
      <c r="F43" s="767"/>
    </row>
    <row r="44" spans="1:7" ht="39" customHeight="1">
      <c r="A44" s="767"/>
      <c r="B44" s="767"/>
      <c r="C44" s="767"/>
      <c r="D44" s="767"/>
      <c r="E44" s="767"/>
      <c r="F44" s="767"/>
    </row>
    <row r="45" spans="1:7">
      <c r="F45" s="536"/>
      <c r="G45" s="536"/>
    </row>
    <row r="47" spans="1:7">
      <c r="F47" s="768"/>
      <c r="G47" s="768"/>
    </row>
    <row r="48" spans="1:7">
      <c r="F48" s="768"/>
      <c r="G48" s="768"/>
    </row>
    <row r="49" spans="6:7">
      <c r="F49" s="768"/>
      <c r="G49" s="768"/>
    </row>
    <row r="50" spans="6:7">
      <c r="F50" s="768"/>
      <c r="G50" s="768"/>
    </row>
    <row r="51" spans="6:7">
      <c r="F51" s="768"/>
      <c r="G51" s="768"/>
    </row>
    <row r="57" spans="6:7">
      <c r="F57" s="538"/>
      <c r="G57" s="539"/>
    </row>
  </sheetData>
  <mergeCells count="28">
    <mergeCell ref="F47:G51"/>
    <mergeCell ref="A4:F4"/>
    <mergeCell ref="A5:F5"/>
    <mergeCell ref="B19:E19"/>
    <mergeCell ref="B7:E7"/>
    <mergeCell ref="B20:E20"/>
    <mergeCell ref="B21:E21"/>
    <mergeCell ref="B16:E16"/>
    <mergeCell ref="B15:E15"/>
    <mergeCell ref="B14:E14"/>
    <mergeCell ref="B13:E13"/>
    <mergeCell ref="B12:E12"/>
    <mergeCell ref="B11:E11"/>
    <mergeCell ref="B10:E10"/>
    <mergeCell ref="B9:E9"/>
    <mergeCell ref="B8:E8"/>
    <mergeCell ref="B18:E18"/>
    <mergeCell ref="B29:D29"/>
    <mergeCell ref="B34:D34"/>
    <mergeCell ref="A23:F24"/>
    <mergeCell ref="A40:F44"/>
    <mergeCell ref="B31:D31"/>
    <mergeCell ref="B30:D30"/>
    <mergeCell ref="B32:D32"/>
    <mergeCell ref="B33:D33"/>
    <mergeCell ref="B35:D35"/>
    <mergeCell ref="B36:D36"/>
    <mergeCell ref="B37:D37"/>
  </mergeCells>
  <pageMargins left="0.70866141732283472" right="0.70866141732283472" top="0.74803149606299213" bottom="0.74803149606299213" header="0.31496062992125984" footer="0.31496062992125984"/>
  <pageSetup paperSize="9" scale="7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D120"/>
  <sheetViews>
    <sheetView showGridLines="0" showZeros="0" workbookViewId="0">
      <pane ySplit="10" topLeftCell="A62" activePane="bottomLeft" state="frozen"/>
      <selection sqref="A1:XFD1048576"/>
      <selection pane="bottomLeft" activeCell="F120" sqref="F120"/>
    </sheetView>
  </sheetViews>
  <sheetFormatPr defaultColWidth="11.42578125" defaultRowHeight="12.75"/>
  <cols>
    <col min="1" max="1" width="42.42578125" style="37" customWidth="1"/>
    <col min="2" max="2" width="37.140625" style="37" bestFit="1" customWidth="1"/>
    <col min="3" max="3" width="11.42578125" style="37"/>
    <col min="4" max="4" width="15.42578125" style="37" customWidth="1"/>
    <col min="5" max="16384" width="11.42578125" style="37"/>
  </cols>
  <sheetData>
    <row r="3" spans="1:4" ht="15">
      <c r="A3" s="150" t="str">
        <f>'1-Contractblad'!A3</f>
        <v>Naam opdrachtgever</v>
      </c>
      <c r="B3" s="151" t="str">
        <f>'1-Contractblad'!B3</f>
        <v>LMC</v>
      </c>
      <c r="C3" s="152"/>
      <c r="D3" s="152"/>
    </row>
    <row r="4" spans="1:4" ht="15">
      <c r="A4" s="150" t="str">
        <f>'1-Contractblad'!A4</f>
        <v>Calculatie onderdeel</v>
      </c>
      <c r="B4" s="151" t="s">
        <v>80</v>
      </c>
      <c r="C4" s="152"/>
      <c r="D4" s="152"/>
    </row>
    <row r="5" spans="1:4" ht="15">
      <c r="A5" s="150" t="str">
        <f>'1-Contractblad'!A5</f>
        <v>Gebouw/plaats</v>
      </c>
      <c r="B5" s="151" t="str">
        <f>'1-Contractblad'!B5</f>
        <v>Rotterdam</v>
      </c>
      <c r="C5" s="152"/>
      <c r="D5" s="152"/>
    </row>
    <row r="6" spans="1:4" ht="15">
      <c r="A6" s="150" t="str">
        <f>'1-Contractblad'!A6</f>
        <v>Besteknummer</v>
      </c>
      <c r="B6" s="151" t="str">
        <f>'1-Contractblad'!B6</f>
        <v>LMC-EA-JV-2014</v>
      </c>
      <c r="C6" s="152"/>
      <c r="D6" s="152"/>
    </row>
    <row r="7" spans="1:4" ht="15">
      <c r="A7" s="150" t="str">
        <f>'1-Contractblad'!A7</f>
        <v>Naam leverancier</v>
      </c>
      <c r="B7" s="151">
        <f>'1-Contractblad'!B7</f>
        <v>0</v>
      </c>
      <c r="C7" s="152"/>
      <c r="D7" s="152"/>
    </row>
    <row r="8" spans="1:4" ht="15">
      <c r="A8" s="150" t="str">
        <f>'1-Contractblad'!A8</f>
        <v>Prijspeil</v>
      </c>
      <c r="B8" s="153">
        <f>'1-Contractblad'!B8</f>
        <v>2014</v>
      </c>
      <c r="C8" s="152"/>
      <c r="D8" s="152"/>
    </row>
    <row r="9" spans="1:4" ht="15">
      <c r="A9" s="84"/>
      <c r="B9" s="154"/>
      <c r="C9" s="152"/>
      <c r="D9" s="152"/>
    </row>
    <row r="10" spans="1:4" ht="15">
      <c r="A10" s="155" t="s">
        <v>268</v>
      </c>
      <c r="B10" s="156"/>
      <c r="C10" s="156"/>
      <c r="D10" s="157"/>
    </row>
    <row r="11" spans="1:4">
      <c r="A11" s="158"/>
      <c r="B11" s="158"/>
      <c r="C11" s="158"/>
      <c r="D11" s="158"/>
    </row>
    <row r="12" spans="1:4" ht="27.75" customHeight="1">
      <c r="A12" s="159" t="s">
        <v>269</v>
      </c>
      <c r="B12" s="160"/>
      <c r="C12" s="663"/>
      <c r="D12" s="664"/>
    </row>
    <row r="13" spans="1:4" ht="21.75" customHeight="1">
      <c r="A13" s="161" t="s">
        <v>270</v>
      </c>
      <c r="B13" s="162"/>
      <c r="C13" s="665"/>
      <c r="D13" s="666"/>
    </row>
    <row r="14" spans="1:4">
      <c r="A14" s="163"/>
      <c r="B14" s="667"/>
      <c r="C14" s="668"/>
      <c r="D14" s="669"/>
    </row>
    <row r="15" spans="1:4" ht="15">
      <c r="A15" s="164" t="s">
        <v>46</v>
      </c>
      <c r="B15" s="670"/>
      <c r="C15" s="671"/>
      <c r="D15" s="672" t="s">
        <v>7</v>
      </c>
    </row>
    <row r="16" spans="1:4">
      <c r="A16" s="105" t="s">
        <v>81</v>
      </c>
      <c r="B16" s="670"/>
      <c r="C16" s="673"/>
      <c r="D16" s="674"/>
    </row>
    <row r="17" spans="1:4">
      <c r="A17" s="105" t="s">
        <v>150</v>
      </c>
      <c r="B17" s="670"/>
      <c r="C17" s="673"/>
      <c r="D17" s="674"/>
    </row>
    <row r="18" spans="1:4">
      <c r="A18" s="105" t="s">
        <v>195</v>
      </c>
      <c r="B18" s="670"/>
      <c r="C18" s="673"/>
      <c r="D18" s="675">
        <f>D16-D17</f>
        <v>0</v>
      </c>
    </row>
    <row r="19" spans="1:4">
      <c r="A19" s="105" t="s">
        <v>200</v>
      </c>
      <c r="B19" s="670"/>
      <c r="C19" s="673"/>
      <c r="D19" s="676"/>
    </row>
    <row r="20" spans="1:4">
      <c r="A20" s="105" t="s">
        <v>197</v>
      </c>
      <c r="B20" s="670"/>
      <c r="C20" s="673"/>
      <c r="D20" s="674"/>
    </row>
    <row r="21" spans="1:4">
      <c r="A21" s="163"/>
      <c r="B21" s="667"/>
      <c r="C21" s="668"/>
      <c r="D21" s="669"/>
    </row>
    <row r="22" spans="1:4">
      <c r="A22" s="164" t="s">
        <v>174</v>
      </c>
      <c r="B22" s="670"/>
      <c r="C22" s="673"/>
      <c r="D22" s="677"/>
    </row>
    <row r="23" spans="1:4">
      <c r="A23" s="105" t="s">
        <v>152</v>
      </c>
      <c r="B23" s="670"/>
      <c r="C23" s="673"/>
      <c r="D23" s="675">
        <f>IF(D19=0,0,(D18-D20)/D19)</f>
        <v>0</v>
      </c>
    </row>
    <row r="24" spans="1:4">
      <c r="A24" s="105" t="s">
        <v>129</v>
      </c>
      <c r="B24" s="670"/>
      <c r="C24" s="673"/>
      <c r="D24" s="674"/>
    </row>
    <row r="25" spans="1:4">
      <c r="A25" s="105" t="s">
        <v>164</v>
      </c>
      <c r="B25" s="670"/>
      <c r="C25" s="678"/>
      <c r="D25" s="675">
        <f>C25*D18</f>
        <v>0</v>
      </c>
    </row>
    <row r="26" spans="1:4">
      <c r="A26" s="105" t="s">
        <v>209</v>
      </c>
      <c r="B26" s="670"/>
      <c r="C26" s="678"/>
      <c r="D26" s="675">
        <f>C26*D18</f>
        <v>0</v>
      </c>
    </row>
    <row r="27" spans="1:4">
      <c r="A27" s="163"/>
      <c r="B27" s="667"/>
      <c r="C27" s="668"/>
      <c r="D27" s="669"/>
    </row>
    <row r="28" spans="1:4">
      <c r="A28" s="164" t="s">
        <v>49</v>
      </c>
      <c r="B28" s="670"/>
      <c r="C28" s="673"/>
      <c r="D28" s="679">
        <f>SUM(D23:D27)</f>
        <v>0</v>
      </c>
    </row>
    <row r="29" spans="1:4">
      <c r="A29" s="163"/>
      <c r="B29" s="667"/>
      <c r="C29" s="668"/>
      <c r="D29" s="669"/>
    </row>
    <row r="30" spans="1:4">
      <c r="A30" s="105" t="s">
        <v>103</v>
      </c>
      <c r="B30" s="670"/>
      <c r="C30" s="680"/>
      <c r="D30" s="675">
        <f>C30*D28</f>
        <v>0</v>
      </c>
    </row>
    <row r="31" spans="1:4" ht="15">
      <c r="A31" s="84"/>
      <c r="B31" s="681"/>
      <c r="C31" s="682"/>
      <c r="D31" s="682"/>
    </row>
    <row r="32" spans="1:4" ht="27.75" customHeight="1">
      <c r="A32" s="159" t="s">
        <v>269</v>
      </c>
      <c r="B32" s="160"/>
      <c r="C32" s="663"/>
      <c r="D32" s="664"/>
    </row>
    <row r="33" spans="1:4" ht="21.75" customHeight="1">
      <c r="A33" s="161" t="s">
        <v>270</v>
      </c>
      <c r="B33" s="162"/>
      <c r="C33" s="665"/>
      <c r="D33" s="666"/>
    </row>
    <row r="34" spans="1:4">
      <c r="A34" s="163"/>
      <c r="B34" s="667"/>
      <c r="C34" s="668"/>
      <c r="D34" s="669"/>
    </row>
    <row r="35" spans="1:4" ht="15">
      <c r="A35" s="164" t="s">
        <v>46</v>
      </c>
      <c r="B35" s="670"/>
      <c r="C35" s="671"/>
      <c r="D35" s="672" t="s">
        <v>7</v>
      </c>
    </row>
    <row r="36" spans="1:4">
      <c r="A36" s="105" t="s">
        <v>81</v>
      </c>
      <c r="B36" s="670"/>
      <c r="C36" s="673"/>
      <c r="D36" s="674"/>
    </row>
    <row r="37" spans="1:4">
      <c r="A37" s="105" t="s">
        <v>150</v>
      </c>
      <c r="B37" s="670"/>
      <c r="C37" s="673"/>
      <c r="D37" s="674"/>
    </row>
    <row r="38" spans="1:4">
      <c r="A38" s="105" t="s">
        <v>195</v>
      </c>
      <c r="B38" s="670"/>
      <c r="C38" s="673"/>
      <c r="D38" s="675">
        <f>D36-D37</f>
        <v>0</v>
      </c>
    </row>
    <row r="39" spans="1:4">
      <c r="A39" s="105" t="s">
        <v>200</v>
      </c>
      <c r="B39" s="670"/>
      <c r="C39" s="673"/>
      <c r="D39" s="676"/>
    </row>
    <row r="40" spans="1:4">
      <c r="A40" s="105" t="s">
        <v>197</v>
      </c>
      <c r="B40" s="670"/>
      <c r="C40" s="673"/>
      <c r="D40" s="674"/>
    </row>
    <row r="41" spans="1:4">
      <c r="A41" s="163"/>
      <c r="B41" s="667"/>
      <c r="C41" s="668"/>
      <c r="D41" s="669"/>
    </row>
    <row r="42" spans="1:4">
      <c r="A42" s="164" t="s">
        <v>174</v>
      </c>
      <c r="B42" s="670"/>
      <c r="C42" s="673"/>
      <c r="D42" s="677"/>
    </row>
    <row r="43" spans="1:4">
      <c r="A43" s="105" t="s">
        <v>152</v>
      </c>
      <c r="B43" s="670"/>
      <c r="C43" s="673"/>
      <c r="D43" s="675">
        <f>IF(D39=0,0,(D38-D40)/D39)</f>
        <v>0</v>
      </c>
    </row>
    <row r="44" spans="1:4">
      <c r="A44" s="105" t="s">
        <v>129</v>
      </c>
      <c r="B44" s="670"/>
      <c r="C44" s="673"/>
      <c r="D44" s="674"/>
    </row>
    <row r="45" spans="1:4">
      <c r="A45" s="105" t="s">
        <v>164</v>
      </c>
      <c r="B45" s="670"/>
      <c r="C45" s="678"/>
      <c r="D45" s="675">
        <f>C45*D38</f>
        <v>0</v>
      </c>
    </row>
    <row r="46" spans="1:4">
      <c r="A46" s="105" t="s">
        <v>209</v>
      </c>
      <c r="B46" s="670"/>
      <c r="C46" s="678"/>
      <c r="D46" s="675">
        <f>C46*D38</f>
        <v>0</v>
      </c>
    </row>
    <row r="47" spans="1:4">
      <c r="A47" s="163"/>
      <c r="B47" s="667"/>
      <c r="C47" s="668"/>
      <c r="D47" s="669"/>
    </row>
    <row r="48" spans="1:4">
      <c r="A48" s="164" t="s">
        <v>49</v>
      </c>
      <c r="B48" s="670"/>
      <c r="C48" s="673"/>
      <c r="D48" s="679">
        <f>SUM(D43:D47)</f>
        <v>0</v>
      </c>
    </row>
    <row r="49" spans="1:4">
      <c r="A49" s="163"/>
      <c r="B49" s="667"/>
      <c r="C49" s="668"/>
      <c r="D49" s="669"/>
    </row>
    <row r="50" spans="1:4">
      <c r="A50" s="105" t="s">
        <v>103</v>
      </c>
      <c r="B50" s="670"/>
      <c r="C50" s="680"/>
      <c r="D50" s="675">
        <f>C50*D48</f>
        <v>0</v>
      </c>
    </row>
    <row r="51" spans="1:4">
      <c r="A51" s="165"/>
      <c r="B51" s="683"/>
      <c r="C51" s="684"/>
      <c r="D51" s="685"/>
    </row>
    <row r="52" spans="1:4" ht="27.75" customHeight="1">
      <c r="A52" s="159" t="s">
        <v>269</v>
      </c>
      <c r="B52" s="160"/>
      <c r="C52" s="663"/>
      <c r="D52" s="664"/>
    </row>
    <row r="53" spans="1:4" ht="21.75" customHeight="1">
      <c r="A53" s="161" t="s">
        <v>270</v>
      </c>
      <c r="B53" s="162"/>
      <c r="C53" s="665"/>
      <c r="D53" s="666"/>
    </row>
    <row r="54" spans="1:4">
      <c r="A54" s="163"/>
      <c r="B54" s="667"/>
      <c r="C54" s="668"/>
      <c r="D54" s="669"/>
    </row>
    <row r="55" spans="1:4" ht="15">
      <c r="A55" s="164" t="s">
        <v>46</v>
      </c>
      <c r="B55" s="670"/>
      <c r="C55" s="671"/>
      <c r="D55" s="672" t="s">
        <v>7</v>
      </c>
    </row>
    <row r="56" spans="1:4">
      <c r="A56" s="105" t="s">
        <v>81</v>
      </c>
      <c r="B56" s="670"/>
      <c r="C56" s="673"/>
      <c r="D56" s="674"/>
    </row>
    <row r="57" spans="1:4">
      <c r="A57" s="105" t="s">
        <v>150</v>
      </c>
      <c r="B57" s="670"/>
      <c r="C57" s="673"/>
      <c r="D57" s="674"/>
    </row>
    <row r="58" spans="1:4">
      <c r="A58" s="105" t="s">
        <v>195</v>
      </c>
      <c r="B58" s="670"/>
      <c r="C58" s="673"/>
      <c r="D58" s="675">
        <f>D56-D57</f>
        <v>0</v>
      </c>
    </row>
    <row r="59" spans="1:4">
      <c r="A59" s="105" t="s">
        <v>200</v>
      </c>
      <c r="B59" s="670"/>
      <c r="C59" s="673"/>
      <c r="D59" s="676"/>
    </row>
    <row r="60" spans="1:4">
      <c r="A60" s="105" t="s">
        <v>197</v>
      </c>
      <c r="B60" s="670"/>
      <c r="C60" s="673"/>
      <c r="D60" s="674"/>
    </row>
    <row r="61" spans="1:4">
      <c r="A61" s="163"/>
      <c r="B61" s="667"/>
      <c r="C61" s="668"/>
      <c r="D61" s="669"/>
    </row>
    <row r="62" spans="1:4">
      <c r="A62" s="164" t="s">
        <v>174</v>
      </c>
      <c r="B62" s="670"/>
      <c r="C62" s="673"/>
      <c r="D62" s="677"/>
    </row>
    <row r="63" spans="1:4">
      <c r="A63" s="105" t="s">
        <v>152</v>
      </c>
      <c r="B63" s="670"/>
      <c r="C63" s="673"/>
      <c r="D63" s="675">
        <f>IF(D59=0,0,(D58-D60)/D59)</f>
        <v>0</v>
      </c>
    </row>
    <row r="64" spans="1:4">
      <c r="A64" s="105" t="s">
        <v>129</v>
      </c>
      <c r="B64" s="670"/>
      <c r="C64" s="673"/>
      <c r="D64" s="674"/>
    </row>
    <row r="65" spans="1:4">
      <c r="A65" s="105" t="s">
        <v>164</v>
      </c>
      <c r="B65" s="670"/>
      <c r="C65" s="678"/>
      <c r="D65" s="675">
        <f>C65*D58</f>
        <v>0</v>
      </c>
    </row>
    <row r="66" spans="1:4">
      <c r="A66" s="105" t="s">
        <v>209</v>
      </c>
      <c r="B66" s="670"/>
      <c r="C66" s="678"/>
      <c r="D66" s="675">
        <f>C66*D58</f>
        <v>0</v>
      </c>
    </row>
    <row r="67" spans="1:4">
      <c r="A67" s="163"/>
      <c r="B67" s="667"/>
      <c r="C67" s="668"/>
      <c r="D67" s="669"/>
    </row>
    <row r="68" spans="1:4">
      <c r="A68" s="164" t="s">
        <v>49</v>
      </c>
      <c r="B68" s="670"/>
      <c r="C68" s="673"/>
      <c r="D68" s="679">
        <f>SUM(D63:D67)</f>
        <v>0</v>
      </c>
    </row>
    <row r="69" spans="1:4">
      <c r="A69" s="163"/>
      <c r="B69" s="667"/>
      <c r="C69" s="668"/>
      <c r="D69" s="669"/>
    </row>
    <row r="70" spans="1:4">
      <c r="A70" s="105" t="s">
        <v>103</v>
      </c>
      <c r="B70" s="670"/>
      <c r="C70" s="680"/>
      <c r="D70" s="675">
        <f>C70*D68</f>
        <v>0</v>
      </c>
    </row>
    <row r="71" spans="1:4">
      <c r="A71" s="165"/>
      <c r="B71" s="683"/>
      <c r="C71" s="684"/>
      <c r="D71" s="685"/>
    </row>
    <row r="72" spans="1:4" ht="27.75" customHeight="1">
      <c r="A72" s="159" t="s">
        <v>269</v>
      </c>
      <c r="B72" s="160"/>
      <c r="C72" s="663"/>
      <c r="D72" s="664"/>
    </row>
    <row r="73" spans="1:4" ht="21.75" customHeight="1">
      <c r="A73" s="161" t="s">
        <v>270</v>
      </c>
      <c r="B73" s="162"/>
      <c r="C73" s="665"/>
      <c r="D73" s="666"/>
    </row>
    <row r="74" spans="1:4">
      <c r="A74" s="163"/>
      <c r="B74" s="667"/>
      <c r="C74" s="668"/>
      <c r="D74" s="669"/>
    </row>
    <row r="75" spans="1:4" ht="15">
      <c r="A75" s="164" t="s">
        <v>46</v>
      </c>
      <c r="B75" s="670"/>
      <c r="C75" s="671"/>
      <c r="D75" s="672" t="s">
        <v>7</v>
      </c>
    </row>
    <row r="76" spans="1:4">
      <c r="A76" s="105" t="s">
        <v>81</v>
      </c>
      <c r="B76" s="670"/>
      <c r="C76" s="673"/>
      <c r="D76" s="674"/>
    </row>
    <row r="77" spans="1:4">
      <c r="A77" s="105" t="s">
        <v>150</v>
      </c>
      <c r="B77" s="670"/>
      <c r="C77" s="673"/>
      <c r="D77" s="674"/>
    </row>
    <row r="78" spans="1:4">
      <c r="A78" s="105" t="s">
        <v>195</v>
      </c>
      <c r="B78" s="670"/>
      <c r="C78" s="673"/>
      <c r="D78" s="675">
        <f>D76-D77</f>
        <v>0</v>
      </c>
    </row>
    <row r="79" spans="1:4">
      <c r="A79" s="105" t="s">
        <v>200</v>
      </c>
      <c r="B79" s="670"/>
      <c r="C79" s="673"/>
      <c r="D79" s="676"/>
    </row>
    <row r="80" spans="1:4">
      <c r="A80" s="105" t="s">
        <v>197</v>
      </c>
      <c r="B80" s="670"/>
      <c r="C80" s="673"/>
      <c r="D80" s="674"/>
    </row>
    <row r="81" spans="1:4">
      <c r="A81" s="163"/>
      <c r="B81" s="667"/>
      <c r="C81" s="668"/>
      <c r="D81" s="669"/>
    </row>
    <row r="82" spans="1:4">
      <c r="A82" s="164" t="s">
        <v>174</v>
      </c>
      <c r="B82" s="670"/>
      <c r="C82" s="673"/>
      <c r="D82" s="677"/>
    </row>
    <row r="83" spans="1:4">
      <c r="A83" s="105" t="s">
        <v>152</v>
      </c>
      <c r="B83" s="670"/>
      <c r="C83" s="673"/>
      <c r="D83" s="675">
        <f>IF(D79=0,0,(D78-D80)/D79)</f>
        <v>0</v>
      </c>
    </row>
    <row r="84" spans="1:4">
      <c r="A84" s="105" t="s">
        <v>129</v>
      </c>
      <c r="B84" s="670"/>
      <c r="C84" s="673"/>
      <c r="D84" s="674"/>
    </row>
    <row r="85" spans="1:4">
      <c r="A85" s="105" t="s">
        <v>164</v>
      </c>
      <c r="B85" s="670"/>
      <c r="C85" s="678"/>
      <c r="D85" s="675">
        <f>C85*D78</f>
        <v>0</v>
      </c>
    </row>
    <row r="86" spans="1:4">
      <c r="A86" s="105" t="s">
        <v>209</v>
      </c>
      <c r="B86" s="670"/>
      <c r="C86" s="678"/>
      <c r="D86" s="675">
        <f>C86*D78</f>
        <v>0</v>
      </c>
    </row>
    <row r="87" spans="1:4">
      <c r="A87" s="163"/>
      <c r="B87" s="667"/>
      <c r="C87" s="668"/>
      <c r="D87" s="669"/>
    </row>
    <row r="88" spans="1:4">
      <c r="A88" s="164" t="s">
        <v>49</v>
      </c>
      <c r="B88" s="670"/>
      <c r="C88" s="673"/>
      <c r="D88" s="679">
        <f>SUM(D83:D87)</f>
        <v>0</v>
      </c>
    </row>
    <row r="89" spans="1:4">
      <c r="A89" s="163"/>
      <c r="B89" s="667"/>
      <c r="C89" s="668"/>
      <c r="D89" s="669"/>
    </row>
    <row r="90" spans="1:4">
      <c r="A90" s="105" t="s">
        <v>103</v>
      </c>
      <c r="B90" s="670"/>
      <c r="C90" s="680"/>
      <c r="D90" s="675">
        <f>C90*D88</f>
        <v>0</v>
      </c>
    </row>
    <row r="91" spans="1:4">
      <c r="A91" s="165"/>
      <c r="B91" s="683"/>
      <c r="C91" s="684"/>
      <c r="D91" s="685"/>
    </row>
    <row r="92" spans="1:4" ht="27.75" customHeight="1">
      <c r="A92" s="159" t="s">
        <v>269</v>
      </c>
      <c r="B92" s="160"/>
      <c r="C92" s="663"/>
      <c r="D92" s="664"/>
    </row>
    <row r="93" spans="1:4" ht="21.75" customHeight="1">
      <c r="A93" s="161" t="s">
        <v>270</v>
      </c>
      <c r="B93" s="162"/>
      <c r="C93" s="665"/>
      <c r="D93" s="666"/>
    </row>
    <row r="94" spans="1:4">
      <c r="A94" s="163"/>
      <c r="B94" s="667"/>
      <c r="C94" s="668"/>
      <c r="D94" s="669"/>
    </row>
    <row r="95" spans="1:4" ht="15">
      <c r="A95" s="164" t="s">
        <v>46</v>
      </c>
      <c r="B95" s="670"/>
      <c r="C95" s="671"/>
      <c r="D95" s="672" t="s">
        <v>7</v>
      </c>
    </row>
    <row r="96" spans="1:4">
      <c r="A96" s="105" t="s">
        <v>81</v>
      </c>
      <c r="B96" s="670"/>
      <c r="C96" s="673"/>
      <c r="D96" s="674"/>
    </row>
    <row r="97" spans="1:4">
      <c r="A97" s="105" t="s">
        <v>150</v>
      </c>
      <c r="B97" s="670"/>
      <c r="C97" s="673"/>
      <c r="D97" s="674"/>
    </row>
    <row r="98" spans="1:4">
      <c r="A98" s="105" t="s">
        <v>195</v>
      </c>
      <c r="B98" s="670"/>
      <c r="C98" s="673"/>
      <c r="D98" s="675">
        <f>D96-D97</f>
        <v>0</v>
      </c>
    </row>
    <row r="99" spans="1:4">
      <c r="A99" s="105" t="s">
        <v>200</v>
      </c>
      <c r="B99" s="670"/>
      <c r="C99" s="673"/>
      <c r="D99" s="676"/>
    </row>
    <row r="100" spans="1:4">
      <c r="A100" s="105" t="s">
        <v>197</v>
      </c>
      <c r="B100" s="670"/>
      <c r="C100" s="673"/>
      <c r="D100" s="674"/>
    </row>
    <row r="101" spans="1:4">
      <c r="A101" s="163"/>
      <c r="B101" s="667"/>
      <c r="C101" s="668"/>
      <c r="D101" s="669"/>
    </row>
    <row r="102" spans="1:4">
      <c r="A102" s="164" t="s">
        <v>174</v>
      </c>
      <c r="B102" s="670"/>
      <c r="C102" s="673"/>
      <c r="D102" s="677"/>
    </row>
    <row r="103" spans="1:4">
      <c r="A103" s="105" t="s">
        <v>152</v>
      </c>
      <c r="B103" s="670"/>
      <c r="C103" s="673"/>
      <c r="D103" s="675">
        <f>IF(D99=0,0,(D98-D100)/D99)</f>
        <v>0</v>
      </c>
    </row>
    <row r="104" spans="1:4">
      <c r="A104" s="105" t="s">
        <v>129</v>
      </c>
      <c r="B104" s="670"/>
      <c r="C104" s="673"/>
      <c r="D104" s="674"/>
    </row>
    <row r="105" spans="1:4">
      <c r="A105" s="105" t="s">
        <v>164</v>
      </c>
      <c r="B105" s="670"/>
      <c r="C105" s="678"/>
      <c r="D105" s="675">
        <f>C105*D98</f>
        <v>0</v>
      </c>
    </row>
    <row r="106" spans="1:4">
      <c r="A106" s="105" t="s">
        <v>209</v>
      </c>
      <c r="B106" s="670"/>
      <c r="C106" s="678"/>
      <c r="D106" s="675">
        <f>C106*D98</f>
        <v>0</v>
      </c>
    </row>
    <row r="107" spans="1:4">
      <c r="A107" s="163"/>
      <c r="B107" s="667"/>
      <c r="C107" s="668"/>
      <c r="D107" s="669"/>
    </row>
    <row r="108" spans="1:4">
      <c r="A108" s="164" t="s">
        <v>49</v>
      </c>
      <c r="B108" s="670"/>
      <c r="C108" s="673"/>
      <c r="D108" s="679">
        <f>SUM(D103:D107)</f>
        <v>0</v>
      </c>
    </row>
    <row r="109" spans="1:4">
      <c r="A109" s="163"/>
      <c r="B109" s="667"/>
      <c r="C109" s="668"/>
      <c r="D109" s="669"/>
    </row>
    <row r="110" spans="1:4">
      <c r="A110" s="105" t="s">
        <v>103</v>
      </c>
      <c r="B110" s="670"/>
      <c r="C110" s="680"/>
      <c r="D110" s="675">
        <f>C110*D108</f>
        <v>0</v>
      </c>
    </row>
    <row r="111" spans="1:4" s="83" customFormat="1" ht="13.5" thickBot="1">
      <c r="A111" s="165"/>
      <c r="B111" s="683"/>
      <c r="C111" s="685"/>
      <c r="D111" s="714"/>
    </row>
    <row r="112" spans="1:4" s="83" customFormat="1" ht="13.5" thickBot="1">
      <c r="A112" s="718" t="s">
        <v>36</v>
      </c>
      <c r="B112" s="715"/>
      <c r="C112" s="716"/>
      <c r="D112" s="717">
        <f>D110+D90+D70+D50+D30</f>
        <v>0</v>
      </c>
    </row>
    <row r="113" spans="1:4" s="83" customFormat="1">
      <c r="A113" s="165"/>
      <c r="B113" s="683"/>
      <c r="C113" s="685"/>
      <c r="D113" s="714"/>
    </row>
    <row r="114" spans="1:4">
      <c r="A114" s="165"/>
      <c r="B114" s="126"/>
      <c r="C114" s="166"/>
      <c r="D114" s="127"/>
    </row>
    <row r="115" spans="1:4" ht="15">
      <c r="A115" s="130" t="s">
        <v>149</v>
      </c>
      <c r="B115" s="167"/>
      <c r="C115" s="168"/>
      <c r="D115" s="127"/>
    </row>
    <row r="116" spans="1:4" ht="15">
      <c r="A116" s="169" t="s">
        <v>60</v>
      </c>
      <c r="B116" s="167"/>
      <c r="C116" s="168"/>
      <c r="D116" s="127"/>
    </row>
    <row r="117" spans="1:4" ht="15">
      <c r="A117" s="169" t="s">
        <v>0</v>
      </c>
      <c r="B117" s="167"/>
      <c r="C117" s="168"/>
      <c r="D117" s="127"/>
    </row>
    <row r="118" spans="1:4" ht="15">
      <c r="A118" s="169" t="s">
        <v>124</v>
      </c>
      <c r="B118" s="167"/>
      <c r="C118" s="168"/>
      <c r="D118" s="169"/>
    </row>
    <row r="120" spans="1:4">
      <c r="A120" s="146" t="s">
        <v>109</v>
      </c>
      <c r="B120" s="147"/>
      <c r="C120" s="148"/>
      <c r="D120" s="149"/>
    </row>
  </sheetData>
  <phoneticPr fontId="13" type="noConversion"/>
  <pageMargins left="0.59055118110236227" right="0.59055118110236227" top="0.59055118110236227" bottom="0.98425196850393704" header="0.51181102362204722" footer="0.51181102362204722"/>
  <headerFooter alignWithMargins="0">
    <oddFooter>&amp;L&amp;"Verdana,Regular"&amp;F-&amp;A
Atir b.v. ©&amp;C&amp;R&amp;"Lucida Grande,Regular"printversie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51"/>
  <sheetViews>
    <sheetView showGridLines="0" showZeros="0" workbookViewId="0">
      <pane ySplit="12" topLeftCell="A31" activePane="bottomLeft" state="frozen"/>
      <selection sqref="A1:XFD1048576"/>
      <selection pane="bottomLeft" activeCell="C16" sqref="C16:F17"/>
    </sheetView>
  </sheetViews>
  <sheetFormatPr defaultColWidth="11.42578125" defaultRowHeight="12.75"/>
  <cols>
    <col min="1" max="1" width="33.85546875" style="37" customWidth="1"/>
    <col min="2" max="6" width="17.5703125" style="37" customWidth="1"/>
    <col min="7" max="16384" width="11.42578125" style="37"/>
  </cols>
  <sheetData>
    <row r="3" spans="1:6" ht="15">
      <c r="A3" s="84" t="str">
        <f>'1-Contractblad'!A3</f>
        <v>Naam opdrachtgever</v>
      </c>
      <c r="B3" s="85" t="str">
        <f>'1-Contractblad'!B3</f>
        <v>LMC</v>
      </c>
      <c r="C3" s="86"/>
      <c r="D3" s="86"/>
    </row>
    <row r="4" spans="1:6" ht="15">
      <c r="A4" s="84" t="str">
        <f>'1-Contractblad'!A4</f>
        <v>Calculatie onderdeel</v>
      </c>
      <c r="B4" s="85" t="s">
        <v>128</v>
      </c>
      <c r="C4" s="87"/>
      <c r="D4" s="88"/>
    </row>
    <row r="5" spans="1:6" ht="15">
      <c r="A5" s="84" t="str">
        <f>'1-Contractblad'!A5</f>
        <v>Gebouw/plaats</v>
      </c>
      <c r="B5" s="85" t="str">
        <f>'1-Contractblad'!B5</f>
        <v>Rotterdam</v>
      </c>
      <c r="C5" s="87"/>
      <c r="D5" s="88"/>
    </row>
    <row r="6" spans="1:6" ht="15">
      <c r="A6" s="84" t="str">
        <f>'1-Contractblad'!A6</f>
        <v>Besteknummer</v>
      </c>
      <c r="B6" s="85" t="str">
        <f>'1-Contractblad'!B6</f>
        <v>LMC-EA-JV-2014</v>
      </c>
      <c r="C6" s="87"/>
      <c r="D6" s="88"/>
    </row>
    <row r="7" spans="1:6" ht="15">
      <c r="A7" s="84" t="str">
        <f>'1-Contractblad'!A7</f>
        <v>Naam leverancier</v>
      </c>
      <c r="B7" s="85">
        <f>'1-Contractblad'!B7</f>
        <v>0</v>
      </c>
      <c r="C7" s="87"/>
      <c r="D7" s="88"/>
    </row>
    <row r="8" spans="1:6" ht="15">
      <c r="A8" s="84" t="str">
        <f>'1-Contractblad'!A8</f>
        <v>Prijspeil</v>
      </c>
      <c r="B8" s="89">
        <f>'1-Contractblad'!B8</f>
        <v>2014</v>
      </c>
      <c r="C8" s="87"/>
      <c r="D8" s="88"/>
    </row>
    <row r="9" spans="1:6" ht="15">
      <c r="A9" s="84" t="str">
        <f>'1-Contractblad'!A9</f>
        <v>Bijzonderheden</v>
      </c>
      <c r="B9" s="90" t="s">
        <v>18</v>
      </c>
      <c r="C9" s="87"/>
      <c r="D9" s="88"/>
    </row>
    <row r="10" spans="1:6" ht="15">
      <c r="A10" s="84"/>
      <c r="B10" s="90"/>
      <c r="C10" s="87"/>
      <c r="D10" s="88"/>
    </row>
    <row r="11" spans="1:6">
      <c r="A11" s="91"/>
      <c r="B11" s="92"/>
      <c r="C11" s="92"/>
      <c r="D11" s="92"/>
    </row>
    <row r="12" spans="1:6" ht="15">
      <c r="A12" s="93" t="s">
        <v>228</v>
      </c>
      <c r="B12" s="94"/>
      <c r="C12" s="94"/>
      <c r="D12" s="95"/>
      <c r="E12" s="95"/>
      <c r="F12" s="96"/>
    </row>
    <row r="14" spans="1:6">
      <c r="A14" s="97"/>
      <c r="B14" s="98"/>
      <c r="C14" s="795" t="s">
        <v>93</v>
      </c>
      <c r="D14" s="796"/>
      <c r="E14" s="796"/>
      <c r="F14" s="797"/>
    </row>
    <row r="15" spans="1:6">
      <c r="A15" s="99" t="s">
        <v>186</v>
      </c>
      <c r="B15" s="99" t="s">
        <v>48</v>
      </c>
      <c r="C15" s="100" t="s">
        <v>38</v>
      </c>
      <c r="D15" s="101" t="s">
        <v>39</v>
      </c>
      <c r="E15" s="101" t="s">
        <v>40</v>
      </c>
      <c r="F15" s="101" t="s">
        <v>41</v>
      </c>
    </row>
    <row r="16" spans="1:6">
      <c r="A16" s="102" t="s">
        <v>602</v>
      </c>
      <c r="B16" s="103" t="s">
        <v>140</v>
      </c>
      <c r="C16" s="104">
        <v>0</v>
      </c>
      <c r="D16" s="104">
        <v>0</v>
      </c>
      <c r="E16" s="104">
        <v>0</v>
      </c>
      <c r="F16" s="104">
        <v>0</v>
      </c>
    </row>
    <row r="17" spans="1:6">
      <c r="A17" s="102" t="s">
        <v>601</v>
      </c>
      <c r="B17" s="103"/>
      <c r="C17" s="104">
        <v>0</v>
      </c>
      <c r="D17" s="104">
        <v>0</v>
      </c>
      <c r="E17" s="104">
        <v>0</v>
      </c>
      <c r="F17" s="104">
        <v>0</v>
      </c>
    </row>
    <row r="18" spans="1:6">
      <c r="A18" s="102" t="s">
        <v>260</v>
      </c>
      <c r="B18" s="103" t="s">
        <v>141</v>
      </c>
      <c r="C18" s="104">
        <v>0</v>
      </c>
      <c r="D18" s="104">
        <v>0</v>
      </c>
      <c r="E18" s="104">
        <v>0</v>
      </c>
      <c r="F18" s="104">
        <v>0</v>
      </c>
    </row>
    <row r="19" spans="1:6">
      <c r="A19" s="105" t="s">
        <v>261</v>
      </c>
      <c r="B19" s="103"/>
      <c r="C19" s="104">
        <v>0</v>
      </c>
      <c r="D19" s="104">
        <v>0</v>
      </c>
      <c r="E19" s="104">
        <v>0</v>
      </c>
      <c r="F19" s="104">
        <v>0</v>
      </c>
    </row>
    <row r="20" spans="1:6">
      <c r="A20" s="105" t="s">
        <v>27</v>
      </c>
      <c r="B20" s="103"/>
      <c r="C20" s="104">
        <v>0</v>
      </c>
      <c r="D20" s="104">
        <v>0</v>
      </c>
      <c r="E20" s="104">
        <v>0</v>
      </c>
      <c r="F20" s="104">
        <v>0</v>
      </c>
    </row>
    <row r="21" spans="1:6" ht="12" customHeight="1">
      <c r="A21" s="106" t="s">
        <v>28</v>
      </c>
      <c r="B21" s="103"/>
      <c r="C21" s="104">
        <v>0</v>
      </c>
      <c r="D21" s="104">
        <v>0</v>
      </c>
      <c r="E21" s="104">
        <v>0</v>
      </c>
      <c r="F21" s="104">
        <v>0</v>
      </c>
    </row>
    <row r="22" spans="1:6">
      <c r="A22" s="106" t="s">
        <v>31</v>
      </c>
      <c r="B22" s="103"/>
      <c r="C22" s="104">
        <v>0</v>
      </c>
      <c r="D22" s="104">
        <v>0</v>
      </c>
      <c r="E22" s="104">
        <v>0</v>
      </c>
      <c r="F22" s="104">
        <v>0</v>
      </c>
    </row>
    <row r="23" spans="1:6">
      <c r="A23" s="107"/>
      <c r="B23" s="107"/>
      <c r="C23" s="107"/>
      <c r="D23" s="108"/>
    </row>
    <row r="24" spans="1:6" ht="15">
      <c r="A24" s="109" t="s">
        <v>259</v>
      </c>
      <c r="B24" s="110"/>
      <c r="C24" s="110"/>
      <c r="D24" s="111"/>
      <c r="E24" s="111"/>
      <c r="F24" s="112"/>
    </row>
    <row r="25" spans="1:6">
      <c r="A25" s="113" t="s">
        <v>105</v>
      </c>
      <c r="B25" s="114"/>
      <c r="C25" s="114"/>
      <c r="D25" s="115"/>
      <c r="E25" s="115"/>
      <c r="F25" s="116"/>
    </row>
    <row r="26" spans="1:6">
      <c r="A26" s="117"/>
      <c r="B26" s="117"/>
      <c r="C26" s="117"/>
      <c r="D26" s="117"/>
      <c r="E26" s="118"/>
      <c r="F26" s="118"/>
    </row>
    <row r="27" spans="1:6">
      <c r="A27" s="119"/>
      <c r="B27" s="120"/>
      <c r="C27" s="795" t="s">
        <v>94</v>
      </c>
      <c r="D27" s="796"/>
      <c r="E27" s="796"/>
      <c r="F27" s="797"/>
    </row>
    <row r="28" spans="1:6" s="121" customFormat="1">
      <c r="A28" s="99" t="s">
        <v>186</v>
      </c>
      <c r="B28" s="99" t="s">
        <v>48</v>
      </c>
      <c r="C28" s="100" t="s">
        <v>11</v>
      </c>
      <c r="D28" s="100" t="s">
        <v>199</v>
      </c>
      <c r="E28" s="100" t="s">
        <v>89</v>
      </c>
      <c r="F28" s="100" t="s">
        <v>65</v>
      </c>
    </row>
    <row r="29" spans="1:6">
      <c r="A29" s="122" t="s">
        <v>29</v>
      </c>
      <c r="B29" s="123"/>
      <c r="C29" s="104">
        <v>0</v>
      </c>
      <c r="D29" s="104">
        <v>0</v>
      </c>
      <c r="E29" s="104">
        <v>0</v>
      </c>
      <c r="F29" s="104">
        <v>0</v>
      </c>
    </row>
    <row r="30" spans="1:6">
      <c r="A30" s="122" t="s">
        <v>217</v>
      </c>
      <c r="B30" s="123"/>
      <c r="C30" s="104">
        <v>0</v>
      </c>
      <c r="D30" s="104">
        <v>0</v>
      </c>
      <c r="E30" s="104">
        <v>0</v>
      </c>
      <c r="F30" s="104">
        <v>0</v>
      </c>
    </row>
    <row r="31" spans="1:6">
      <c r="A31" s="122" t="s">
        <v>167</v>
      </c>
      <c r="B31" s="124"/>
      <c r="C31" s="104">
        <v>0</v>
      </c>
      <c r="D31" s="104">
        <v>0</v>
      </c>
      <c r="E31" s="104">
        <v>0</v>
      </c>
      <c r="F31" s="104">
        <v>0</v>
      </c>
    </row>
    <row r="32" spans="1:6">
      <c r="A32" s="125"/>
      <c r="B32" s="126"/>
      <c r="C32" s="126"/>
      <c r="D32" s="127"/>
    </row>
    <row r="33" spans="1:7" ht="15">
      <c r="A33" s="93" t="s">
        <v>62</v>
      </c>
      <c r="B33" s="128"/>
      <c r="C33" s="128"/>
      <c r="D33" s="128"/>
      <c r="E33" s="128"/>
      <c r="F33" s="129"/>
    </row>
    <row r="34" spans="1:7">
      <c r="A34" s="130"/>
      <c r="B34" s="107"/>
      <c r="C34" s="107"/>
      <c r="D34" s="108"/>
    </row>
    <row r="35" spans="1:7">
      <c r="A35" s="131" t="s">
        <v>186</v>
      </c>
      <c r="B35" s="97" t="s">
        <v>48</v>
      </c>
      <c r="C35" s="132"/>
      <c r="D35" s="132"/>
      <c r="E35" s="132"/>
      <c r="F35" s="133" t="s">
        <v>182</v>
      </c>
    </row>
    <row r="36" spans="1:7">
      <c r="A36" s="106" t="s">
        <v>5</v>
      </c>
      <c r="B36" s="134"/>
      <c r="C36" s="134"/>
      <c r="D36" s="134"/>
      <c r="E36" s="134"/>
      <c r="F36" s="135">
        <v>0</v>
      </c>
    </row>
    <row r="37" spans="1:7">
      <c r="A37" s="106" t="s">
        <v>215</v>
      </c>
      <c r="B37" s="136"/>
      <c r="C37" s="136"/>
      <c r="D37" s="136"/>
      <c r="E37" s="136"/>
      <c r="F37" s="135">
        <v>0</v>
      </c>
    </row>
    <row r="38" spans="1:7">
      <c r="A38" s="132"/>
      <c r="B38" s="132"/>
      <c r="C38" s="132"/>
      <c r="D38" s="132"/>
      <c r="E38" s="137"/>
      <c r="F38" s="137"/>
      <c r="G38" s="137"/>
    </row>
    <row r="39" spans="1:7" ht="25.5">
      <c r="A39" s="131" t="s">
        <v>186</v>
      </c>
      <c r="B39" s="138" t="s">
        <v>48</v>
      </c>
      <c r="C39" s="139"/>
      <c r="D39" s="140"/>
      <c r="E39" s="141" t="s">
        <v>266</v>
      </c>
      <c r="F39" s="142" t="s">
        <v>134</v>
      </c>
    </row>
    <row r="40" spans="1:7">
      <c r="A40" s="106" t="s">
        <v>139</v>
      </c>
      <c r="B40" s="143" t="s">
        <v>71</v>
      </c>
      <c r="C40" s="144"/>
      <c r="D40" s="136"/>
      <c r="E40" s="135">
        <v>0</v>
      </c>
      <c r="F40" s="135">
        <v>0</v>
      </c>
    </row>
    <row r="41" spans="1:7">
      <c r="A41" s="106" t="s">
        <v>26</v>
      </c>
      <c r="B41" s="143" t="s">
        <v>71</v>
      </c>
      <c r="C41" s="144"/>
      <c r="D41" s="136"/>
      <c r="E41" s="135">
        <v>0</v>
      </c>
      <c r="F41" s="135">
        <v>0</v>
      </c>
    </row>
    <row r="42" spans="1:7">
      <c r="A42" s="132"/>
      <c r="B42" s="132"/>
      <c r="C42" s="132"/>
      <c r="D42" s="132"/>
      <c r="E42" s="137"/>
      <c r="F42" s="137"/>
      <c r="G42" s="137"/>
    </row>
    <row r="43" spans="1:7" ht="25.5">
      <c r="A43" s="131" t="s">
        <v>186</v>
      </c>
      <c r="B43" s="138" t="s">
        <v>48</v>
      </c>
      <c r="C43" s="139"/>
      <c r="D43" s="140"/>
      <c r="E43" s="141" t="s">
        <v>148</v>
      </c>
      <c r="F43" s="142" t="s">
        <v>147</v>
      </c>
    </row>
    <row r="44" spans="1:7">
      <c r="A44" s="106" t="s">
        <v>262</v>
      </c>
      <c r="B44" s="143" t="s">
        <v>71</v>
      </c>
      <c r="C44" s="144"/>
      <c r="D44" s="136"/>
      <c r="E44" s="135">
        <v>0</v>
      </c>
      <c r="F44" s="135">
        <v>0</v>
      </c>
    </row>
    <row r="45" spans="1:7">
      <c r="A45" s="107"/>
      <c r="B45" s="108"/>
      <c r="C45" s="108"/>
      <c r="D45" s="107"/>
    </row>
    <row r="46" spans="1:7" ht="15">
      <c r="A46" s="145" t="s">
        <v>6</v>
      </c>
      <c r="B46" s="108"/>
      <c r="C46" s="108"/>
      <c r="D46" s="107"/>
    </row>
    <row r="47" spans="1:7">
      <c r="A47" s="107" t="s">
        <v>153</v>
      </c>
      <c r="B47" s="108"/>
      <c r="C47" s="108"/>
      <c r="D47" s="107"/>
    </row>
    <row r="48" spans="1:7">
      <c r="A48" s="107" t="s">
        <v>50</v>
      </c>
      <c r="B48" s="108"/>
      <c r="C48" s="108"/>
      <c r="D48" s="107"/>
    </row>
    <row r="49" spans="1:4">
      <c r="A49" s="107"/>
      <c r="B49" s="108"/>
      <c r="C49" s="108"/>
      <c r="D49" s="107"/>
    </row>
    <row r="50" spans="1:4">
      <c r="A50" s="146" t="s">
        <v>109</v>
      </c>
      <c r="B50" s="147"/>
      <c r="C50" s="148"/>
      <c r="D50" s="149"/>
    </row>
    <row r="51" spans="1:4">
      <c r="A51" s="147"/>
      <c r="B51" s="147"/>
      <c r="C51" s="147"/>
      <c r="D51" s="147"/>
    </row>
  </sheetData>
  <mergeCells count="2">
    <mergeCell ref="C27:F27"/>
    <mergeCell ref="C14:F14"/>
  </mergeCells>
  <phoneticPr fontId="12"/>
  <conditionalFormatting sqref="F36:F37 C29:F31 E44:F44 E40:F41">
    <cfRule type="cellIs" dxfId="0" priority="1" stopIfTrue="1" operator="equal">
      <formula>"nvt"</formula>
    </cfRule>
  </conditionalFormatting>
  <printOptions horizontalCentered="1"/>
  <pageMargins left="0.59055118110236227" right="0.59055118110236227" top="0.59055118110236227" bottom="0.78740157480314965" header="0.39370078740157483" footer="0.19685039370078741"/>
  <headerFooter alignWithMargins="0">
    <oddFooter>&amp;L&amp;"Verdana,Regular"&amp;F-&amp;A
Atir b.v. ©&amp;C&amp;R&amp;"Verdana,Regular"printversie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70"/>
  <sheetViews>
    <sheetView showGridLines="0" zoomScaleNormal="100" workbookViewId="0">
      <pane xSplit="1" ySplit="21" topLeftCell="B22" activePane="bottomRight" state="frozen"/>
      <selection pane="topRight" activeCell="B1" sqref="B1"/>
      <selection pane="bottomLeft" activeCell="A15" sqref="A15"/>
      <selection pane="bottomRight" activeCell="B25" sqref="B25:L25"/>
    </sheetView>
  </sheetViews>
  <sheetFormatPr defaultRowHeight="12.75"/>
  <cols>
    <col min="1" max="1" width="2.85546875" style="614" customWidth="1"/>
    <col min="2" max="2" width="31" style="614" customWidth="1"/>
    <col min="3" max="3" width="49" style="614" customWidth="1"/>
    <col min="4" max="4" width="23.7109375" style="614" customWidth="1"/>
    <col min="5" max="5" width="17.140625" style="614" customWidth="1"/>
    <col min="6" max="6" width="9.140625" style="614" customWidth="1"/>
    <col min="7" max="7" width="11.42578125" style="614" customWidth="1"/>
    <col min="8" max="8" width="9.140625" style="614" customWidth="1"/>
    <col min="9" max="9" width="16.85546875" style="614" customWidth="1"/>
    <col min="10" max="10" width="13.5703125" style="614" customWidth="1"/>
    <col min="11" max="11" width="16.5703125" style="614" customWidth="1"/>
    <col min="12" max="12" width="39.5703125" style="614" customWidth="1"/>
    <col min="13" max="13" width="9.140625" style="614" customWidth="1"/>
    <col min="14" max="16384" width="9.140625" style="614"/>
  </cols>
  <sheetData>
    <row r="1" spans="2:4">
      <c r="B1" s="437" t="s">
        <v>109</v>
      </c>
      <c r="C1" s="613"/>
      <c r="D1" s="613"/>
    </row>
    <row r="2" spans="2:4">
      <c r="B2" s="615"/>
      <c r="C2" s="615"/>
    </row>
    <row r="3" spans="2:4">
      <c r="B3" s="440"/>
      <c r="C3" s="440"/>
      <c r="D3" s="440"/>
    </row>
    <row r="4" spans="2:4" ht="15">
      <c r="B4" s="441" t="s">
        <v>114</v>
      </c>
      <c r="C4" s="85" t="str">
        <f>'1-Contractblad'!B3</f>
        <v>LMC</v>
      </c>
      <c r="D4" s="616"/>
    </row>
    <row r="5" spans="2:4" ht="15">
      <c r="B5" s="441" t="s">
        <v>55</v>
      </c>
      <c r="C5" s="85" t="s">
        <v>594</v>
      </c>
      <c r="D5" s="566"/>
    </row>
    <row r="6" spans="2:4" ht="15">
      <c r="B6" s="441" t="s">
        <v>272</v>
      </c>
      <c r="C6" s="85" t="str">
        <f>'1-Contractblad'!B5</f>
        <v>Rotterdam</v>
      </c>
      <c r="D6" s="564"/>
    </row>
    <row r="7" spans="2:4" ht="15">
      <c r="B7" s="441" t="s">
        <v>145</v>
      </c>
      <c r="C7" s="85" t="str">
        <f>'1-Contractblad'!B6</f>
        <v>LMC-EA-JV-2014</v>
      </c>
      <c r="D7" s="564"/>
    </row>
    <row r="8" spans="2:4" ht="15">
      <c r="B8" s="441" t="s">
        <v>208</v>
      </c>
      <c r="C8" s="85">
        <f>'1-Contractblad'!B7</f>
        <v>0</v>
      </c>
      <c r="D8" s="564"/>
    </row>
    <row r="9" spans="2:4" ht="15">
      <c r="B9" s="441" t="s">
        <v>45</v>
      </c>
      <c r="C9" s="89">
        <f>'1-Contractblad'!B8</f>
        <v>2014</v>
      </c>
      <c r="D9" s="567"/>
    </row>
    <row r="10" spans="2:4" ht="15">
      <c r="B10" s="441" t="s">
        <v>146</v>
      </c>
      <c r="C10" s="85" t="str">
        <f>'1-Contractblad'!B9</f>
        <v>Vertrouwelijk</v>
      </c>
      <c r="D10" s="568"/>
    </row>
    <row r="12" spans="2:4" ht="13.5" customHeight="1">
      <c r="B12" s="617" t="s">
        <v>566</v>
      </c>
      <c r="C12" s="617" t="s">
        <v>567</v>
      </c>
    </row>
    <row r="13" spans="2:4" ht="13.5" customHeight="1">
      <c r="B13" s="618" t="s">
        <v>568</v>
      </c>
      <c r="C13" s="619"/>
    </row>
    <row r="14" spans="2:4" ht="13.5" customHeight="1">
      <c r="B14" s="618" t="s">
        <v>569</v>
      </c>
      <c r="C14" s="619"/>
    </row>
    <row r="15" spans="2:4" ht="13.5" customHeight="1">
      <c r="B15" s="618" t="s">
        <v>570</v>
      </c>
      <c r="C15" s="619"/>
    </row>
    <row r="16" spans="2:4" ht="13.5" customHeight="1">
      <c r="B16" s="618" t="s">
        <v>571</v>
      </c>
      <c r="C16" s="619"/>
    </row>
    <row r="17" spans="2:19" ht="13.5" customHeight="1">
      <c r="B17" s="618" t="s">
        <v>572</v>
      </c>
      <c r="C17" s="619"/>
    </row>
    <row r="18" spans="2:19" ht="13.5" customHeight="1">
      <c r="B18" s="618" t="s">
        <v>573</v>
      </c>
      <c r="C18" s="619"/>
    </row>
    <row r="19" spans="2:19" ht="13.5" customHeight="1">
      <c r="B19" s="618" t="s">
        <v>574</v>
      </c>
      <c r="C19" s="619"/>
    </row>
    <row r="20" spans="2:19" ht="13.5" customHeight="1" thickBot="1"/>
    <row r="21" spans="2:19" ht="40.5" customHeight="1">
      <c r="B21" s="620" t="s">
        <v>595</v>
      </c>
      <c r="C21" s="621" t="s">
        <v>575</v>
      </c>
      <c r="D21" s="729" t="s">
        <v>576</v>
      </c>
      <c r="E21" s="730" t="s">
        <v>577</v>
      </c>
      <c r="F21" s="731" t="s">
        <v>578</v>
      </c>
      <c r="G21" s="731" t="s">
        <v>579</v>
      </c>
      <c r="H21" s="622" t="s">
        <v>580</v>
      </c>
      <c r="I21" s="622" t="s">
        <v>581</v>
      </c>
      <c r="J21" s="622" t="s">
        <v>582</v>
      </c>
      <c r="K21" s="622" t="s">
        <v>583</v>
      </c>
      <c r="L21" s="623" t="s">
        <v>584</v>
      </c>
    </row>
    <row r="22" spans="2:19">
      <c r="B22" s="624" t="s">
        <v>322</v>
      </c>
      <c r="C22" s="618"/>
      <c r="D22" s="625" t="s">
        <v>585</v>
      </c>
      <c r="E22" s="624" t="s">
        <v>586</v>
      </c>
      <c r="F22" s="626"/>
      <c r="G22" s="627"/>
      <c r="H22" s="727"/>
      <c r="I22" s="728"/>
      <c r="J22" s="628">
        <f>(F22*H22)+I22</f>
        <v>0</v>
      </c>
      <c r="K22" s="628">
        <f>J22*G22</f>
        <v>0</v>
      </c>
      <c r="L22" s="629"/>
      <c r="S22" s="614" t="s">
        <v>590</v>
      </c>
    </row>
    <row r="23" spans="2:19">
      <c r="B23" s="624" t="s">
        <v>322</v>
      </c>
      <c r="C23" s="618"/>
      <c r="D23" s="625" t="s">
        <v>587</v>
      </c>
      <c r="E23" s="624" t="s">
        <v>586</v>
      </c>
      <c r="F23" s="626"/>
      <c r="G23" s="627"/>
      <c r="H23" s="727"/>
      <c r="I23" s="728"/>
      <c r="J23" s="628">
        <f t="shared" ref="J23:J24" si="0">(F23*H23)+I23</f>
        <v>0</v>
      </c>
      <c r="K23" s="628">
        <f>J23*G23</f>
        <v>0</v>
      </c>
      <c r="L23" s="629"/>
    </row>
    <row r="24" spans="2:19">
      <c r="B24" s="624" t="s">
        <v>322</v>
      </c>
      <c r="C24" s="618"/>
      <c r="D24" s="625" t="s">
        <v>589</v>
      </c>
      <c r="E24" s="624" t="s">
        <v>588</v>
      </c>
      <c r="F24" s="626"/>
      <c r="G24" s="627"/>
      <c r="H24" s="727"/>
      <c r="I24" s="728"/>
      <c r="J24" s="628">
        <f t="shared" si="0"/>
        <v>0</v>
      </c>
      <c r="K24" s="628">
        <f>J24*G24</f>
        <v>0</v>
      </c>
      <c r="L24" s="629"/>
    </row>
    <row r="25" spans="2:19">
      <c r="B25" s="630"/>
      <c r="C25" s="631"/>
      <c r="D25" s="632"/>
      <c r="E25" s="630"/>
      <c r="F25" s="633"/>
      <c r="G25" s="634"/>
      <c r="H25" s="634"/>
      <c r="I25" s="635"/>
      <c r="J25" s="636"/>
      <c r="K25" s="635"/>
      <c r="L25" s="637"/>
    </row>
    <row r="26" spans="2:19">
      <c r="B26" s="624" t="s">
        <v>523</v>
      </c>
      <c r="C26" s="618"/>
      <c r="D26" s="625" t="s">
        <v>585</v>
      </c>
      <c r="E26" s="624" t="s">
        <v>586</v>
      </c>
      <c r="F26" s="626"/>
      <c r="G26" s="627"/>
      <c r="H26" s="727"/>
      <c r="I26" s="728"/>
      <c r="J26" s="628">
        <f>(F26*H26)+I26</f>
        <v>0</v>
      </c>
      <c r="K26" s="628">
        <f>J26*G26</f>
        <v>0</v>
      </c>
      <c r="L26" s="629"/>
    </row>
    <row r="27" spans="2:19">
      <c r="B27" s="624" t="s">
        <v>523</v>
      </c>
      <c r="C27" s="618"/>
      <c r="D27" s="625" t="s">
        <v>587</v>
      </c>
      <c r="E27" s="624" t="s">
        <v>586</v>
      </c>
      <c r="F27" s="626"/>
      <c r="G27" s="627"/>
      <c r="H27" s="727"/>
      <c r="I27" s="728"/>
      <c r="J27" s="628">
        <f t="shared" ref="J27:J28" si="1">(F27*H27)+I27</f>
        <v>0</v>
      </c>
      <c r="K27" s="628">
        <f>J27*G27</f>
        <v>0</v>
      </c>
      <c r="L27" s="629"/>
    </row>
    <row r="28" spans="2:19">
      <c r="B28" s="624" t="s">
        <v>523</v>
      </c>
      <c r="C28" s="618"/>
      <c r="D28" s="625" t="s">
        <v>589</v>
      </c>
      <c r="E28" s="624" t="s">
        <v>588</v>
      </c>
      <c r="F28" s="626"/>
      <c r="G28" s="627"/>
      <c r="H28" s="727"/>
      <c r="I28" s="728"/>
      <c r="J28" s="628">
        <f t="shared" si="1"/>
        <v>0</v>
      </c>
      <c r="K28" s="628">
        <f>J28*G28</f>
        <v>0</v>
      </c>
      <c r="L28" s="629"/>
    </row>
    <row r="29" spans="2:19">
      <c r="B29" s="630"/>
      <c r="C29" s="631"/>
      <c r="D29" s="632"/>
      <c r="E29" s="630"/>
      <c r="F29" s="633"/>
      <c r="G29" s="634"/>
      <c r="H29" s="634"/>
      <c r="I29" s="635"/>
      <c r="J29" s="636"/>
      <c r="K29" s="635"/>
      <c r="L29" s="637"/>
    </row>
    <row r="30" spans="2:19">
      <c r="B30" s="624" t="s">
        <v>498</v>
      </c>
      <c r="C30" s="618"/>
      <c r="D30" s="625" t="s">
        <v>585</v>
      </c>
      <c r="E30" s="624" t="s">
        <v>586</v>
      </c>
      <c r="F30" s="626"/>
      <c r="G30" s="627"/>
      <c r="H30" s="727"/>
      <c r="I30" s="728"/>
      <c r="J30" s="628">
        <f>(F30*H30)+I30</f>
        <v>0</v>
      </c>
      <c r="K30" s="628">
        <f>J30*G30</f>
        <v>0</v>
      </c>
      <c r="L30" s="629"/>
    </row>
    <row r="31" spans="2:19">
      <c r="B31" s="624" t="s">
        <v>498</v>
      </c>
      <c r="C31" s="618"/>
      <c r="D31" s="625" t="s">
        <v>587</v>
      </c>
      <c r="E31" s="624" t="s">
        <v>586</v>
      </c>
      <c r="F31" s="626"/>
      <c r="G31" s="627"/>
      <c r="H31" s="727"/>
      <c r="I31" s="728"/>
      <c r="J31" s="628">
        <f t="shared" ref="J31:J32" si="2">(F31*H31)+I31</f>
        <v>0</v>
      </c>
      <c r="K31" s="628">
        <f>J31*G31</f>
        <v>0</v>
      </c>
      <c r="L31" s="629"/>
    </row>
    <row r="32" spans="2:19">
      <c r="B32" s="624" t="s">
        <v>498</v>
      </c>
      <c r="C32" s="618"/>
      <c r="D32" s="625" t="s">
        <v>589</v>
      </c>
      <c r="E32" s="624" t="s">
        <v>588</v>
      </c>
      <c r="F32" s="626"/>
      <c r="G32" s="627"/>
      <c r="H32" s="727"/>
      <c r="I32" s="728"/>
      <c r="J32" s="628">
        <f t="shared" si="2"/>
        <v>0</v>
      </c>
      <c r="K32" s="628">
        <f>J32*G32</f>
        <v>0</v>
      </c>
      <c r="L32" s="629"/>
    </row>
    <row r="33" spans="2:12">
      <c r="B33" s="630"/>
      <c r="C33" s="631"/>
      <c r="D33" s="632"/>
      <c r="E33" s="630"/>
      <c r="F33" s="633"/>
      <c r="G33" s="634"/>
      <c r="H33" s="634"/>
      <c r="I33" s="635"/>
      <c r="J33" s="636"/>
      <c r="K33" s="635"/>
      <c r="L33" s="637"/>
    </row>
    <row r="34" spans="2:12">
      <c r="B34" s="624" t="s">
        <v>503</v>
      </c>
      <c r="C34" s="618"/>
      <c r="D34" s="625" t="s">
        <v>585</v>
      </c>
      <c r="E34" s="624" t="s">
        <v>586</v>
      </c>
      <c r="F34" s="626"/>
      <c r="G34" s="627"/>
      <c r="H34" s="727"/>
      <c r="I34" s="728"/>
      <c r="J34" s="628">
        <f>(F34*H34)+I34</f>
        <v>0</v>
      </c>
      <c r="K34" s="628">
        <f>J34*G34</f>
        <v>0</v>
      </c>
      <c r="L34" s="629"/>
    </row>
    <row r="35" spans="2:12">
      <c r="B35" s="624" t="s">
        <v>503</v>
      </c>
      <c r="C35" s="618"/>
      <c r="D35" s="625" t="s">
        <v>587</v>
      </c>
      <c r="E35" s="624" t="s">
        <v>586</v>
      </c>
      <c r="F35" s="626"/>
      <c r="G35" s="627"/>
      <c r="H35" s="727"/>
      <c r="I35" s="728"/>
      <c r="J35" s="628">
        <f t="shared" ref="J35:J36" si="3">(F35*H35)+I35</f>
        <v>0</v>
      </c>
      <c r="K35" s="628">
        <f>J35*G35</f>
        <v>0</v>
      </c>
      <c r="L35" s="629"/>
    </row>
    <row r="36" spans="2:12">
      <c r="B36" s="624" t="s">
        <v>503</v>
      </c>
      <c r="C36" s="618"/>
      <c r="D36" s="625" t="s">
        <v>589</v>
      </c>
      <c r="E36" s="624" t="s">
        <v>588</v>
      </c>
      <c r="F36" s="626"/>
      <c r="G36" s="627"/>
      <c r="H36" s="727"/>
      <c r="I36" s="728"/>
      <c r="J36" s="628">
        <f t="shared" si="3"/>
        <v>0</v>
      </c>
      <c r="K36" s="628">
        <f>J36*G36</f>
        <v>0</v>
      </c>
      <c r="L36" s="629"/>
    </row>
    <row r="37" spans="2:12">
      <c r="B37" s="630"/>
      <c r="C37" s="631"/>
      <c r="D37" s="632"/>
      <c r="E37" s="630"/>
      <c r="F37" s="633"/>
      <c r="G37" s="634"/>
      <c r="H37" s="634"/>
      <c r="I37" s="635"/>
      <c r="J37" s="636"/>
      <c r="K37" s="635"/>
      <c r="L37" s="637"/>
    </row>
    <row r="38" spans="2:12">
      <c r="B38" s="624" t="s">
        <v>504</v>
      </c>
      <c r="C38" s="618"/>
      <c r="D38" s="625" t="s">
        <v>585</v>
      </c>
      <c r="E38" s="624" t="s">
        <v>586</v>
      </c>
      <c r="F38" s="626"/>
      <c r="G38" s="627"/>
      <c r="H38" s="727"/>
      <c r="I38" s="728"/>
      <c r="J38" s="628">
        <f>(F38*H38)+I38</f>
        <v>0</v>
      </c>
      <c r="K38" s="628">
        <f>J38*G38</f>
        <v>0</v>
      </c>
      <c r="L38" s="629"/>
    </row>
    <row r="39" spans="2:12">
      <c r="B39" s="624" t="s">
        <v>504</v>
      </c>
      <c r="C39" s="618"/>
      <c r="D39" s="625" t="s">
        <v>587</v>
      </c>
      <c r="E39" s="624" t="s">
        <v>586</v>
      </c>
      <c r="F39" s="626"/>
      <c r="G39" s="627"/>
      <c r="H39" s="727"/>
      <c r="I39" s="728"/>
      <c r="J39" s="628">
        <f t="shared" ref="J39:J40" si="4">(F39*H39)+I39</f>
        <v>0</v>
      </c>
      <c r="K39" s="628">
        <f>J39*G39</f>
        <v>0</v>
      </c>
      <c r="L39" s="629"/>
    </row>
    <row r="40" spans="2:12">
      <c r="B40" s="624" t="s">
        <v>504</v>
      </c>
      <c r="C40" s="618"/>
      <c r="D40" s="625" t="s">
        <v>589</v>
      </c>
      <c r="E40" s="624" t="s">
        <v>588</v>
      </c>
      <c r="F40" s="626"/>
      <c r="G40" s="627"/>
      <c r="H40" s="727"/>
      <c r="I40" s="728"/>
      <c r="J40" s="628">
        <f t="shared" si="4"/>
        <v>0</v>
      </c>
      <c r="K40" s="628">
        <f>J40*G40</f>
        <v>0</v>
      </c>
      <c r="L40" s="629"/>
    </row>
    <row r="41" spans="2:12">
      <c r="B41" s="630"/>
      <c r="C41" s="631"/>
      <c r="D41" s="632"/>
      <c r="E41" s="630"/>
      <c r="F41" s="633"/>
      <c r="G41" s="634"/>
      <c r="H41" s="634"/>
      <c r="I41" s="635"/>
      <c r="J41" s="636"/>
      <c r="K41" s="635"/>
      <c r="L41" s="637"/>
    </row>
    <row r="42" spans="2:12">
      <c r="B42" s="624" t="s">
        <v>502</v>
      </c>
      <c r="C42" s="618"/>
      <c r="D42" s="625" t="s">
        <v>585</v>
      </c>
      <c r="E42" s="624" t="s">
        <v>586</v>
      </c>
      <c r="F42" s="626"/>
      <c r="G42" s="627"/>
      <c r="H42" s="727"/>
      <c r="I42" s="728"/>
      <c r="J42" s="628">
        <f>(F42*H42)+I42</f>
        <v>0</v>
      </c>
      <c r="K42" s="628">
        <f>J42*G42</f>
        <v>0</v>
      </c>
      <c r="L42" s="629"/>
    </row>
    <row r="43" spans="2:12">
      <c r="B43" s="624" t="s">
        <v>502</v>
      </c>
      <c r="C43" s="618"/>
      <c r="D43" s="625" t="s">
        <v>587</v>
      </c>
      <c r="E43" s="624" t="s">
        <v>586</v>
      </c>
      <c r="F43" s="626"/>
      <c r="G43" s="627"/>
      <c r="H43" s="727"/>
      <c r="I43" s="728"/>
      <c r="J43" s="628">
        <f t="shared" ref="J43:J44" si="5">(F43*H43)+I43</f>
        <v>0</v>
      </c>
      <c r="K43" s="628">
        <f>J43*G43</f>
        <v>0</v>
      </c>
      <c r="L43" s="629"/>
    </row>
    <row r="44" spans="2:12">
      <c r="B44" s="624" t="s">
        <v>502</v>
      </c>
      <c r="C44" s="618"/>
      <c r="D44" s="625" t="s">
        <v>589</v>
      </c>
      <c r="E44" s="624" t="s">
        <v>588</v>
      </c>
      <c r="F44" s="626"/>
      <c r="G44" s="627"/>
      <c r="H44" s="727"/>
      <c r="I44" s="728"/>
      <c r="J44" s="628">
        <f t="shared" si="5"/>
        <v>0</v>
      </c>
      <c r="K44" s="628">
        <f>J44*G44</f>
        <v>0</v>
      </c>
      <c r="L44" s="629"/>
    </row>
    <row r="45" spans="2:12">
      <c r="B45" s="630"/>
      <c r="C45" s="631"/>
      <c r="D45" s="632"/>
      <c r="E45" s="630"/>
      <c r="F45" s="633"/>
      <c r="G45" s="634"/>
      <c r="H45" s="634"/>
      <c r="I45" s="635"/>
      <c r="J45" s="636"/>
      <c r="K45" s="635"/>
      <c r="L45" s="637"/>
    </row>
    <row r="46" spans="2:12">
      <c r="B46" s="624" t="s">
        <v>527</v>
      </c>
      <c r="C46" s="618"/>
      <c r="D46" s="625" t="s">
        <v>585</v>
      </c>
      <c r="E46" s="624" t="s">
        <v>586</v>
      </c>
      <c r="F46" s="626"/>
      <c r="G46" s="627"/>
      <c r="H46" s="727"/>
      <c r="I46" s="728"/>
      <c r="J46" s="628">
        <f>(F46*H46)+I46</f>
        <v>0</v>
      </c>
      <c r="K46" s="628">
        <f>J46*G46</f>
        <v>0</v>
      </c>
      <c r="L46" s="629"/>
    </row>
    <row r="47" spans="2:12">
      <c r="B47" s="624" t="s">
        <v>527</v>
      </c>
      <c r="C47" s="618"/>
      <c r="D47" s="625" t="s">
        <v>587</v>
      </c>
      <c r="E47" s="624" t="s">
        <v>586</v>
      </c>
      <c r="F47" s="626"/>
      <c r="G47" s="627"/>
      <c r="H47" s="727"/>
      <c r="I47" s="728"/>
      <c r="J47" s="628">
        <f t="shared" ref="J47:J48" si="6">(F47*H47)+I47</f>
        <v>0</v>
      </c>
      <c r="K47" s="628">
        <f>J47*G47</f>
        <v>0</v>
      </c>
      <c r="L47" s="629"/>
    </row>
    <row r="48" spans="2:12">
      <c r="B48" s="624" t="s">
        <v>527</v>
      </c>
      <c r="C48" s="618"/>
      <c r="D48" s="625" t="s">
        <v>589</v>
      </c>
      <c r="E48" s="624" t="s">
        <v>588</v>
      </c>
      <c r="F48" s="626"/>
      <c r="G48" s="627"/>
      <c r="H48" s="727"/>
      <c r="I48" s="728"/>
      <c r="J48" s="628">
        <f t="shared" si="6"/>
        <v>0</v>
      </c>
      <c r="K48" s="628">
        <f>J48*G48</f>
        <v>0</v>
      </c>
      <c r="L48" s="629"/>
    </row>
    <row r="49" spans="2:12" ht="13.5" thickBot="1">
      <c r="B49" s="719"/>
      <c r="C49" s="720"/>
      <c r="D49" s="721"/>
      <c r="E49" s="719"/>
      <c r="F49" s="722"/>
      <c r="G49" s="723"/>
      <c r="H49" s="723"/>
      <c r="I49" s="724"/>
      <c r="J49" s="725"/>
      <c r="K49" s="724"/>
      <c r="L49" s="726"/>
    </row>
    <row r="50" spans="2:12" s="643" customFormat="1" ht="13.5" thickBot="1">
      <c r="B50" s="638" t="s">
        <v>591</v>
      </c>
      <c r="C50" s="639"/>
      <c r="D50" s="639"/>
      <c r="E50" s="639"/>
      <c r="F50" s="640">
        <f>SUM(F22:F49)</f>
        <v>0</v>
      </c>
      <c r="G50" s="639"/>
      <c r="H50" s="639"/>
      <c r="I50" s="639"/>
      <c r="J50" s="641"/>
      <c r="K50" s="642">
        <f>SUM(K22:K49)</f>
        <v>0</v>
      </c>
    </row>
    <row r="51" spans="2:12">
      <c r="B51" s="644"/>
      <c r="C51" s="644"/>
      <c r="D51" s="644"/>
      <c r="E51" s="644"/>
      <c r="F51" s="644"/>
      <c r="G51" s="644"/>
      <c r="H51" s="644"/>
      <c r="I51" s="644"/>
    </row>
    <row r="52" spans="2:12">
      <c r="B52" s="644"/>
      <c r="C52" s="644"/>
      <c r="D52" s="644"/>
      <c r="E52" s="644"/>
      <c r="F52" s="644"/>
      <c r="G52" s="644"/>
      <c r="H52" s="644"/>
      <c r="I52" s="644"/>
    </row>
    <row r="66" spans="2:3">
      <c r="B66" s="489" t="s">
        <v>22</v>
      </c>
      <c r="C66" s="456" t="s">
        <v>592</v>
      </c>
    </row>
    <row r="67" spans="2:3">
      <c r="B67" s="489" t="s">
        <v>151</v>
      </c>
      <c r="C67" s="456" t="s">
        <v>142</v>
      </c>
    </row>
    <row r="68" spans="2:3">
      <c r="B68" s="489" t="s">
        <v>157</v>
      </c>
      <c r="C68" s="456" t="s">
        <v>118</v>
      </c>
    </row>
    <row r="70" spans="2:3">
      <c r="B70" s="645"/>
      <c r="C70" s="614" t="s">
        <v>593</v>
      </c>
    </row>
  </sheetData>
  <autoFilter ref="B21:L50">
    <sortState ref="B8:AA55">
      <sortCondition ref="B7:B55"/>
    </sortState>
  </autoFilter>
  <dataValidations count="2">
    <dataValidation type="list" allowBlank="1" showInputMessage="1" showErrorMessage="1" sqref="E22:E48">
      <formula1>$S$22:$S$22</formula1>
    </dataValidation>
    <dataValidation type="list" allowBlank="1" showInputMessage="1" showErrorMessage="1" sqref="E49">
      <formula1>#REF!</formula1>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70"/>
  <sheetViews>
    <sheetView showGridLines="0" zoomScaleNormal="100" workbookViewId="0">
      <pane xSplit="1" ySplit="11" topLeftCell="B12" activePane="bottomRight" state="frozen"/>
      <selection pane="topRight" activeCell="B1" sqref="B1"/>
      <selection pane="bottomLeft" activeCell="A15" sqref="A15"/>
      <selection pane="bottomRight" activeCell="I20" sqref="I20"/>
    </sheetView>
  </sheetViews>
  <sheetFormatPr defaultRowHeight="12.75"/>
  <cols>
    <col min="1" max="1" width="2.85546875" style="614" customWidth="1"/>
    <col min="2" max="2" width="31" style="614" customWidth="1"/>
    <col min="3" max="3" width="49" style="614" customWidth="1"/>
    <col min="4" max="4" width="23.7109375" style="614" customWidth="1"/>
    <col min="5" max="5" width="17.140625" style="614" customWidth="1"/>
    <col min="6" max="6" width="9.140625" style="614" customWidth="1"/>
    <col min="7" max="7" width="11.42578125" style="614" customWidth="1"/>
    <col min="8" max="8" width="9.140625" style="614" customWidth="1"/>
    <col min="9" max="9" width="16.85546875" style="614" customWidth="1"/>
    <col min="10" max="10" width="13.5703125" style="614" customWidth="1"/>
    <col min="11" max="11" width="16.5703125" style="614" customWidth="1"/>
    <col min="12" max="12" width="39.5703125" style="614" customWidth="1"/>
    <col min="13" max="13" width="9.140625" style="614" customWidth="1"/>
    <col min="14" max="16384" width="9.140625" style="614"/>
  </cols>
  <sheetData>
    <row r="1" spans="2:7">
      <c r="B1" s="437" t="s">
        <v>109</v>
      </c>
      <c r="C1" s="613"/>
      <c r="D1" s="613"/>
    </row>
    <row r="2" spans="2:7">
      <c r="B2" s="615"/>
      <c r="C2" s="615"/>
    </row>
    <row r="3" spans="2:7">
      <c r="B3" s="440"/>
      <c r="C3" s="440"/>
      <c r="D3" s="440"/>
    </row>
    <row r="4" spans="2:7" ht="15">
      <c r="B4" s="441" t="s">
        <v>114</v>
      </c>
      <c r="C4" s="85" t="str">
        <f>'1-Contractblad'!B3</f>
        <v>LMC</v>
      </c>
      <c r="D4" s="616"/>
    </row>
    <row r="5" spans="2:7" ht="15">
      <c r="B5" s="441" t="s">
        <v>55</v>
      </c>
      <c r="C5" s="85" t="s">
        <v>643</v>
      </c>
      <c r="D5" s="566"/>
    </row>
    <row r="6" spans="2:7" ht="15">
      <c r="B6" s="441" t="s">
        <v>272</v>
      </c>
      <c r="C6" s="85" t="str">
        <f>'1-Contractblad'!B5</f>
        <v>Rotterdam</v>
      </c>
      <c r="D6" s="564"/>
    </row>
    <row r="7" spans="2:7" ht="15">
      <c r="B7" s="441" t="s">
        <v>145</v>
      </c>
      <c r="C7" s="85" t="str">
        <f>'1-Contractblad'!B6</f>
        <v>LMC-EA-JV-2014</v>
      </c>
      <c r="D7" s="564"/>
    </row>
    <row r="8" spans="2:7" ht="15">
      <c r="B8" s="441" t="s">
        <v>208</v>
      </c>
      <c r="C8" s="85">
        <f>'1-Contractblad'!B7</f>
        <v>0</v>
      </c>
      <c r="D8" s="564"/>
    </row>
    <row r="9" spans="2:7" ht="15">
      <c r="B9" s="441" t="s">
        <v>45</v>
      </c>
      <c r="C9" s="89">
        <f>'1-Contractblad'!B8</f>
        <v>2014</v>
      </c>
      <c r="D9" s="567"/>
    </row>
    <row r="10" spans="2:7" ht="15">
      <c r="B10" s="441" t="s">
        <v>146</v>
      </c>
      <c r="C10" s="85" t="str">
        <f>'1-Contractblad'!B9</f>
        <v>Vertrouwelijk</v>
      </c>
      <c r="D10" s="568"/>
    </row>
    <row r="12" spans="2:7">
      <c r="B12" s="489"/>
      <c r="C12" s="456"/>
    </row>
    <row r="13" spans="2:7">
      <c r="B13" s="800" t="s">
        <v>620</v>
      </c>
      <c r="C13" s="801"/>
      <c r="D13" s="801"/>
      <c r="E13" s="801"/>
      <c r="F13" s="801"/>
      <c r="G13" s="802"/>
    </row>
    <row r="14" spans="2:7" ht="25.5">
      <c r="B14" s="737" t="s">
        <v>621</v>
      </c>
      <c r="C14" s="737" t="s">
        <v>622</v>
      </c>
      <c r="D14" s="738" t="s">
        <v>646</v>
      </c>
      <c r="E14" s="738" t="s">
        <v>623</v>
      </c>
      <c r="F14" s="803" t="s">
        <v>146</v>
      </c>
      <c r="G14" s="804"/>
    </row>
    <row r="15" spans="2:7">
      <c r="B15" s="740" t="s">
        <v>624</v>
      </c>
      <c r="C15" s="741" t="s">
        <v>625</v>
      </c>
      <c r="D15" s="742"/>
      <c r="E15" s="742"/>
      <c r="F15" s="749"/>
      <c r="G15" s="750"/>
    </row>
    <row r="16" spans="2:7">
      <c r="B16" s="740" t="s">
        <v>639</v>
      </c>
      <c r="C16" s="741" t="s">
        <v>625</v>
      </c>
      <c r="D16" s="742"/>
      <c r="E16" s="742"/>
      <c r="F16" s="749"/>
      <c r="G16" s="750"/>
    </row>
    <row r="17" spans="2:7">
      <c r="B17" s="740" t="s">
        <v>626</v>
      </c>
      <c r="C17" s="741" t="s">
        <v>625</v>
      </c>
      <c r="D17" s="742"/>
      <c r="E17" s="742"/>
      <c r="F17" s="749"/>
      <c r="G17" s="750"/>
    </row>
    <row r="18" spans="2:7">
      <c r="B18" s="740" t="s">
        <v>627</v>
      </c>
      <c r="C18" s="741" t="s">
        <v>625</v>
      </c>
      <c r="D18" s="742"/>
      <c r="E18" s="742"/>
      <c r="F18" s="749"/>
      <c r="G18" s="750"/>
    </row>
    <row r="19" spans="2:7">
      <c r="B19" s="740" t="s">
        <v>628</v>
      </c>
      <c r="C19" s="741" t="s">
        <v>625</v>
      </c>
      <c r="D19" s="742"/>
      <c r="E19" s="742"/>
      <c r="F19" s="749"/>
      <c r="G19" s="750"/>
    </row>
    <row r="20" spans="2:7">
      <c r="B20" s="740" t="s">
        <v>629</v>
      </c>
      <c r="C20" s="741" t="s">
        <v>625</v>
      </c>
      <c r="D20" s="742"/>
      <c r="E20" s="742"/>
      <c r="F20" s="749"/>
      <c r="G20" s="750"/>
    </row>
    <row r="21" spans="2:7">
      <c r="B21" s="740" t="s">
        <v>630</v>
      </c>
      <c r="C21" s="741" t="s">
        <v>625</v>
      </c>
      <c r="D21" s="742"/>
      <c r="E21" s="742"/>
      <c r="F21" s="749"/>
      <c r="G21" s="750"/>
    </row>
    <row r="22" spans="2:7">
      <c r="B22" s="744" t="s">
        <v>631</v>
      </c>
      <c r="C22" s="741" t="s">
        <v>625</v>
      </c>
      <c r="D22" s="742"/>
      <c r="E22" s="742"/>
      <c r="F22" s="749"/>
      <c r="G22" s="750"/>
    </row>
    <row r="23" spans="2:7">
      <c r="B23" s="744" t="s">
        <v>632</v>
      </c>
      <c r="C23" s="741" t="s">
        <v>625</v>
      </c>
      <c r="D23" s="742"/>
      <c r="E23" s="742"/>
      <c r="F23" s="749"/>
      <c r="G23" s="750"/>
    </row>
    <row r="24" spans="2:7">
      <c r="B24" s="740" t="s">
        <v>633</v>
      </c>
      <c r="C24" s="741" t="s">
        <v>625</v>
      </c>
      <c r="D24" s="742"/>
      <c r="E24" s="742"/>
      <c r="F24" s="749"/>
      <c r="G24" s="750"/>
    </row>
    <row r="25" spans="2:7">
      <c r="B25" s="740" t="s">
        <v>634</v>
      </c>
      <c r="C25" s="741" t="s">
        <v>625</v>
      </c>
      <c r="D25" s="742"/>
      <c r="E25" s="742"/>
      <c r="F25" s="749"/>
      <c r="G25" s="750"/>
    </row>
    <row r="26" spans="2:7">
      <c r="B26" s="740" t="s">
        <v>635</v>
      </c>
      <c r="C26" s="741" t="s">
        <v>625</v>
      </c>
      <c r="D26" s="742"/>
      <c r="E26" s="742"/>
      <c r="F26" s="749"/>
      <c r="G26" s="750"/>
    </row>
    <row r="27" spans="2:7">
      <c r="B27" s="740" t="s">
        <v>636</v>
      </c>
      <c r="C27" s="741" t="s">
        <v>625</v>
      </c>
      <c r="D27" s="742"/>
      <c r="E27" s="742"/>
      <c r="F27" s="749"/>
      <c r="G27" s="750"/>
    </row>
    <row r="28" spans="2:7">
      <c r="B28" s="745"/>
      <c r="C28" s="745"/>
      <c r="D28" s="746"/>
      <c r="E28" s="747"/>
      <c r="F28" s="747"/>
    </row>
    <row r="29" spans="2:7">
      <c r="B29" s="733"/>
      <c r="C29" s="734"/>
      <c r="D29" s="735"/>
      <c r="E29" s="753"/>
      <c r="F29" s="748"/>
    </row>
    <row r="30" spans="2:7">
      <c r="B30" s="805" t="s">
        <v>637</v>
      </c>
      <c r="C30" s="806"/>
      <c r="D30" s="737" t="s">
        <v>622</v>
      </c>
      <c r="E30" s="739" t="s">
        <v>146</v>
      </c>
      <c r="F30" s="748"/>
    </row>
    <row r="31" spans="2:7">
      <c r="B31" s="798"/>
      <c r="C31" s="799"/>
      <c r="D31" s="741" t="s">
        <v>625</v>
      </c>
      <c r="E31" s="743" t="s">
        <v>638</v>
      </c>
      <c r="F31" s="748"/>
    </row>
    <row r="32" spans="2:7">
      <c r="B32" s="751"/>
      <c r="C32" s="752"/>
      <c r="D32" s="741" t="s">
        <v>625</v>
      </c>
      <c r="E32" s="743" t="s">
        <v>638</v>
      </c>
      <c r="F32" s="748"/>
    </row>
    <row r="33" spans="2:7">
      <c r="B33" s="798"/>
      <c r="C33" s="799"/>
      <c r="D33" s="741" t="s">
        <v>625</v>
      </c>
      <c r="E33" s="743" t="s">
        <v>638</v>
      </c>
      <c r="F33" s="748"/>
    </row>
    <row r="34" spans="2:7">
      <c r="B34" s="798"/>
      <c r="C34" s="799"/>
      <c r="D34" s="741" t="s">
        <v>625</v>
      </c>
      <c r="E34" s="743" t="s">
        <v>638</v>
      </c>
      <c r="F34" s="748"/>
    </row>
    <row r="35" spans="2:7">
      <c r="B35" s="798"/>
      <c r="C35" s="799"/>
      <c r="D35" s="741" t="s">
        <v>625</v>
      </c>
      <c r="E35" s="743" t="s">
        <v>638</v>
      </c>
      <c r="F35" s="748"/>
    </row>
    <row r="36" spans="2:7">
      <c r="B36" s="798"/>
      <c r="C36" s="799"/>
      <c r="D36" s="741" t="s">
        <v>625</v>
      </c>
      <c r="E36" s="743" t="s">
        <v>638</v>
      </c>
      <c r="F36" s="748"/>
    </row>
    <row r="37" spans="2:7">
      <c r="B37" s="798"/>
      <c r="C37" s="799"/>
      <c r="D37" s="741" t="s">
        <v>625</v>
      </c>
      <c r="E37" s="743" t="s">
        <v>638</v>
      </c>
      <c r="F37" s="748"/>
    </row>
    <row r="38" spans="2:7">
      <c r="B38" s="798"/>
      <c r="C38" s="799"/>
      <c r="D38" s="741" t="s">
        <v>625</v>
      </c>
      <c r="E38" s="743" t="s">
        <v>638</v>
      </c>
      <c r="F38" s="748"/>
    </row>
    <row r="39" spans="2:7">
      <c r="B39" s="798"/>
      <c r="C39" s="799"/>
      <c r="D39" s="741" t="s">
        <v>625</v>
      </c>
      <c r="E39" s="743" t="s">
        <v>638</v>
      </c>
      <c r="F39" s="748"/>
    </row>
    <row r="40" spans="2:7">
      <c r="B40" s="798"/>
      <c r="C40" s="799"/>
      <c r="D40" s="741" t="s">
        <v>625</v>
      </c>
      <c r="E40" s="743" t="s">
        <v>638</v>
      </c>
      <c r="F40" s="748"/>
    </row>
    <row r="43" spans="2:7">
      <c r="B43" s="733" t="s">
        <v>620</v>
      </c>
      <c r="C43" s="734"/>
      <c r="D43" s="735"/>
      <c r="E43" s="736"/>
      <c r="F43" s="753"/>
    </row>
    <row r="44" spans="2:7" ht="25.5">
      <c r="B44" s="737" t="s">
        <v>621</v>
      </c>
      <c r="C44" s="737" t="s">
        <v>622</v>
      </c>
      <c r="D44" s="738" t="s">
        <v>646</v>
      </c>
      <c r="E44" s="738" t="s">
        <v>623</v>
      </c>
      <c r="F44" s="803" t="s">
        <v>146</v>
      </c>
      <c r="G44" s="804"/>
    </row>
    <row r="45" spans="2:7">
      <c r="B45" s="740" t="s">
        <v>624</v>
      </c>
      <c r="C45" s="741" t="s">
        <v>640</v>
      </c>
      <c r="D45" s="742"/>
      <c r="E45" s="742"/>
      <c r="F45" s="749"/>
      <c r="G45" s="750"/>
    </row>
    <row r="46" spans="2:7">
      <c r="B46" s="740" t="s">
        <v>639</v>
      </c>
      <c r="C46" s="741" t="s">
        <v>640</v>
      </c>
      <c r="D46" s="742"/>
      <c r="E46" s="742"/>
      <c r="F46" s="749"/>
      <c r="G46" s="750"/>
    </row>
    <row r="47" spans="2:7">
      <c r="B47" s="740" t="s">
        <v>626</v>
      </c>
      <c r="C47" s="741" t="s">
        <v>640</v>
      </c>
      <c r="D47" s="742"/>
      <c r="E47" s="742"/>
      <c r="F47" s="749"/>
      <c r="G47" s="750"/>
    </row>
    <row r="48" spans="2:7">
      <c r="B48" s="740" t="s">
        <v>627</v>
      </c>
      <c r="C48" s="741" t="s">
        <v>640</v>
      </c>
      <c r="D48" s="742"/>
      <c r="E48" s="742"/>
      <c r="F48" s="749"/>
      <c r="G48" s="750"/>
    </row>
    <row r="49" spans="2:7">
      <c r="B49" s="740" t="s">
        <v>628</v>
      </c>
      <c r="C49" s="741" t="s">
        <v>640</v>
      </c>
      <c r="D49" s="742"/>
      <c r="E49" s="742"/>
      <c r="F49" s="749"/>
      <c r="G49" s="750"/>
    </row>
    <row r="50" spans="2:7">
      <c r="B50" s="740" t="s">
        <v>629</v>
      </c>
      <c r="C50" s="741" t="s">
        <v>640</v>
      </c>
      <c r="D50" s="742"/>
      <c r="E50" s="742"/>
      <c r="F50" s="749"/>
      <c r="G50" s="750"/>
    </row>
    <row r="51" spans="2:7">
      <c r="B51" s="740" t="s">
        <v>630</v>
      </c>
      <c r="C51" s="741" t="s">
        <v>640</v>
      </c>
      <c r="D51" s="742"/>
      <c r="E51" s="742"/>
      <c r="F51" s="749"/>
      <c r="G51" s="750"/>
    </row>
    <row r="52" spans="2:7">
      <c r="B52" s="744" t="s">
        <v>631</v>
      </c>
      <c r="C52" s="741" t="s">
        <v>640</v>
      </c>
      <c r="D52" s="742"/>
      <c r="E52" s="742"/>
      <c r="F52" s="749"/>
      <c r="G52" s="750"/>
    </row>
    <row r="53" spans="2:7">
      <c r="B53" s="744" t="s">
        <v>632</v>
      </c>
      <c r="C53" s="741" t="s">
        <v>640</v>
      </c>
      <c r="D53" s="742"/>
      <c r="E53" s="742"/>
      <c r="F53" s="749"/>
      <c r="G53" s="750"/>
    </row>
    <row r="54" spans="2:7">
      <c r="B54" s="740" t="s">
        <v>633</v>
      </c>
      <c r="C54" s="741" t="s">
        <v>640</v>
      </c>
      <c r="D54" s="742"/>
      <c r="E54" s="742"/>
      <c r="F54" s="749"/>
      <c r="G54" s="750"/>
    </row>
    <row r="55" spans="2:7" ht="12.75" customHeight="1">
      <c r="B55" s="740" t="s">
        <v>634</v>
      </c>
      <c r="C55" s="741" t="s">
        <v>640</v>
      </c>
      <c r="D55" s="742"/>
      <c r="E55" s="742"/>
      <c r="F55" s="749"/>
      <c r="G55" s="750"/>
    </row>
    <row r="56" spans="2:7">
      <c r="B56" s="740" t="s">
        <v>635</v>
      </c>
      <c r="C56" s="741" t="s">
        <v>640</v>
      </c>
      <c r="D56" s="742"/>
      <c r="E56" s="742"/>
      <c r="F56" s="749"/>
      <c r="G56" s="750"/>
    </row>
    <row r="57" spans="2:7">
      <c r="B57" s="740" t="s">
        <v>636</v>
      </c>
      <c r="C57" s="741" t="s">
        <v>640</v>
      </c>
      <c r="D57" s="742"/>
      <c r="E57" s="742"/>
      <c r="F57" s="749"/>
      <c r="G57" s="750"/>
    </row>
    <row r="58" spans="2:7">
      <c r="B58" s="745"/>
      <c r="C58" s="745"/>
      <c r="D58" s="746"/>
      <c r="E58" s="747"/>
      <c r="F58" s="747"/>
    </row>
    <row r="59" spans="2:7">
      <c r="B59" s="733"/>
      <c r="C59" s="734"/>
      <c r="D59" s="735"/>
      <c r="E59" s="753"/>
      <c r="F59" s="748"/>
    </row>
    <row r="60" spans="2:7" ht="12.75" customHeight="1">
      <c r="B60" s="805" t="s">
        <v>641</v>
      </c>
      <c r="C60" s="806"/>
      <c r="D60" s="737" t="s">
        <v>622</v>
      </c>
      <c r="E60" s="739" t="s">
        <v>146</v>
      </c>
      <c r="F60" s="748"/>
    </row>
    <row r="61" spans="2:7">
      <c r="B61" s="798"/>
      <c r="C61" s="799"/>
      <c r="D61" s="741" t="s">
        <v>642</v>
      </c>
      <c r="E61" s="743" t="s">
        <v>638</v>
      </c>
      <c r="F61" s="748"/>
    </row>
    <row r="62" spans="2:7">
      <c r="B62" s="751"/>
      <c r="C62" s="752"/>
      <c r="D62" s="741" t="s">
        <v>642</v>
      </c>
      <c r="E62" s="743" t="s">
        <v>638</v>
      </c>
      <c r="F62" s="748"/>
    </row>
    <row r="63" spans="2:7">
      <c r="B63" s="798"/>
      <c r="C63" s="799"/>
      <c r="D63" s="741" t="s">
        <v>642</v>
      </c>
      <c r="E63" s="743" t="s">
        <v>638</v>
      </c>
      <c r="F63" s="748"/>
    </row>
    <row r="64" spans="2:7">
      <c r="B64" s="798"/>
      <c r="C64" s="799"/>
      <c r="D64" s="741" t="s">
        <v>642</v>
      </c>
      <c r="E64" s="743" t="s">
        <v>638</v>
      </c>
      <c r="F64" s="748"/>
    </row>
    <row r="65" spans="2:14">
      <c r="B65" s="798"/>
      <c r="C65" s="799"/>
      <c r="D65" s="741" t="s">
        <v>642</v>
      </c>
      <c r="E65" s="743" t="s">
        <v>638</v>
      </c>
      <c r="F65" s="748"/>
    </row>
    <row r="66" spans="2:14">
      <c r="B66" s="798"/>
      <c r="C66" s="799"/>
      <c r="D66" s="741" t="s">
        <v>642</v>
      </c>
      <c r="E66" s="743" t="s">
        <v>638</v>
      </c>
      <c r="F66" s="748"/>
      <c r="H66" s="754"/>
      <c r="I66" s="754"/>
      <c r="J66" s="754"/>
      <c r="K66" s="754"/>
      <c r="L66" s="754"/>
      <c r="M66" s="754"/>
      <c r="N66" s="754"/>
    </row>
    <row r="67" spans="2:14">
      <c r="B67" s="798"/>
      <c r="C67" s="799"/>
      <c r="D67" s="741" t="s">
        <v>642</v>
      </c>
      <c r="E67" s="743" t="s">
        <v>638</v>
      </c>
      <c r="F67" s="748"/>
      <c r="H67" s="754"/>
      <c r="I67" s="754"/>
      <c r="J67" s="754"/>
      <c r="K67" s="754"/>
      <c r="L67" s="754"/>
      <c r="M67" s="754"/>
      <c r="N67" s="754"/>
    </row>
    <row r="68" spans="2:14">
      <c r="B68" s="798"/>
      <c r="C68" s="799"/>
      <c r="D68" s="741" t="s">
        <v>642</v>
      </c>
      <c r="E68" s="743" t="s">
        <v>638</v>
      </c>
      <c r="F68" s="748"/>
      <c r="H68" s="754"/>
      <c r="I68" s="754"/>
      <c r="J68" s="754"/>
      <c r="K68" s="754"/>
      <c r="L68" s="754"/>
      <c r="M68" s="754"/>
      <c r="N68" s="754"/>
    </row>
    <row r="69" spans="2:14">
      <c r="B69" s="798"/>
      <c r="C69" s="799"/>
      <c r="D69" s="741" t="s">
        <v>642</v>
      </c>
      <c r="E69" s="743" t="s">
        <v>638</v>
      </c>
      <c r="F69" s="748"/>
      <c r="H69" s="754"/>
      <c r="I69" s="754"/>
      <c r="J69" s="754"/>
      <c r="K69" s="754"/>
      <c r="L69" s="754"/>
      <c r="M69" s="754"/>
      <c r="N69" s="754"/>
    </row>
    <row r="70" spans="2:14">
      <c r="B70" s="798"/>
      <c r="C70" s="799"/>
      <c r="D70" s="741" t="s">
        <v>642</v>
      </c>
      <c r="E70" s="743" t="s">
        <v>638</v>
      </c>
      <c r="F70" s="748"/>
    </row>
  </sheetData>
  <mergeCells count="23">
    <mergeCell ref="B13:G13"/>
    <mergeCell ref="F14:G14"/>
    <mergeCell ref="F44:G44"/>
    <mergeCell ref="B64:C64"/>
    <mergeCell ref="B65:C65"/>
    <mergeCell ref="B30:C30"/>
    <mergeCell ref="B31:C31"/>
    <mergeCell ref="B33:C33"/>
    <mergeCell ref="B34:C34"/>
    <mergeCell ref="B35:C35"/>
    <mergeCell ref="B36:C36"/>
    <mergeCell ref="B37:C37"/>
    <mergeCell ref="B38:C38"/>
    <mergeCell ref="B39:C39"/>
    <mergeCell ref="B40:C40"/>
    <mergeCell ref="B60:C60"/>
    <mergeCell ref="B69:C69"/>
    <mergeCell ref="B70:C70"/>
    <mergeCell ref="B61:C61"/>
    <mergeCell ref="B63:C63"/>
    <mergeCell ref="B66:C66"/>
    <mergeCell ref="B67:C67"/>
    <mergeCell ref="B68:C6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showZeros="0" showOutlineSymbols="0" workbookViewId="0">
      <selection activeCell="G4" sqref="G4"/>
    </sheetView>
  </sheetViews>
  <sheetFormatPr defaultColWidth="9.28515625" defaultRowHeight="12.75"/>
  <cols>
    <col min="1" max="1" width="36.7109375" style="37" bestFit="1" customWidth="1"/>
    <col min="2" max="5" width="15.7109375" style="37" customWidth="1"/>
    <col min="6" max="6" width="12.85546875" style="37" bestFit="1" customWidth="1"/>
    <col min="7" max="7" width="2.140625" style="37" customWidth="1"/>
    <col min="8" max="8" width="7.85546875" style="37" customWidth="1"/>
    <col min="9" max="9" width="27" style="37" bestFit="1" customWidth="1"/>
    <col min="10" max="16384" width="9.28515625" style="37"/>
  </cols>
  <sheetData>
    <row r="1" spans="1:8" ht="18">
      <c r="A1" s="34" t="s">
        <v>198</v>
      </c>
      <c r="B1" s="35"/>
      <c r="C1" s="35"/>
      <c r="D1" s="35"/>
      <c r="E1" s="35"/>
      <c r="F1" s="36"/>
      <c r="G1" s="36"/>
      <c r="H1" s="36"/>
    </row>
    <row r="2" spans="1:8" ht="26.1" customHeight="1">
      <c r="A2" s="34" t="s">
        <v>86</v>
      </c>
      <c r="B2" s="27"/>
      <c r="C2" s="27"/>
      <c r="D2" s="27"/>
      <c r="E2" s="27"/>
      <c r="F2" s="38"/>
      <c r="G2" s="38"/>
      <c r="H2" s="38"/>
    </row>
    <row r="3" spans="1:8" ht="15">
      <c r="A3" s="39"/>
      <c r="B3" s="27"/>
      <c r="C3" s="27"/>
      <c r="D3" s="27"/>
      <c r="E3" s="27"/>
      <c r="F3" s="40"/>
      <c r="G3" s="41"/>
      <c r="H3" s="38"/>
    </row>
    <row r="4" spans="1:8" ht="15">
      <c r="A4" s="42" t="s">
        <v>223</v>
      </c>
      <c r="B4" s="43"/>
      <c r="C4" s="43"/>
      <c r="G4" s="44" t="s">
        <v>82</v>
      </c>
      <c r="H4" s="44"/>
    </row>
    <row r="5" spans="1:8" ht="15">
      <c r="A5" s="42"/>
      <c r="B5" s="43"/>
      <c r="C5" s="43"/>
      <c r="F5" s="45"/>
      <c r="G5" s="41"/>
      <c r="H5" s="38"/>
    </row>
    <row r="6" spans="1:8" ht="18" customHeight="1">
      <c r="A6" s="46"/>
      <c r="B6" s="47"/>
      <c r="C6" s="48"/>
      <c r="D6" s="47"/>
      <c r="E6" s="48"/>
      <c r="F6" s="49"/>
      <c r="G6" s="49"/>
      <c r="H6" s="50"/>
    </row>
    <row r="7" spans="1:8" ht="15">
      <c r="A7" s="42"/>
      <c r="B7" s="51"/>
      <c r="C7" s="51"/>
      <c r="D7" s="51"/>
      <c r="E7" s="51"/>
      <c r="F7" s="40"/>
      <c r="G7" s="41"/>
      <c r="H7" s="38"/>
    </row>
    <row r="8" spans="1:8" ht="15">
      <c r="A8" s="42" t="s">
        <v>88</v>
      </c>
      <c r="B8" s="51"/>
      <c r="C8" s="51"/>
      <c r="D8" s="51"/>
      <c r="E8" s="51"/>
      <c r="F8" s="40"/>
      <c r="G8" s="41"/>
      <c r="H8" s="38"/>
    </row>
    <row r="9" spans="1:8" ht="15">
      <c r="A9" s="42"/>
      <c r="B9" s="51"/>
      <c r="C9" s="51"/>
      <c r="D9" s="51"/>
      <c r="E9" s="51"/>
      <c r="F9" s="40"/>
      <c r="G9" s="41"/>
      <c r="H9" s="38"/>
    </row>
    <row r="10" spans="1:8" ht="15">
      <c r="A10" s="42" t="s">
        <v>251</v>
      </c>
      <c r="B10" s="43"/>
      <c r="C10" s="43"/>
      <c r="D10" s="43"/>
      <c r="E10" s="43"/>
      <c r="F10" s="40"/>
      <c r="G10" s="41"/>
      <c r="H10" s="38"/>
    </row>
    <row r="11" spans="1:8" ht="15">
      <c r="A11" s="42"/>
      <c r="B11" s="43"/>
      <c r="C11" s="43"/>
      <c r="D11" s="43"/>
      <c r="E11" s="43"/>
      <c r="F11" s="40"/>
      <c r="G11" s="41"/>
      <c r="H11" s="38"/>
    </row>
    <row r="12" spans="1:8" ht="15">
      <c r="A12" s="42" t="s">
        <v>77</v>
      </c>
      <c r="B12" s="43"/>
      <c r="C12" s="43"/>
      <c r="D12" s="43"/>
      <c r="E12" s="43"/>
      <c r="F12" s="40"/>
      <c r="G12" s="41"/>
      <c r="H12" s="38"/>
    </row>
    <row r="13" spans="1:8" ht="15">
      <c r="A13" s="42"/>
      <c r="B13" s="43"/>
      <c r="C13" s="43"/>
      <c r="D13" s="43"/>
      <c r="E13" s="43"/>
      <c r="F13" s="40"/>
      <c r="G13" s="41"/>
      <c r="H13" s="38"/>
    </row>
    <row r="14" spans="1:8" ht="15">
      <c r="A14" s="42" t="s">
        <v>267</v>
      </c>
      <c r="B14" s="51"/>
      <c r="C14" s="51"/>
      <c r="D14" s="51"/>
      <c r="E14" s="51"/>
      <c r="F14" s="40"/>
      <c r="G14" s="41"/>
      <c r="H14" s="38"/>
    </row>
    <row r="15" spans="1:8" ht="15">
      <c r="A15" s="42"/>
      <c r="B15" s="43"/>
      <c r="C15" s="43"/>
      <c r="D15" s="52"/>
      <c r="E15" s="53"/>
      <c r="F15" s="40"/>
      <c r="G15" s="41"/>
      <c r="H15" s="38"/>
    </row>
    <row r="16" spans="1:8" ht="15">
      <c r="A16" s="42" t="s">
        <v>243</v>
      </c>
      <c r="B16" s="43"/>
      <c r="C16" s="43"/>
      <c r="D16" s="54"/>
      <c r="E16" s="55"/>
      <c r="F16" s="40"/>
      <c r="G16" s="41"/>
      <c r="H16" s="38"/>
    </row>
    <row r="17" spans="1:8" ht="15">
      <c r="A17" s="46"/>
      <c r="B17" s="38"/>
      <c r="C17" s="38"/>
      <c r="D17" s="38"/>
      <c r="E17" s="38"/>
      <c r="F17" s="38"/>
      <c r="G17" s="38"/>
      <c r="H17" s="38"/>
    </row>
    <row r="18" spans="1:8" ht="15">
      <c r="A18" s="42" t="s">
        <v>234</v>
      </c>
      <c r="B18" s="25"/>
      <c r="C18" s="25"/>
      <c r="D18" s="25"/>
      <c r="E18" s="25"/>
      <c r="F18" s="56"/>
      <c r="G18" s="49"/>
      <c r="H18" s="38"/>
    </row>
    <row r="19" spans="1:8" ht="15">
      <c r="A19" s="57"/>
      <c r="B19" s="58"/>
      <c r="C19" s="59"/>
      <c r="D19" s="58"/>
      <c r="E19" s="59"/>
      <c r="F19" s="60"/>
      <c r="G19" s="49"/>
      <c r="H19" s="61"/>
    </row>
    <row r="20" spans="1:8" ht="15">
      <c r="A20" s="42" t="s">
        <v>56</v>
      </c>
      <c r="B20" s="58"/>
      <c r="C20" s="59"/>
      <c r="D20" s="58"/>
      <c r="E20" s="59"/>
      <c r="F20" s="60"/>
      <c r="G20" s="49"/>
      <c r="H20" s="61"/>
    </row>
    <row r="21" spans="1:8" ht="15">
      <c r="A21" s="62"/>
      <c r="B21" s="59"/>
      <c r="C21" s="48"/>
      <c r="D21" s="59"/>
      <c r="E21" s="48"/>
      <c r="F21" s="49"/>
      <c r="G21" s="49"/>
      <c r="H21" s="50"/>
    </row>
    <row r="22" spans="1:8">
      <c r="A22" s="63"/>
      <c r="B22" s="47"/>
      <c r="C22" s="63"/>
      <c r="D22" s="47"/>
      <c r="E22" s="63"/>
      <c r="F22" s="49"/>
      <c r="G22" s="49"/>
      <c r="H22" s="50"/>
    </row>
    <row r="23" spans="1:8">
      <c r="A23" s="38"/>
      <c r="B23" s="64"/>
      <c r="C23" s="47"/>
      <c r="D23" s="64"/>
      <c r="E23" s="47"/>
      <c r="F23" s="49"/>
      <c r="G23" s="49"/>
      <c r="H23" s="50"/>
    </row>
    <row r="24" spans="1:8">
      <c r="A24" s="38"/>
      <c r="B24" s="64"/>
      <c r="C24" s="47"/>
      <c r="D24" s="64"/>
      <c r="E24" s="47"/>
      <c r="F24" s="49"/>
      <c r="G24" s="49"/>
      <c r="H24" s="50"/>
    </row>
    <row r="25" spans="1:8">
      <c r="A25" s="38"/>
      <c r="B25" s="64"/>
      <c r="C25" s="47"/>
      <c r="D25" s="64"/>
      <c r="E25" s="47"/>
      <c r="F25" s="49"/>
      <c r="G25" s="49"/>
      <c r="H25" s="50"/>
    </row>
    <row r="26" spans="1:8">
      <c r="A26" s="38"/>
      <c r="B26" s="64"/>
      <c r="C26" s="47"/>
      <c r="D26" s="64"/>
      <c r="E26" s="47"/>
      <c r="F26" s="65"/>
      <c r="G26" s="66"/>
      <c r="H26" s="67"/>
    </row>
    <row r="27" spans="1:8">
      <c r="A27" s="38"/>
      <c r="B27" s="64"/>
      <c r="C27" s="47"/>
      <c r="D27" s="64"/>
      <c r="E27" s="47"/>
      <c r="F27" s="65"/>
      <c r="G27" s="66"/>
      <c r="H27" s="68"/>
    </row>
    <row r="28" spans="1:8">
      <c r="A28" s="69"/>
      <c r="B28" s="47"/>
      <c r="C28" s="70"/>
      <c r="D28" s="47"/>
      <c r="E28" s="70"/>
      <c r="F28" s="71"/>
      <c r="G28" s="66"/>
      <c r="H28" s="72"/>
    </row>
    <row r="29" spans="1:8">
      <c r="A29" s="73"/>
      <c r="B29" s="47"/>
      <c r="C29" s="73"/>
      <c r="D29" s="47"/>
      <c r="E29" s="73"/>
      <c r="F29" s="74"/>
      <c r="G29" s="66"/>
      <c r="H29" s="72"/>
    </row>
    <row r="30" spans="1:8">
      <c r="A30" s="69"/>
      <c r="B30" s="64"/>
      <c r="C30" s="75"/>
      <c r="D30" s="47"/>
      <c r="E30" s="75"/>
      <c r="F30" s="71"/>
      <c r="G30" s="66"/>
      <c r="H30" s="72"/>
    </row>
    <row r="31" spans="1:8">
      <c r="A31" s="69"/>
      <c r="B31" s="64"/>
      <c r="C31" s="75"/>
      <c r="D31" s="47"/>
      <c r="E31" s="75"/>
      <c r="F31" s="71"/>
      <c r="G31" s="66"/>
      <c r="H31" s="72"/>
    </row>
    <row r="32" spans="1:8">
      <c r="A32" s="76"/>
      <c r="B32" s="76"/>
      <c r="C32" s="76"/>
      <c r="D32" s="76"/>
      <c r="E32" s="76"/>
      <c r="F32" s="77"/>
      <c r="G32" s="36"/>
      <c r="H32" s="36"/>
    </row>
    <row r="33" spans="1:8">
      <c r="A33" s="78"/>
      <c r="B33" s="78"/>
      <c r="C33" s="79"/>
      <c r="D33" s="79"/>
      <c r="E33" s="79"/>
      <c r="F33" s="36"/>
      <c r="G33" s="36"/>
      <c r="H33" s="36"/>
    </row>
    <row r="34" spans="1:8">
      <c r="A34" s="80"/>
      <c r="B34" s="81"/>
      <c r="C34" s="81"/>
      <c r="D34" s="82"/>
      <c r="E34" s="82"/>
      <c r="F34" s="36"/>
      <c r="G34" s="36"/>
      <c r="H34" s="36"/>
    </row>
    <row r="35" spans="1:8">
      <c r="C35" s="83"/>
      <c r="D35" s="83"/>
      <c r="E35" s="83"/>
      <c r="F35" s="10"/>
      <c r="G35" s="10"/>
      <c r="H35" s="10"/>
    </row>
  </sheetData>
  <dataConsolidate/>
  <phoneticPr fontId="9"/>
  <pageMargins left="0.59055118110236227" right="0.59055118110236227" top="0.59055118110236227" bottom="0.78740157480314965" header="0.39370078740157483" footer="0.19685039370078741"/>
  <pageSetup paperSize="9" orientation="portrait" r:id="rId1"/>
  <headerFooter alignWithMargins="0">
    <oddFooter>&amp;L&amp;"Verdana,Regular"&amp;F-&amp;A
Atir b.v. ©&amp;C&amp;R&amp;"Verdana,Regular"printversie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showGridLines="0" showZeros="0" workbookViewId="0">
      <selection activeCell="E35" sqref="E35"/>
    </sheetView>
  </sheetViews>
  <sheetFormatPr defaultColWidth="9.28515625" defaultRowHeight="12.75"/>
  <cols>
    <col min="1" max="1" width="45.28515625" style="439" customWidth="1"/>
    <col min="2" max="2" width="16.140625" style="439" customWidth="1"/>
    <col min="3" max="3" width="15.140625" style="439" customWidth="1"/>
    <col min="4" max="4" width="10.7109375" style="439" customWidth="1"/>
    <col min="5" max="5" width="16.85546875" style="439" bestFit="1" customWidth="1"/>
    <col min="6" max="6" width="13.5703125" style="439" bestFit="1" customWidth="1"/>
    <col min="7" max="7" width="14.7109375" style="439" customWidth="1"/>
    <col min="8" max="8" width="2.42578125" style="439" customWidth="1"/>
    <col min="9" max="9" width="17.7109375" style="439" customWidth="1"/>
    <col min="10" max="16384" width="9.28515625" style="439"/>
  </cols>
  <sheetData>
    <row r="1" spans="1:7">
      <c r="A1" s="437" t="s">
        <v>109</v>
      </c>
      <c r="B1" s="438"/>
    </row>
    <row r="2" spans="1:7">
      <c r="A2" s="440"/>
      <c r="B2" s="438"/>
    </row>
    <row r="3" spans="1:7" s="390" customFormat="1" ht="15">
      <c r="A3" s="441" t="s">
        <v>114</v>
      </c>
      <c r="B3" s="85" t="s">
        <v>323</v>
      </c>
      <c r="C3" s="394"/>
      <c r="D3" s="394"/>
      <c r="E3" s="394"/>
      <c r="F3" s="442"/>
      <c r="G3" s="442"/>
    </row>
    <row r="4" spans="1:7" s="390" customFormat="1" ht="15">
      <c r="A4" s="441" t="s">
        <v>55</v>
      </c>
      <c r="B4" s="85" t="s">
        <v>644</v>
      </c>
      <c r="C4" s="394"/>
      <c r="D4" s="394"/>
      <c r="E4" s="394"/>
      <c r="F4" s="442"/>
      <c r="G4" s="442"/>
    </row>
    <row r="5" spans="1:7" s="390" customFormat="1" ht="15">
      <c r="A5" s="441" t="s">
        <v>272</v>
      </c>
      <c r="B5" s="85" t="s">
        <v>514</v>
      </c>
      <c r="C5" s="394"/>
      <c r="D5" s="394"/>
      <c r="E5" s="394"/>
      <c r="F5" s="442"/>
      <c r="G5" s="442"/>
    </row>
    <row r="6" spans="1:7" s="390" customFormat="1" ht="15">
      <c r="A6" s="441" t="s">
        <v>145</v>
      </c>
      <c r="B6" s="85" t="s">
        <v>610</v>
      </c>
      <c r="C6" s="394"/>
      <c r="D6" s="394"/>
      <c r="E6" s="394"/>
      <c r="F6" s="442"/>
      <c r="G6" s="442"/>
    </row>
    <row r="7" spans="1:7" s="390" customFormat="1" ht="15">
      <c r="A7" s="441" t="s">
        <v>208</v>
      </c>
      <c r="B7" s="780"/>
      <c r="C7" s="781"/>
      <c r="D7" s="394"/>
      <c r="E7" s="394"/>
      <c r="F7" s="442"/>
      <c r="G7" s="442"/>
    </row>
    <row r="8" spans="1:7" s="390" customFormat="1" ht="15">
      <c r="A8" s="441" t="s">
        <v>45</v>
      </c>
      <c r="B8" s="308">
        <v>2014</v>
      </c>
      <c r="C8" s="394"/>
      <c r="D8" s="394"/>
      <c r="E8" s="394"/>
      <c r="F8" s="442"/>
      <c r="G8" s="442"/>
    </row>
    <row r="9" spans="1:7" s="390" customFormat="1" ht="15">
      <c r="A9" s="441" t="s">
        <v>146</v>
      </c>
      <c r="B9" s="394" t="s">
        <v>274</v>
      </c>
      <c r="C9" s="394"/>
      <c r="D9" s="394"/>
      <c r="E9" s="394"/>
      <c r="F9" s="442"/>
      <c r="G9" s="442"/>
    </row>
    <row r="10" spans="1:7" s="390" customFormat="1" ht="15">
      <c r="A10" s="441"/>
      <c r="C10" s="443"/>
      <c r="D10" s="443"/>
      <c r="E10" s="443"/>
      <c r="F10" s="444"/>
      <c r="G10" s="444"/>
    </row>
    <row r="11" spans="1:7" s="390" customFormat="1" ht="15">
      <c r="A11" s="440" t="s">
        <v>8</v>
      </c>
      <c r="C11" s="445">
        <f>G45</f>
        <v>0</v>
      </c>
      <c r="F11" s="444"/>
      <c r="G11" s="444"/>
    </row>
    <row r="12" spans="1:7" s="390" customFormat="1" ht="15">
      <c r="A12" s="440" t="s">
        <v>116</v>
      </c>
      <c r="C12" s="445"/>
      <c r="F12" s="444"/>
      <c r="G12" s="444"/>
    </row>
    <row r="13" spans="1:7" s="390" customFormat="1" ht="15">
      <c r="A13" s="440" t="s">
        <v>224</v>
      </c>
      <c r="C13" s="446"/>
      <c r="F13" s="444"/>
      <c r="G13" s="444"/>
    </row>
    <row r="14" spans="1:7" s="390" customFormat="1" ht="15">
      <c r="A14" s="440"/>
      <c r="C14" s="447">
        <f>SUM(C11:C13)</f>
        <v>0</v>
      </c>
      <c r="F14" s="444"/>
      <c r="G14" s="444"/>
    </row>
    <row r="15" spans="1:7" s="390" customFormat="1" ht="15">
      <c r="A15" s="440"/>
      <c r="C15" s="447"/>
      <c r="F15" s="444"/>
      <c r="G15" s="444"/>
    </row>
    <row r="16" spans="1:7" s="390" customFormat="1" ht="15">
      <c r="A16" s="448" t="s">
        <v>166</v>
      </c>
      <c r="B16" s="449"/>
      <c r="C16" s="449"/>
      <c r="D16" s="449"/>
      <c r="E16" s="449"/>
      <c r="F16" s="450"/>
      <c r="G16" s="451"/>
    </row>
    <row r="17" spans="1:9">
      <c r="I17" s="452"/>
    </row>
    <row r="18" spans="1:9" ht="38.25">
      <c r="A18" s="453" t="s">
        <v>47</v>
      </c>
      <c r="C18" s="454" t="s">
        <v>241</v>
      </c>
      <c r="D18" s="454" t="s">
        <v>172</v>
      </c>
      <c r="E18" s="454" t="s">
        <v>173</v>
      </c>
      <c r="F18" s="454" t="s">
        <v>30</v>
      </c>
      <c r="G18" s="455" t="s">
        <v>159</v>
      </c>
      <c r="H18" s="456"/>
      <c r="I18" s="456"/>
    </row>
    <row r="19" spans="1:9">
      <c r="A19" s="457" t="s">
        <v>59</v>
      </c>
      <c r="B19" s="458"/>
      <c r="C19" s="458"/>
      <c r="D19" s="459"/>
      <c r="E19" s="459"/>
      <c r="F19" s="460"/>
      <c r="G19" s="459"/>
      <c r="H19" s="456"/>
      <c r="I19" s="456"/>
    </row>
    <row r="20" spans="1:9">
      <c r="A20" s="461" t="s">
        <v>184</v>
      </c>
      <c r="G20" s="462"/>
    </row>
    <row r="21" spans="1:9">
      <c r="A21" s="463" t="s">
        <v>165</v>
      </c>
      <c r="B21" s="464"/>
      <c r="C21" s="465">
        <v>0</v>
      </c>
      <c r="D21" s="466">
        <v>200</v>
      </c>
      <c r="E21" s="467">
        <f>(SUM(uren_mavr)+SUM(uren_naloop))*C21</f>
        <v>0</v>
      </c>
      <c r="F21" s="468">
        <f>'5-Opbouw uurtarieven'!E47</f>
        <v>6.949872</v>
      </c>
      <c r="G21" s="468">
        <f>F21*E21</f>
        <v>0</v>
      </c>
      <c r="H21" s="469"/>
    </row>
    <row r="22" spans="1:9">
      <c r="A22" s="461" t="s">
        <v>87</v>
      </c>
      <c r="G22" s="462"/>
    </row>
    <row r="23" spans="1:9">
      <c r="A23" s="463" t="s">
        <v>165</v>
      </c>
      <c r="B23" s="464"/>
      <c r="C23" s="465"/>
      <c r="D23" s="466">
        <v>200</v>
      </c>
      <c r="E23" s="467">
        <f>(SUM(uren_mavr)+SUM(uren_naloop))*C23</f>
        <v>0</v>
      </c>
      <c r="F23" s="468">
        <f>'5-Opbouw uurtarieven'!H47</f>
        <v>9.3635999999999999</v>
      </c>
      <c r="G23" s="468">
        <f>F23*E23</f>
        <v>0</v>
      </c>
      <c r="H23" s="469"/>
    </row>
    <row r="24" spans="1:9">
      <c r="A24" s="461" t="s">
        <v>53</v>
      </c>
      <c r="C24" s="470"/>
      <c r="G24" s="462"/>
    </row>
    <row r="25" spans="1:9">
      <c r="A25" s="463" t="s">
        <v>165</v>
      </c>
      <c r="B25" s="464"/>
      <c r="C25" s="465"/>
      <c r="D25" s="466">
        <v>200</v>
      </c>
      <c r="E25" s="467">
        <f>(SUM(uren_mavr)+SUM(uren_naloop))*C25</f>
        <v>0</v>
      </c>
      <c r="F25" s="468">
        <f>'5-Opbouw uurtarieven'!K47</f>
        <v>10.695311999999999</v>
      </c>
      <c r="G25" s="468">
        <f>F25*E25</f>
        <v>0</v>
      </c>
      <c r="H25" s="469"/>
    </row>
    <row r="26" spans="1:9">
      <c r="A26" s="461" t="s">
        <v>42</v>
      </c>
      <c r="C26" s="470"/>
      <c r="G26" s="462"/>
    </row>
    <row r="27" spans="1:9">
      <c r="A27" s="463" t="s">
        <v>165</v>
      </c>
      <c r="B27" s="464"/>
      <c r="C27" s="465"/>
      <c r="D27" s="466">
        <v>200</v>
      </c>
      <c r="E27" s="467">
        <f>(SUM(uren_mavr)+SUM(uren_naloop))*C27</f>
        <v>0</v>
      </c>
      <c r="F27" s="468">
        <f>'5-Opbouw uurtarieven'!N47</f>
        <v>11.017836000000001</v>
      </c>
      <c r="G27" s="468">
        <f>F27*E27</f>
        <v>0</v>
      </c>
      <c r="H27" s="469"/>
    </row>
    <row r="28" spans="1:9">
      <c r="A28" s="461" t="s">
        <v>70</v>
      </c>
      <c r="C28" s="470"/>
      <c r="D28" s="467"/>
      <c r="E28" s="467"/>
      <c r="F28" s="468"/>
      <c r="G28" s="468"/>
    </row>
    <row r="29" spans="1:9">
      <c r="A29" s="463" t="s">
        <v>165</v>
      </c>
      <c r="B29" s="464"/>
      <c r="C29" s="465"/>
      <c r="D29" s="466">
        <v>200</v>
      </c>
      <c r="E29" s="471">
        <f>(SUM(uren_mavr)+SUM(uren_naloop))*C29</f>
        <v>0</v>
      </c>
      <c r="F29" s="468">
        <f>'5-Opbouw uurtarieven'!T47</f>
        <v>11.787732</v>
      </c>
      <c r="G29" s="472">
        <f>F29*E29</f>
        <v>0</v>
      </c>
      <c r="I29" s="473" t="s">
        <v>104</v>
      </c>
    </row>
    <row r="30" spans="1:9">
      <c r="A30" s="474"/>
      <c r="C30" s="475">
        <f>SUM(C21:C29)</f>
        <v>0</v>
      </c>
      <c r="D30" s="459"/>
      <c r="E30" s="476">
        <f>SUM(E21:E29)</f>
        <v>0</v>
      </c>
      <c r="F30" s="477"/>
      <c r="G30" s="478">
        <f>SUM(G21:G29)</f>
        <v>0</v>
      </c>
      <c r="I30" s="479" t="e">
        <f>G30/E30</f>
        <v>#DIV/0!</v>
      </c>
    </row>
    <row r="31" spans="1:9">
      <c r="A31" s="474"/>
      <c r="C31" s="475"/>
      <c r="D31" s="459"/>
      <c r="E31" s="476"/>
      <c r="F31" s="477"/>
      <c r="G31" s="480"/>
    </row>
    <row r="32" spans="1:9" ht="38.25">
      <c r="A32" s="457" t="s">
        <v>99</v>
      </c>
      <c r="B32" s="481" t="s">
        <v>241</v>
      </c>
      <c r="C32" s="481" t="s">
        <v>277</v>
      </c>
      <c r="D32" s="454" t="s">
        <v>172</v>
      </c>
      <c r="E32" s="454" t="s">
        <v>173</v>
      </c>
      <c r="F32" s="454" t="s">
        <v>30</v>
      </c>
      <c r="G32" s="455" t="s">
        <v>159</v>
      </c>
      <c r="H32" s="482"/>
      <c r="I32" s="482"/>
    </row>
    <row r="33" spans="1:9">
      <c r="A33" s="461" t="s">
        <v>201</v>
      </c>
      <c r="B33" s="483"/>
      <c r="G33" s="462"/>
      <c r="H33" s="482"/>
      <c r="I33" s="482"/>
    </row>
    <row r="34" spans="1:9">
      <c r="A34" s="463" t="s">
        <v>165</v>
      </c>
      <c r="B34" s="464">
        <f>IF(E$30=0,0,E34/E$30)</f>
        <v>0</v>
      </c>
      <c r="C34" s="467">
        <f>E34/D34</f>
        <v>0</v>
      </c>
      <c r="D34" s="484">
        <v>200</v>
      </c>
      <c r="E34" s="485"/>
      <c r="F34" s="468">
        <f>'5-Opbouw uurtarieven'!T47</f>
        <v>11.787732</v>
      </c>
      <c r="G34" s="468">
        <f>F34*E34</f>
        <v>0</v>
      </c>
      <c r="H34" s="482"/>
      <c r="I34" s="482"/>
    </row>
    <row r="35" spans="1:9">
      <c r="A35" s="461" t="s">
        <v>96</v>
      </c>
      <c r="B35" s="126"/>
      <c r="F35" s="468"/>
      <c r="G35" s="468"/>
      <c r="H35" s="482"/>
      <c r="I35" s="482"/>
    </row>
    <row r="36" spans="1:9">
      <c r="A36" s="463" t="s">
        <v>165</v>
      </c>
      <c r="B36" s="464">
        <f>IF(E$30=0,0,E36/E$30)</f>
        <v>0</v>
      </c>
      <c r="C36" s="467">
        <f>E36/D36</f>
        <v>0</v>
      </c>
      <c r="D36" s="484">
        <v>200</v>
      </c>
      <c r="E36" s="485">
        <v>0</v>
      </c>
      <c r="F36" s="468">
        <f>'5-Opbouw uurtarieven'!Z47</f>
        <v>11.236320000000003</v>
      </c>
      <c r="G36" s="468">
        <f>F36*E36</f>
        <v>0</v>
      </c>
      <c r="H36" s="482"/>
      <c r="I36" s="482"/>
    </row>
    <row r="37" spans="1:9">
      <c r="A37" s="461" t="s">
        <v>121</v>
      </c>
      <c r="B37" s="126"/>
      <c r="F37" s="468"/>
      <c r="G37" s="468"/>
      <c r="H37" s="482"/>
      <c r="I37" s="482"/>
    </row>
    <row r="38" spans="1:9">
      <c r="A38" s="463" t="s">
        <v>165</v>
      </c>
      <c r="B38" s="464">
        <f>IF(E$30=0,0,E38/E$30)</f>
        <v>0</v>
      </c>
      <c r="C38" s="467">
        <f>E38/D38</f>
        <v>0</v>
      </c>
      <c r="D38" s="484">
        <v>200</v>
      </c>
      <c r="E38" s="485"/>
      <c r="F38" s="468">
        <f>'5-Opbouw uurtarieven'!AC47</f>
        <v>12.880152000000001</v>
      </c>
      <c r="G38" s="468">
        <f>F38*E38</f>
        <v>0</v>
      </c>
      <c r="H38" s="482"/>
      <c r="I38" s="482"/>
    </row>
    <row r="39" spans="1:9">
      <c r="A39" s="461" t="s">
        <v>122</v>
      </c>
      <c r="B39" s="126"/>
      <c r="C39" s="126"/>
      <c r="D39" s="467"/>
      <c r="E39" s="467"/>
      <c r="F39" s="468"/>
      <c r="G39" s="468"/>
      <c r="H39" s="482"/>
      <c r="I39" s="482"/>
    </row>
    <row r="40" spans="1:9">
      <c r="A40" s="463" t="s">
        <v>165</v>
      </c>
      <c r="B40" s="486">
        <f>IF(E$30=0,0,E40/E$30)</f>
        <v>0</v>
      </c>
      <c r="C40" s="471">
        <f>E40/D40</f>
        <v>0</v>
      </c>
      <c r="D40" s="484">
        <v>200</v>
      </c>
      <c r="E40" s="485">
        <v>0</v>
      </c>
      <c r="F40" s="468">
        <f>'5-Opbouw uurtarieven'!AF47</f>
        <v>13.21308</v>
      </c>
      <c r="G40" s="472">
        <f>F40*E40</f>
        <v>0</v>
      </c>
      <c r="H40" s="482"/>
      <c r="I40" s="473" t="s">
        <v>104</v>
      </c>
    </row>
    <row r="41" spans="1:9">
      <c r="A41" s="474"/>
      <c r="B41" s="464">
        <f>IF(E$30=0,0,E41/E$30)</f>
        <v>0</v>
      </c>
      <c r="C41" s="476">
        <f>SUM(C34:C40)</f>
        <v>0</v>
      </c>
      <c r="D41" s="459"/>
      <c r="E41" s="476">
        <f>SUM(E34:E40)</f>
        <v>0</v>
      </c>
      <c r="F41" s="477"/>
      <c r="G41" s="480">
        <f>SUM(G34:G40)</f>
        <v>0</v>
      </c>
      <c r="H41" s="482"/>
      <c r="I41" s="479" t="e">
        <f>G41/E41</f>
        <v>#DIV/0!</v>
      </c>
    </row>
    <row r="42" spans="1:9">
      <c r="A42" s="474"/>
      <c r="B42" s="482"/>
      <c r="C42" s="482"/>
      <c r="D42" s="482"/>
      <c r="E42" s="482"/>
      <c r="F42" s="477"/>
      <c r="G42" s="482"/>
      <c r="H42" s="482"/>
      <c r="I42" s="482"/>
    </row>
    <row r="43" spans="1:9">
      <c r="A43" s="474" t="s">
        <v>202</v>
      </c>
      <c r="B43" s="482"/>
      <c r="C43" s="482"/>
      <c r="D43" s="482"/>
      <c r="E43" s="482"/>
      <c r="F43" s="477"/>
      <c r="G43" s="468">
        <f>'7-Machine-investeringskosten'!D112</f>
        <v>0</v>
      </c>
      <c r="H43" s="482"/>
      <c r="I43" s="482"/>
    </row>
    <row r="44" spans="1:9">
      <c r="A44" s="474"/>
      <c r="B44" s="482"/>
      <c r="C44" s="482"/>
      <c r="D44" s="482"/>
      <c r="E44" s="482"/>
      <c r="F44" s="477"/>
      <c r="G44" s="482"/>
      <c r="H44" s="482"/>
      <c r="I44" s="482"/>
    </row>
    <row r="45" spans="1:9">
      <c r="A45" s="487" t="s">
        <v>43</v>
      </c>
      <c r="G45" s="488">
        <f>G30+G41+G43</f>
        <v>0</v>
      </c>
      <c r="H45" s="482"/>
      <c r="I45" s="488"/>
    </row>
    <row r="46" spans="1:9">
      <c r="A46" s="489" t="s">
        <v>44</v>
      </c>
      <c r="F46" s="490">
        <v>0.21</v>
      </c>
      <c r="G46" s="472">
        <f>F46*G45</f>
        <v>0</v>
      </c>
      <c r="H46" s="482"/>
      <c r="I46" s="482"/>
    </row>
    <row r="47" spans="1:9">
      <c r="A47" s="489" t="s">
        <v>110</v>
      </c>
      <c r="F47" s="456" t="s">
        <v>196</v>
      </c>
      <c r="G47" s="468">
        <f>G46+G45</f>
        <v>0</v>
      </c>
      <c r="H47" s="482"/>
      <c r="I47" s="482"/>
    </row>
    <row r="48" spans="1:9">
      <c r="A48" s="474"/>
      <c r="B48" s="482"/>
      <c r="C48" s="482"/>
      <c r="D48" s="482"/>
      <c r="E48" s="482"/>
      <c r="F48" s="482"/>
      <c r="G48" s="468"/>
      <c r="H48" s="482"/>
      <c r="I48" s="482"/>
    </row>
    <row r="49" spans="1:9" ht="15">
      <c r="A49" s="491" t="s">
        <v>190</v>
      </c>
      <c r="B49" s="492"/>
      <c r="C49" s="492"/>
      <c r="D49" s="492"/>
      <c r="E49" s="492"/>
      <c r="F49" s="493"/>
      <c r="G49" s="494"/>
    </row>
    <row r="50" spans="1:9">
      <c r="A50" s="474"/>
      <c r="B50" s="482"/>
      <c r="C50" s="482"/>
      <c r="D50" s="482"/>
      <c r="E50" s="482"/>
      <c r="F50" s="482"/>
      <c r="G50" s="482"/>
      <c r="H50" s="482"/>
      <c r="I50" s="482"/>
    </row>
    <row r="51" spans="1:9">
      <c r="A51" s="474"/>
      <c r="B51" s="482"/>
      <c r="C51" s="482"/>
      <c r="D51" s="482"/>
      <c r="E51" s="482"/>
      <c r="F51" s="482"/>
      <c r="G51" s="482" t="s">
        <v>645</v>
      </c>
      <c r="H51" s="482"/>
      <c r="I51" s="482"/>
    </row>
    <row r="52" spans="1:9">
      <c r="I52" s="496"/>
    </row>
    <row r="53" spans="1:9" ht="15">
      <c r="A53" s="491" t="s">
        <v>240</v>
      </c>
      <c r="B53" s="492"/>
      <c r="C53" s="497"/>
      <c r="D53" s="492"/>
      <c r="E53" s="492"/>
      <c r="F53" s="493"/>
      <c r="G53" s="494"/>
      <c r="H53" s="498"/>
    </row>
    <row r="54" spans="1:9">
      <c r="C54" s="499"/>
      <c r="D54" s="499"/>
      <c r="E54" s="499"/>
      <c r="F54" s="500"/>
      <c r="G54" s="482"/>
      <c r="H54" s="495"/>
      <c r="I54" s="496"/>
    </row>
    <row r="55" spans="1:9">
      <c r="G55" s="482" t="s">
        <v>645</v>
      </c>
    </row>
  </sheetData>
  <mergeCells count="1">
    <mergeCell ref="B7:C7"/>
  </mergeCells>
  <phoneticPr fontId="8"/>
  <pageMargins left="0.59055118110236227" right="0.59055118110236227" top="0.59055118110236227" bottom="0.78740157480314965" header="0.39370078740157483" footer="0.19685039370078741"/>
  <pageSetup paperSize="9" orientation="portrait" r:id="rId1"/>
  <headerFooter alignWithMargins="0">
    <oddHeader>&amp;L&amp;C&amp;R</oddHeader>
    <oddFooter>&amp;L&amp;"Verdana,Regular"&amp;F-&amp;A
Atir b.v. ©&amp;C&amp;R&amp;"Verdana,Regular"printversie &amp;D</oddFooter>
  </headerFooter>
  <rowBreaks count="1" manualBreakCount="1">
    <brk id="48"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0"/>
  <sheetViews>
    <sheetView showGridLines="0" showZeros="0" tabSelected="1" zoomScaleNormal="100" workbookViewId="0">
      <pane xSplit="1" ySplit="9" topLeftCell="B10" activePane="bottomRight" state="frozen"/>
      <selection pane="topRight" activeCell="B1" sqref="B1"/>
      <selection pane="bottomLeft" activeCell="A10" sqref="A10"/>
      <selection pane="bottomRight" activeCell="C37" sqref="C37"/>
    </sheetView>
  </sheetViews>
  <sheetFormatPr defaultColWidth="10.7109375" defaultRowHeight="12.75"/>
  <cols>
    <col min="1" max="1" width="29.28515625" style="433" bestFit="1" customWidth="1"/>
    <col min="2" max="2" width="13" style="433" customWidth="1"/>
    <col min="3" max="3" width="35.7109375" style="433" customWidth="1"/>
    <col min="4" max="4" width="16" style="433" customWidth="1"/>
    <col min="5" max="6" width="12.85546875" style="433" customWidth="1"/>
    <col min="7" max="7" width="9.5703125" style="433" bestFit="1" customWidth="1"/>
    <col min="8" max="8" width="9" style="433" bestFit="1" customWidth="1"/>
    <col min="9" max="9" width="11.28515625" style="433" bestFit="1" customWidth="1"/>
    <col min="10" max="10" width="9.85546875" style="433" bestFit="1" customWidth="1"/>
    <col min="11" max="11" width="4.42578125" style="433" bestFit="1" customWidth="1"/>
    <col min="12" max="12" width="2.140625" style="433" customWidth="1"/>
    <col min="13" max="17" width="10.7109375" style="433"/>
    <col min="18" max="18" width="15.5703125" style="433" customWidth="1"/>
    <col min="19" max="16384" width="10.7109375" style="433"/>
  </cols>
  <sheetData>
    <row r="1" spans="1:18" s="389" customFormat="1">
      <c r="A1" s="381"/>
      <c r="B1" s="381"/>
      <c r="C1" s="382"/>
      <c r="D1" s="382"/>
      <c r="E1" s="383"/>
      <c r="F1" s="383"/>
      <c r="G1" s="384"/>
      <c r="H1" s="385"/>
      <c r="I1" s="386"/>
      <c r="J1" s="387"/>
      <c r="K1" s="388"/>
      <c r="R1" s="37"/>
    </row>
    <row r="2" spans="1:18" s="389" customFormat="1">
      <c r="A2" s="381"/>
      <c r="B2" s="381"/>
      <c r="C2" s="382"/>
      <c r="D2" s="382"/>
      <c r="E2" s="383"/>
      <c r="F2" s="383"/>
      <c r="G2" s="384"/>
      <c r="H2" s="385"/>
      <c r="I2" s="386"/>
      <c r="J2" s="387"/>
      <c r="K2" s="388"/>
      <c r="R2" s="37"/>
    </row>
    <row r="3" spans="1:18" s="390" customFormat="1" ht="15">
      <c r="A3" s="84" t="str">
        <f>'1-Contractblad'!A3</f>
        <v>Naam opdrachtgever</v>
      </c>
      <c r="B3" s="85" t="str">
        <f>'1-Contractblad'!B3</f>
        <v>LMC</v>
      </c>
      <c r="E3" s="391"/>
      <c r="F3" s="391"/>
      <c r="G3" s="392"/>
      <c r="H3" s="392"/>
      <c r="I3" s="393"/>
    </row>
    <row r="4" spans="1:18" s="390" customFormat="1" ht="15">
      <c r="A4" s="84" t="str">
        <f>'1-Contractblad'!A4</f>
        <v>Calculatie onderdeel</v>
      </c>
      <c r="B4" s="85" t="s">
        <v>37</v>
      </c>
      <c r="C4" s="394"/>
      <c r="D4" s="394"/>
      <c r="E4" s="391"/>
      <c r="F4" s="391"/>
      <c r="G4" s="392"/>
      <c r="H4" s="392"/>
      <c r="I4" s="393"/>
    </row>
    <row r="5" spans="1:18" s="390" customFormat="1" ht="15">
      <c r="A5" s="84" t="str">
        <f>'1-Contractblad'!A5</f>
        <v>Gebouw/plaats</v>
      </c>
      <c r="B5" s="85" t="str">
        <f>'1-Contractblad'!B5</f>
        <v>Rotterdam</v>
      </c>
      <c r="C5" s="394"/>
      <c r="D5" s="394"/>
      <c r="E5" s="391"/>
      <c r="F5" s="391"/>
      <c r="G5" s="392"/>
      <c r="H5" s="392"/>
      <c r="I5" s="393"/>
    </row>
    <row r="6" spans="1:18" s="390" customFormat="1" ht="15">
      <c r="A6" s="84" t="str">
        <f>'1-Contractblad'!A6</f>
        <v>Besteknummer</v>
      </c>
      <c r="B6" s="85" t="str">
        <f>'1-Contractblad'!B6</f>
        <v>LMC-EA-JV-2014</v>
      </c>
      <c r="C6" s="394"/>
      <c r="D6" s="394"/>
      <c r="E6" s="391"/>
      <c r="F6" s="391"/>
      <c r="G6" s="392"/>
      <c r="H6" s="392"/>
      <c r="I6" s="393"/>
    </row>
    <row r="7" spans="1:18" s="390" customFormat="1" ht="15">
      <c r="A7" s="84" t="str">
        <f>'1-Contractblad'!A7</f>
        <v>Naam leverancier</v>
      </c>
      <c r="B7" s="85">
        <f>'1-Contractblad'!B7</f>
        <v>0</v>
      </c>
      <c r="C7" s="394"/>
      <c r="D7" s="394"/>
      <c r="E7" s="391"/>
      <c r="F7" s="391"/>
      <c r="G7" s="392"/>
      <c r="H7" s="392"/>
      <c r="I7" s="393"/>
    </row>
    <row r="8" spans="1:18" s="389" customFormat="1">
      <c r="A8" s="395"/>
      <c r="B8" s="396"/>
      <c r="C8" s="397"/>
      <c r="D8" s="397"/>
      <c r="E8" s="383"/>
      <c r="F8" s="383"/>
      <c r="G8" s="384"/>
      <c r="H8" s="385"/>
      <c r="I8" s="386"/>
      <c r="J8" s="387"/>
      <c r="K8" s="388"/>
      <c r="R8" s="37"/>
    </row>
    <row r="9" spans="1:18" s="37" customFormat="1" ht="38.25">
      <c r="A9" s="398" t="s">
        <v>76</v>
      </c>
      <c r="B9" s="399" t="s">
        <v>188</v>
      </c>
      <c r="C9" s="400" t="s">
        <v>183</v>
      </c>
      <c r="D9" s="401" t="s">
        <v>207</v>
      </c>
      <c r="E9" s="402" t="s">
        <v>75</v>
      </c>
      <c r="F9" s="402" t="s">
        <v>245</v>
      </c>
      <c r="G9" s="403" t="s">
        <v>101</v>
      </c>
      <c r="H9" s="403" t="s">
        <v>92</v>
      </c>
      <c r="I9" s="404" t="s">
        <v>179</v>
      </c>
      <c r="J9" s="405" t="s">
        <v>107</v>
      </c>
      <c r="K9" s="405" t="s">
        <v>102</v>
      </c>
      <c r="L9" s="389"/>
      <c r="M9" s="389"/>
      <c r="N9" s="389"/>
      <c r="O9" s="389"/>
    </row>
    <row r="10" spans="1:18" s="415" customFormat="1">
      <c r="A10" s="406"/>
      <c r="B10" s="407"/>
      <c r="C10" s="408"/>
      <c r="D10" s="408"/>
      <c r="E10" s="409"/>
      <c r="F10" s="409"/>
      <c r="G10" s="410"/>
      <c r="H10" s="411"/>
      <c r="I10" s="412"/>
      <c r="J10" s="413"/>
      <c r="K10" s="414"/>
      <c r="M10" s="37"/>
      <c r="N10" s="389"/>
      <c r="R10" s="416"/>
    </row>
    <row r="11" spans="1:18" s="415" customFormat="1">
      <c r="A11" s="417">
        <v>1040</v>
      </c>
      <c r="B11" s="418">
        <v>40</v>
      </c>
      <c r="C11" s="419" t="s">
        <v>106</v>
      </c>
      <c r="D11" s="420" t="s">
        <v>248</v>
      </c>
      <c r="E11" s="421"/>
      <c r="F11" s="429"/>
      <c r="G11" s="410">
        <f>IF(E11=0,0,B11/(E11))</f>
        <v>0</v>
      </c>
      <c r="H11" s="422">
        <f>SUMIF('3-Basis ruimtestaat'!K:K,A11,'3-Basis ruimtestaat'!J:J)</f>
        <v>1010.4699999999998</v>
      </c>
      <c r="I11" s="423">
        <f t="shared" ref="I11:I28" si="0">IF(H11=0,"",H11/$H$46)</f>
        <v>7.3670190569668115E-2</v>
      </c>
      <c r="J11" s="413"/>
      <c r="K11" s="414" t="s">
        <v>237</v>
      </c>
      <c r="M11" s="37"/>
      <c r="N11" s="389"/>
      <c r="R11" s="416"/>
    </row>
    <row r="12" spans="1:18" s="415" customFormat="1">
      <c r="A12" s="417">
        <v>1080</v>
      </c>
      <c r="B12" s="418">
        <v>80</v>
      </c>
      <c r="C12" s="419" t="s">
        <v>106</v>
      </c>
      <c r="D12" s="420" t="s">
        <v>313</v>
      </c>
      <c r="E12" s="421"/>
      <c r="F12" s="429"/>
      <c r="G12" s="410">
        <f t="shared" ref="G12:G45" si="1">IF(E12=0,0,B12/(E12))</f>
        <v>0</v>
      </c>
      <c r="H12" s="422">
        <f>SUMIF('3-Basis ruimtestaat'!K:K,A12,'3-Basis ruimtestaat'!J:J)</f>
        <v>0</v>
      </c>
      <c r="I12" s="423" t="str">
        <f t="shared" si="0"/>
        <v/>
      </c>
      <c r="J12" s="413"/>
      <c r="K12" s="414" t="s">
        <v>237</v>
      </c>
      <c r="M12" s="37"/>
      <c r="N12" s="389"/>
      <c r="R12" s="416"/>
    </row>
    <row r="13" spans="1:18" s="415" customFormat="1">
      <c r="A13" s="417">
        <v>1120</v>
      </c>
      <c r="B13" s="418">
        <v>120</v>
      </c>
      <c r="C13" s="419" t="s">
        <v>106</v>
      </c>
      <c r="D13" s="420" t="s">
        <v>319</v>
      </c>
      <c r="E13" s="421"/>
      <c r="F13" s="429"/>
      <c r="G13" s="410">
        <f t="shared" si="1"/>
        <v>0</v>
      </c>
      <c r="H13" s="422">
        <f>SUMIF('3-Basis ruimtestaat'!K:K,A13,'3-Basis ruimtestaat'!J:J)</f>
        <v>0</v>
      </c>
      <c r="I13" s="423" t="str">
        <f t="shared" si="0"/>
        <v/>
      </c>
      <c r="J13" s="413"/>
      <c r="K13" s="414" t="s">
        <v>237</v>
      </c>
      <c r="M13" s="37"/>
      <c r="N13" s="389"/>
      <c r="R13" s="416"/>
    </row>
    <row r="14" spans="1:18" s="415" customFormat="1">
      <c r="A14" s="417">
        <v>1160</v>
      </c>
      <c r="B14" s="418">
        <v>160</v>
      </c>
      <c r="C14" s="419" t="s">
        <v>106</v>
      </c>
      <c r="D14" s="420" t="s">
        <v>609</v>
      </c>
      <c r="E14" s="421"/>
      <c r="F14" s="429"/>
      <c r="G14" s="410">
        <f t="shared" si="1"/>
        <v>0</v>
      </c>
      <c r="H14" s="422">
        <f>SUMIF('3-Basis ruimtestaat'!K:K,A14,'3-Basis ruimtestaat'!J:J)</f>
        <v>0</v>
      </c>
      <c r="I14" s="423" t="str">
        <f t="shared" si="0"/>
        <v/>
      </c>
      <c r="J14" s="413"/>
      <c r="K14" s="414" t="s">
        <v>237</v>
      </c>
      <c r="M14" s="37"/>
      <c r="N14" s="389"/>
      <c r="R14" s="416"/>
    </row>
    <row r="15" spans="1:18" s="415" customFormat="1">
      <c r="A15" s="417">
        <v>1200</v>
      </c>
      <c r="B15" s="418">
        <v>200</v>
      </c>
      <c r="C15" s="419" t="s">
        <v>106</v>
      </c>
      <c r="D15" s="420" t="s">
        <v>265</v>
      </c>
      <c r="E15" s="421"/>
      <c r="F15" s="429"/>
      <c r="G15" s="410">
        <f t="shared" si="1"/>
        <v>0</v>
      </c>
      <c r="H15" s="422">
        <f>SUMIF('3-Basis ruimtestaat'!K:K,A15,'3-Basis ruimtestaat'!J:J)</f>
        <v>0</v>
      </c>
      <c r="I15" s="423" t="str">
        <f t="shared" si="0"/>
        <v/>
      </c>
      <c r="J15" s="413"/>
      <c r="K15" s="414" t="s">
        <v>237</v>
      </c>
      <c r="M15" s="37"/>
      <c r="N15" s="389"/>
      <c r="R15" s="416"/>
    </row>
    <row r="16" spans="1:18" s="415" customFormat="1">
      <c r="A16" s="417">
        <v>2200</v>
      </c>
      <c r="B16" s="418">
        <v>200</v>
      </c>
      <c r="C16" s="380" t="s">
        <v>68</v>
      </c>
      <c r="D16" s="424" t="s">
        <v>265</v>
      </c>
      <c r="E16" s="421"/>
      <c r="F16" s="429"/>
      <c r="G16" s="410">
        <f t="shared" si="1"/>
        <v>0</v>
      </c>
      <c r="H16" s="422">
        <f>SUMIF('3-Basis ruimtestaat'!K:K,A16,'3-Basis ruimtestaat'!J:J)</f>
        <v>528.66999999999996</v>
      </c>
      <c r="I16" s="423">
        <f t="shared" si="0"/>
        <v>3.8543667450262206E-2</v>
      </c>
      <c r="J16" s="413"/>
      <c r="K16" s="414" t="s">
        <v>206</v>
      </c>
      <c r="M16" s="37"/>
      <c r="N16" s="389"/>
      <c r="R16" s="416"/>
    </row>
    <row r="17" spans="1:18" s="415" customFormat="1">
      <c r="A17" s="417">
        <v>2400</v>
      </c>
      <c r="B17" s="418">
        <v>400</v>
      </c>
      <c r="C17" s="380" t="s">
        <v>68</v>
      </c>
      <c r="D17" s="424" t="s">
        <v>608</v>
      </c>
      <c r="E17" s="421"/>
      <c r="F17" s="421"/>
      <c r="G17" s="410">
        <f>IF(E17=0,0,B17/(E17+F17))</f>
        <v>0</v>
      </c>
      <c r="H17" s="422">
        <f>SUMIF('3-Basis ruimtestaat'!K:K,A17,'3-Basis ruimtestaat'!J:J)</f>
        <v>0</v>
      </c>
      <c r="I17" s="423" t="str">
        <f t="shared" si="0"/>
        <v/>
      </c>
      <c r="J17" s="413"/>
      <c r="K17" s="414" t="s">
        <v>206</v>
      </c>
      <c r="M17" s="37"/>
      <c r="N17" s="389"/>
      <c r="R17" s="416"/>
    </row>
    <row r="18" spans="1:18" s="415" customFormat="1">
      <c r="A18" s="417">
        <v>3200</v>
      </c>
      <c r="B18" s="418">
        <v>200</v>
      </c>
      <c r="C18" s="419" t="s">
        <v>98</v>
      </c>
      <c r="D18" s="420" t="s">
        <v>265</v>
      </c>
      <c r="E18" s="421"/>
      <c r="F18" s="429"/>
      <c r="G18" s="410">
        <f t="shared" si="1"/>
        <v>0</v>
      </c>
      <c r="H18" s="422">
        <f>SUMIF('3-Basis ruimtestaat'!K:K,A18,'3-Basis ruimtestaat'!J:J)</f>
        <v>2801.8749999999986</v>
      </c>
      <c r="I18" s="423">
        <f t="shared" si="0"/>
        <v>0.20427589656534959</v>
      </c>
      <c r="J18" s="413"/>
      <c r="K18" s="414" t="s">
        <v>108</v>
      </c>
      <c r="M18" s="37"/>
      <c r="N18" s="389"/>
      <c r="R18" s="416"/>
    </row>
    <row r="19" spans="1:18" s="415" customFormat="1">
      <c r="A19" s="425">
        <v>4200</v>
      </c>
      <c r="B19" s="426">
        <v>200</v>
      </c>
      <c r="C19" s="427" t="s">
        <v>115</v>
      </c>
      <c r="D19" s="428" t="s">
        <v>265</v>
      </c>
      <c r="E19" s="421"/>
      <c r="F19" s="429"/>
      <c r="G19" s="410">
        <f t="shared" si="1"/>
        <v>0</v>
      </c>
      <c r="H19" s="422">
        <f>SUMIF('3-Basis ruimtestaat'!K:K,A19,'3-Basis ruimtestaat'!J:J)</f>
        <v>6.5</v>
      </c>
      <c r="I19" s="423">
        <f t="shared" si="0"/>
        <v>4.7389456263208495E-4</v>
      </c>
      <c r="J19" s="413"/>
      <c r="K19" s="414" t="s">
        <v>108</v>
      </c>
      <c r="M19" s="37"/>
      <c r="N19" s="389"/>
      <c r="R19" s="416"/>
    </row>
    <row r="20" spans="1:18" s="415" customFormat="1">
      <c r="A20" s="417">
        <v>5200</v>
      </c>
      <c r="B20" s="418">
        <v>200</v>
      </c>
      <c r="C20" s="419" t="s">
        <v>120</v>
      </c>
      <c r="D20" s="420" t="s">
        <v>265</v>
      </c>
      <c r="E20" s="421"/>
      <c r="F20" s="429"/>
      <c r="G20" s="410">
        <f t="shared" si="1"/>
        <v>0</v>
      </c>
      <c r="H20" s="422">
        <f>SUMIF('3-Basis ruimtestaat'!K:K,A20,'3-Basis ruimtestaat'!J:J)</f>
        <v>226.96620838099096</v>
      </c>
      <c r="I20" s="423">
        <f t="shared" si="0"/>
        <v>1.6547392623534211E-2</v>
      </c>
      <c r="J20" s="413"/>
      <c r="K20" s="414" t="s">
        <v>108</v>
      </c>
      <c r="M20" s="37"/>
      <c r="N20" s="389"/>
      <c r="R20" s="416"/>
    </row>
    <row r="21" spans="1:18" s="415" customFormat="1">
      <c r="A21" s="612">
        <v>6200</v>
      </c>
      <c r="B21" s="373">
        <v>200</v>
      </c>
      <c r="C21" s="375" t="s">
        <v>79</v>
      </c>
      <c r="D21" s="424" t="s">
        <v>265</v>
      </c>
      <c r="E21" s="421"/>
      <c r="F21" s="429"/>
      <c r="G21" s="410">
        <f t="shared" si="1"/>
        <v>0</v>
      </c>
      <c r="H21" s="422">
        <f>SUMIF('3-Basis ruimtestaat'!K:K,A21,'3-Basis ruimtestaat'!J:J)</f>
        <v>18</v>
      </c>
      <c r="I21" s="423">
        <f t="shared" si="0"/>
        <v>1.3123234042119276E-3</v>
      </c>
      <c r="J21" s="413"/>
      <c r="K21" s="414" t="s">
        <v>108</v>
      </c>
      <c r="M21" s="37"/>
      <c r="N21" s="389"/>
      <c r="R21" s="416"/>
    </row>
    <row r="22" spans="1:18" s="415" customFormat="1">
      <c r="A22" s="612">
        <v>7200</v>
      </c>
      <c r="B22" s="373">
        <v>200</v>
      </c>
      <c r="C22" s="375" t="s">
        <v>611</v>
      </c>
      <c r="D22" s="424" t="s">
        <v>265</v>
      </c>
      <c r="E22" s="421"/>
      <c r="F22" s="429"/>
      <c r="G22" s="410">
        <f t="shared" si="1"/>
        <v>0</v>
      </c>
      <c r="H22" s="422">
        <f>SUMIF('3-Basis ruimtestaat'!K:K,A22,'3-Basis ruimtestaat'!J:J)</f>
        <v>1193.9000000000001</v>
      </c>
      <c r="I22" s="423">
        <f t="shared" si="0"/>
        <v>8.7043495127145584E-2</v>
      </c>
      <c r="J22" s="413"/>
      <c r="K22" s="414" t="s">
        <v>108</v>
      </c>
      <c r="M22" s="37"/>
      <c r="N22" s="389"/>
      <c r="R22" s="416"/>
    </row>
    <row r="23" spans="1:18" s="415" customFormat="1">
      <c r="A23" s="612">
        <v>8040</v>
      </c>
      <c r="B23" s="373">
        <v>40</v>
      </c>
      <c r="C23" s="375" t="s">
        <v>541</v>
      </c>
      <c r="D23" s="420" t="s">
        <v>248</v>
      </c>
      <c r="E23" s="421"/>
      <c r="F23" s="429"/>
      <c r="G23" s="410">
        <f t="shared" si="1"/>
        <v>0</v>
      </c>
      <c r="H23" s="422">
        <f>SUMIF('3-Basis ruimtestaat'!K:K,A23,'3-Basis ruimtestaat'!J:J)</f>
        <v>5234.88</v>
      </c>
      <c r="I23" s="423">
        <f t="shared" si="0"/>
        <v>0.3816586412356075</v>
      </c>
      <c r="J23" s="413"/>
      <c r="K23" s="414" t="s">
        <v>543</v>
      </c>
      <c r="M23" s="37"/>
      <c r="N23" s="389"/>
      <c r="R23" s="416"/>
    </row>
    <row r="24" spans="1:18" s="415" customFormat="1">
      <c r="A24" s="612">
        <v>8080</v>
      </c>
      <c r="B24" s="418">
        <v>80</v>
      </c>
      <c r="C24" s="375" t="s">
        <v>541</v>
      </c>
      <c r="D24" s="420" t="s">
        <v>313</v>
      </c>
      <c r="E24" s="421"/>
      <c r="F24" s="429"/>
      <c r="G24" s="410">
        <f t="shared" si="1"/>
        <v>0</v>
      </c>
      <c r="H24" s="422">
        <f>SUMIF('3-Basis ruimtestaat'!K:K,A24,'3-Basis ruimtestaat'!J:J)</f>
        <v>0</v>
      </c>
      <c r="I24" s="423" t="str">
        <f t="shared" si="0"/>
        <v/>
      </c>
      <c r="J24" s="413"/>
      <c r="K24" s="414" t="s">
        <v>543</v>
      </c>
      <c r="M24" s="37"/>
      <c r="N24" s="389"/>
      <c r="R24" s="416"/>
    </row>
    <row r="25" spans="1:18" s="415" customFormat="1">
      <c r="A25" s="612">
        <v>8120</v>
      </c>
      <c r="B25" s="418">
        <v>120</v>
      </c>
      <c r="C25" s="375" t="s">
        <v>541</v>
      </c>
      <c r="D25" s="420" t="s">
        <v>319</v>
      </c>
      <c r="E25" s="421"/>
      <c r="F25" s="429"/>
      <c r="G25" s="410">
        <f t="shared" si="1"/>
        <v>0</v>
      </c>
      <c r="H25" s="422">
        <f>SUMIF('3-Basis ruimtestaat'!K:K,A25,'3-Basis ruimtestaat'!J:J)</f>
        <v>0</v>
      </c>
      <c r="I25" s="423" t="str">
        <f t="shared" si="0"/>
        <v/>
      </c>
      <c r="J25" s="413"/>
      <c r="K25" s="414" t="s">
        <v>543</v>
      </c>
      <c r="M25" s="37"/>
      <c r="N25" s="389"/>
      <c r="R25" s="416"/>
    </row>
    <row r="26" spans="1:18" s="415" customFormat="1">
      <c r="A26" s="612">
        <v>8160</v>
      </c>
      <c r="B26" s="418">
        <v>160</v>
      </c>
      <c r="C26" s="375" t="s">
        <v>541</v>
      </c>
      <c r="D26" s="420" t="s">
        <v>609</v>
      </c>
      <c r="E26" s="421"/>
      <c r="F26" s="429"/>
      <c r="G26" s="410">
        <f t="shared" si="1"/>
        <v>0</v>
      </c>
      <c r="H26" s="422">
        <f>SUMIF('3-Basis ruimtestaat'!K:K,A26,'3-Basis ruimtestaat'!J:J)</f>
        <v>0</v>
      </c>
      <c r="I26" s="423" t="str">
        <f t="shared" si="0"/>
        <v/>
      </c>
      <c r="J26" s="413"/>
      <c r="K26" s="414" t="s">
        <v>543</v>
      </c>
      <c r="M26" s="37"/>
      <c r="N26" s="389"/>
      <c r="R26" s="416"/>
    </row>
    <row r="27" spans="1:18" s="415" customFormat="1">
      <c r="A27" s="612">
        <v>8200</v>
      </c>
      <c r="B27" s="418">
        <v>200</v>
      </c>
      <c r="C27" s="375" t="s">
        <v>541</v>
      </c>
      <c r="D27" s="420" t="s">
        <v>265</v>
      </c>
      <c r="E27" s="421"/>
      <c r="F27" s="429"/>
      <c r="G27" s="410">
        <f t="shared" si="1"/>
        <v>0</v>
      </c>
      <c r="H27" s="422">
        <f>SUMIF('3-Basis ruimtestaat'!K:K,A27,'3-Basis ruimtestaat'!J:J)</f>
        <v>0</v>
      </c>
      <c r="I27" s="423" t="str">
        <f t="shared" si="0"/>
        <v/>
      </c>
      <c r="J27" s="413"/>
      <c r="K27" s="414" t="s">
        <v>543</v>
      </c>
      <c r="M27" s="37"/>
      <c r="N27" s="389"/>
      <c r="R27" s="416"/>
    </row>
    <row r="28" spans="1:18" s="415" customFormat="1">
      <c r="A28" s="612">
        <v>9040</v>
      </c>
      <c r="B28" s="373">
        <v>40</v>
      </c>
      <c r="C28" s="375" t="s">
        <v>542</v>
      </c>
      <c r="D28" s="420" t="s">
        <v>248</v>
      </c>
      <c r="E28" s="421"/>
      <c r="F28" s="429"/>
      <c r="G28" s="410">
        <f t="shared" si="1"/>
        <v>0</v>
      </c>
      <c r="H28" s="422">
        <f>SUMIF('3-Basis ruimtestaat'!K:K,A28,'3-Basis ruimtestaat'!J:J)</f>
        <v>0</v>
      </c>
      <c r="I28" s="423" t="str">
        <f t="shared" si="0"/>
        <v/>
      </c>
      <c r="J28" s="413"/>
      <c r="K28" s="414" t="s">
        <v>543</v>
      </c>
      <c r="M28" s="37"/>
      <c r="N28" s="389"/>
      <c r="R28" s="416"/>
    </row>
    <row r="29" spans="1:18" s="415" customFormat="1">
      <c r="A29" s="612">
        <v>9041</v>
      </c>
      <c r="B29" s="373">
        <v>40</v>
      </c>
      <c r="C29" s="375" t="s">
        <v>649</v>
      </c>
      <c r="D29" s="420" t="s">
        <v>248</v>
      </c>
      <c r="E29" s="421"/>
      <c r="F29" s="429"/>
      <c r="G29" s="410">
        <f t="shared" ref="G29" si="2">IF(E29=0,0,B29/(E29))</f>
        <v>0</v>
      </c>
      <c r="H29" s="422">
        <f>SUMIF('3-Basis ruimtestaat'!K:K,A29,'3-Basis ruimtestaat'!J:J)</f>
        <v>0</v>
      </c>
      <c r="I29" s="423" t="str">
        <f t="shared" ref="I29" si="3">IF(H29=0,"",H29/$H$46)</f>
        <v/>
      </c>
      <c r="J29" s="413"/>
      <c r="K29" s="414" t="s">
        <v>543</v>
      </c>
      <c r="M29" s="37"/>
      <c r="N29" s="389"/>
      <c r="R29" s="416"/>
    </row>
    <row r="30" spans="1:18" s="415" customFormat="1">
      <c r="A30" s="612">
        <v>9080</v>
      </c>
      <c r="B30" s="418">
        <v>80</v>
      </c>
      <c r="C30" s="375" t="s">
        <v>542</v>
      </c>
      <c r="D30" s="420" t="s">
        <v>313</v>
      </c>
      <c r="E30" s="421"/>
      <c r="F30" s="429"/>
      <c r="G30" s="410">
        <f t="shared" si="1"/>
        <v>0</v>
      </c>
      <c r="H30" s="422">
        <f>SUMIF('3-Basis ruimtestaat'!K:K,A30,'3-Basis ruimtestaat'!J:J)</f>
        <v>0</v>
      </c>
      <c r="I30" s="423" t="str">
        <f>IF(H30=0,"",H30/$H$46)</f>
        <v/>
      </c>
      <c r="J30" s="413"/>
      <c r="K30" s="414" t="s">
        <v>543</v>
      </c>
      <c r="M30" s="37"/>
      <c r="N30" s="389"/>
      <c r="R30" s="416"/>
    </row>
    <row r="31" spans="1:18" s="415" customFormat="1">
      <c r="A31" s="612">
        <v>9081</v>
      </c>
      <c r="B31" s="418">
        <v>80</v>
      </c>
      <c r="C31" s="375" t="s">
        <v>649</v>
      </c>
      <c r="D31" s="420" t="s">
        <v>313</v>
      </c>
      <c r="E31" s="421"/>
      <c r="F31" s="429"/>
      <c r="G31" s="410">
        <f t="shared" ref="G31" si="4">IF(E31=0,0,B31/(E31))</f>
        <v>0</v>
      </c>
      <c r="H31" s="422">
        <f>SUMIF('3-Basis ruimtestaat'!K:K,A31,'3-Basis ruimtestaat'!J:J)</f>
        <v>0</v>
      </c>
      <c r="I31" s="423" t="str">
        <f t="shared" ref="I31" si="5">IF(H31=0,"",H31/$H$46)</f>
        <v/>
      </c>
      <c r="J31" s="413"/>
      <c r="K31" s="414" t="s">
        <v>543</v>
      </c>
      <c r="M31" s="37"/>
      <c r="N31" s="389"/>
      <c r="R31" s="416"/>
    </row>
    <row r="32" spans="1:18" s="415" customFormat="1">
      <c r="A32" s="612">
        <v>9120</v>
      </c>
      <c r="B32" s="418">
        <v>120</v>
      </c>
      <c r="C32" s="375" t="s">
        <v>542</v>
      </c>
      <c r="D32" s="420" t="s">
        <v>319</v>
      </c>
      <c r="E32" s="421"/>
      <c r="F32" s="429"/>
      <c r="G32" s="410">
        <f t="shared" si="1"/>
        <v>0</v>
      </c>
      <c r="H32" s="422">
        <f>SUMIF('3-Basis ruimtestaat'!K:K,A32,'3-Basis ruimtestaat'!J:J)</f>
        <v>0</v>
      </c>
      <c r="I32" s="423" t="str">
        <f>IF(H32=0,"",H32/$H$46)</f>
        <v/>
      </c>
      <c r="J32" s="413"/>
      <c r="K32" s="414" t="s">
        <v>543</v>
      </c>
      <c r="M32" s="37"/>
      <c r="N32" s="389"/>
      <c r="R32" s="416"/>
    </row>
    <row r="33" spans="1:18" s="415" customFormat="1">
      <c r="A33" s="612">
        <v>9121</v>
      </c>
      <c r="B33" s="418">
        <v>120</v>
      </c>
      <c r="C33" s="375" t="s">
        <v>649</v>
      </c>
      <c r="D33" s="420" t="s">
        <v>319</v>
      </c>
      <c r="E33" s="421"/>
      <c r="F33" s="429"/>
      <c r="G33" s="410">
        <f t="shared" ref="G33" si="6">IF(E33=0,0,B33/(E33))</f>
        <v>0</v>
      </c>
      <c r="H33" s="422">
        <f>SUMIF('3-Basis ruimtestaat'!K:K,A33,'3-Basis ruimtestaat'!J:J)</f>
        <v>0</v>
      </c>
      <c r="I33" s="423" t="str">
        <f t="shared" ref="I33" si="7">IF(H33=0,"",H33/$H$46)</f>
        <v/>
      </c>
      <c r="J33" s="413"/>
      <c r="K33" s="414" t="s">
        <v>543</v>
      </c>
      <c r="M33" s="37"/>
      <c r="N33" s="389"/>
      <c r="R33" s="416"/>
    </row>
    <row r="34" spans="1:18" s="415" customFormat="1">
      <c r="A34" s="612">
        <v>9160</v>
      </c>
      <c r="B34" s="418">
        <v>160</v>
      </c>
      <c r="C34" s="375" t="s">
        <v>542</v>
      </c>
      <c r="D34" s="420" t="s">
        <v>609</v>
      </c>
      <c r="E34" s="421"/>
      <c r="F34" s="429"/>
      <c r="G34" s="410">
        <f t="shared" si="1"/>
        <v>0</v>
      </c>
      <c r="H34" s="422">
        <f>SUMIF('3-Basis ruimtestaat'!K:K,A34,'3-Basis ruimtestaat'!J:J)</f>
        <v>0</v>
      </c>
      <c r="I34" s="423" t="str">
        <f>IF(H34=0,"",H34/$H$46)</f>
        <v/>
      </c>
      <c r="J34" s="413"/>
      <c r="K34" s="414" t="s">
        <v>543</v>
      </c>
      <c r="M34" s="37"/>
      <c r="N34" s="389"/>
      <c r="R34" s="416"/>
    </row>
    <row r="35" spans="1:18" s="415" customFormat="1">
      <c r="A35" s="612">
        <v>9161</v>
      </c>
      <c r="B35" s="418">
        <v>160</v>
      </c>
      <c r="C35" s="375" t="s">
        <v>649</v>
      </c>
      <c r="D35" s="420" t="s">
        <v>609</v>
      </c>
      <c r="E35" s="421"/>
      <c r="F35" s="429"/>
      <c r="G35" s="410">
        <f t="shared" ref="G35" si="8">IF(E35=0,0,B35/(E35))</f>
        <v>0</v>
      </c>
      <c r="H35" s="422">
        <f>SUMIF('3-Basis ruimtestaat'!K:K,A35,'3-Basis ruimtestaat'!J:J)</f>
        <v>0</v>
      </c>
      <c r="I35" s="423" t="str">
        <f t="shared" ref="I35" si="9">IF(H35=0,"",H35/$H$46)</f>
        <v/>
      </c>
      <c r="J35" s="413"/>
      <c r="K35" s="414" t="s">
        <v>543</v>
      </c>
      <c r="M35" s="37"/>
      <c r="N35" s="389"/>
      <c r="R35" s="416"/>
    </row>
    <row r="36" spans="1:18" s="415" customFormat="1">
      <c r="A36" s="612">
        <v>9200</v>
      </c>
      <c r="B36" s="418">
        <v>200</v>
      </c>
      <c r="C36" s="375" t="s">
        <v>542</v>
      </c>
      <c r="D36" s="420" t="s">
        <v>265</v>
      </c>
      <c r="E36" s="421"/>
      <c r="F36" s="429"/>
      <c r="G36" s="410">
        <f t="shared" si="1"/>
        <v>0</v>
      </c>
      <c r="H36" s="422">
        <f>SUMIF('3-Basis ruimtestaat'!K:K,A36,'3-Basis ruimtestaat'!J:J)</f>
        <v>0</v>
      </c>
      <c r="I36" s="423" t="str">
        <f>IF(H36=0,"",H36/$H$46)</f>
        <v/>
      </c>
      <c r="J36" s="413"/>
      <c r="K36" s="414" t="s">
        <v>543</v>
      </c>
      <c r="M36" s="37"/>
      <c r="N36" s="389"/>
      <c r="R36" s="416"/>
    </row>
    <row r="37" spans="1:18" s="415" customFormat="1">
      <c r="A37" s="612">
        <v>9201</v>
      </c>
      <c r="B37" s="418">
        <v>200</v>
      </c>
      <c r="C37" s="375" t="s">
        <v>649</v>
      </c>
      <c r="D37" s="420" t="s">
        <v>265</v>
      </c>
      <c r="E37" s="421"/>
      <c r="F37" s="429"/>
      <c r="G37" s="410">
        <f t="shared" ref="G37" si="10">IF(E37=0,0,B37/(E37))</f>
        <v>0</v>
      </c>
      <c r="H37" s="422">
        <f>SUMIF('3-Basis ruimtestaat'!K:K,A37,'3-Basis ruimtestaat'!J:J)</f>
        <v>0</v>
      </c>
      <c r="I37" s="423" t="str">
        <f t="shared" ref="I37" si="11">IF(H37=0,"",H37/$H$46)</f>
        <v/>
      </c>
      <c r="J37" s="413"/>
      <c r="K37" s="414" t="s">
        <v>543</v>
      </c>
      <c r="M37" s="37"/>
      <c r="N37" s="389"/>
      <c r="R37" s="416"/>
    </row>
    <row r="38" spans="1:18" s="415" customFormat="1">
      <c r="A38" s="612">
        <v>10200</v>
      </c>
      <c r="B38" s="373">
        <v>200</v>
      </c>
      <c r="C38" s="375" t="s">
        <v>545</v>
      </c>
      <c r="D38" s="424" t="s">
        <v>265</v>
      </c>
      <c r="E38" s="421"/>
      <c r="F38" s="429"/>
      <c r="G38" s="410">
        <f t="shared" si="1"/>
        <v>0</v>
      </c>
      <c r="H38" s="422">
        <f>SUMIF('3-Basis ruimtestaat'!K:K,A38,'3-Basis ruimtestaat'!J:J)</f>
        <v>412</v>
      </c>
      <c r="I38" s="423">
        <f>IF(H38=0,"",H38/$H$46)</f>
        <v>3.0037624585295231E-2</v>
      </c>
      <c r="J38" s="413"/>
      <c r="K38" s="414" t="s">
        <v>108</v>
      </c>
      <c r="M38" s="37"/>
      <c r="N38" s="389"/>
      <c r="R38" s="416"/>
    </row>
    <row r="39" spans="1:18" s="415" customFormat="1">
      <c r="A39" s="612">
        <v>11200</v>
      </c>
      <c r="B39" s="373">
        <v>200</v>
      </c>
      <c r="C39" s="375" t="s">
        <v>3</v>
      </c>
      <c r="D39" s="424" t="s">
        <v>265</v>
      </c>
      <c r="E39" s="421"/>
      <c r="F39" s="429"/>
      <c r="G39" s="410">
        <f t="shared" si="1"/>
        <v>0</v>
      </c>
      <c r="H39" s="422">
        <f>SUMIF('3-Basis ruimtestaat'!K:K,A39,'3-Basis ruimtestaat'!J:J)</f>
        <v>8</v>
      </c>
      <c r="I39" s="423">
        <f>IF(H39=0,"",H39/$H$46)</f>
        <v>5.832548463164122E-4</v>
      </c>
      <c r="J39" s="413"/>
      <c r="K39" s="414" t="s">
        <v>108</v>
      </c>
      <c r="M39" s="37"/>
      <c r="N39" s="389"/>
      <c r="R39" s="416"/>
    </row>
    <row r="40" spans="1:18" s="415" customFormat="1">
      <c r="A40" s="417">
        <v>12200</v>
      </c>
      <c r="B40" s="418">
        <v>200</v>
      </c>
      <c r="C40" s="380" t="s">
        <v>544</v>
      </c>
      <c r="D40" s="424" t="s">
        <v>265</v>
      </c>
      <c r="E40" s="421"/>
      <c r="F40" s="429"/>
      <c r="G40" s="410">
        <f t="shared" si="1"/>
        <v>0</v>
      </c>
      <c r="H40" s="422">
        <f>SUMIF('3-Basis ruimtestaat'!K:K,A40,'3-Basis ruimtestaat'!J:J)</f>
        <v>360.49</v>
      </c>
      <c r="I40" s="423">
        <f>IF(H40=0,"",H40/$H$46)</f>
        <v>2.6282192443575433E-2</v>
      </c>
      <c r="J40" s="413"/>
      <c r="K40" s="414" t="s">
        <v>108</v>
      </c>
      <c r="M40" s="37"/>
      <c r="N40" s="389"/>
      <c r="R40" s="416"/>
    </row>
    <row r="41" spans="1:18" s="415" customFormat="1">
      <c r="A41" s="417">
        <v>13020</v>
      </c>
      <c r="B41" s="418">
        <v>20</v>
      </c>
      <c r="C41" s="380" t="s">
        <v>547</v>
      </c>
      <c r="D41" s="424" t="s">
        <v>548</v>
      </c>
      <c r="E41" s="421"/>
      <c r="F41" s="429"/>
      <c r="G41" s="410">
        <f t="shared" si="1"/>
        <v>0</v>
      </c>
      <c r="H41" s="422">
        <f>SUMIF('3-Basis ruimtestaat'!K:K,A41,'3-Basis ruimtestaat'!J:J)</f>
        <v>0</v>
      </c>
      <c r="I41" s="423" t="str">
        <f t="shared" ref="I41" si="12">IF(H41=0,"",H41/$H$46)</f>
        <v/>
      </c>
      <c r="J41" s="413"/>
      <c r="K41" s="414" t="s">
        <v>108</v>
      </c>
      <c r="M41" s="37"/>
      <c r="N41" s="389"/>
      <c r="R41" s="416"/>
    </row>
    <row r="42" spans="1:18" s="415" customFormat="1">
      <c r="A42" s="417">
        <v>14080</v>
      </c>
      <c r="B42" s="418">
        <v>80</v>
      </c>
      <c r="C42" s="550" t="s">
        <v>546</v>
      </c>
      <c r="D42" s="424" t="s">
        <v>313</v>
      </c>
      <c r="E42" s="421"/>
      <c r="F42" s="429"/>
      <c r="G42" s="410">
        <f t="shared" si="1"/>
        <v>0</v>
      </c>
      <c r="H42" s="422">
        <f>SUMIF('3-Basis ruimtestaat'!K:K,A42,'3-Basis ruimtestaat'!J:J)</f>
        <v>1161.1600000000001</v>
      </c>
      <c r="I42" s="423">
        <f>IF(H42=0,"",H42/$H$46)</f>
        <v>8.4656524668595662E-2</v>
      </c>
      <c r="J42" s="413"/>
      <c r="K42" s="414" t="s">
        <v>108</v>
      </c>
      <c r="M42" s="37"/>
      <c r="N42" s="389"/>
      <c r="R42" s="416"/>
    </row>
    <row r="43" spans="1:18" s="415" customFormat="1">
      <c r="A43" s="417">
        <v>15200</v>
      </c>
      <c r="B43" s="418">
        <v>200</v>
      </c>
      <c r="C43" s="380" t="s">
        <v>155</v>
      </c>
      <c r="D43" s="424" t="s">
        <v>265</v>
      </c>
      <c r="E43" s="421"/>
      <c r="F43" s="429"/>
      <c r="G43" s="410">
        <f t="shared" si="1"/>
        <v>0</v>
      </c>
      <c r="H43" s="422">
        <f>SUMIF('3-Basis ruimtestaat'!K:K,A43,'3-Basis ruimtestaat'!J:J)</f>
        <v>26</v>
      </c>
      <c r="I43" s="423">
        <f>IF(H43=0,"",H43/$H$46)</f>
        <v>1.8955782505283398E-3</v>
      </c>
      <c r="J43" s="413"/>
      <c r="K43" s="414" t="s">
        <v>237</v>
      </c>
      <c r="M43" s="37"/>
      <c r="N43" s="389"/>
      <c r="R43" s="416"/>
    </row>
    <row r="44" spans="1:18" s="415" customFormat="1">
      <c r="A44" s="417" t="s">
        <v>239</v>
      </c>
      <c r="B44" s="418"/>
      <c r="C44" s="419" t="s">
        <v>225</v>
      </c>
      <c r="D44" s="420"/>
      <c r="E44" s="429"/>
      <c r="F44" s="429"/>
      <c r="G44" s="410">
        <f t="shared" si="1"/>
        <v>0</v>
      </c>
      <c r="H44" s="422">
        <f>SUMIF('3-Basis ruimtestaat'!K:K,A44,'3-Basis ruimtestaat'!J:J)</f>
        <v>727.22</v>
      </c>
      <c r="I44" s="423">
        <f>IF(H44=0,"",H44/$H$46)</f>
        <v>5.3019323667277664E-2</v>
      </c>
      <c r="J44" s="413"/>
      <c r="K44" s="414"/>
      <c r="M44" s="37"/>
      <c r="N44" s="389"/>
      <c r="R44" s="416"/>
    </row>
    <row r="45" spans="1:18" s="415" customFormat="1">
      <c r="A45" s="417"/>
      <c r="B45" s="418"/>
      <c r="C45" s="419"/>
      <c r="D45" s="420"/>
      <c r="E45" s="429"/>
      <c r="F45" s="429"/>
      <c r="G45" s="410">
        <f t="shared" si="1"/>
        <v>0</v>
      </c>
      <c r="H45" s="422"/>
      <c r="I45" s="423"/>
      <c r="J45" s="413"/>
      <c r="K45" s="414"/>
      <c r="M45" s="37"/>
      <c r="N45" s="389"/>
      <c r="R45" s="416"/>
    </row>
    <row r="46" spans="1:18" s="415" customFormat="1">
      <c r="A46" s="406"/>
      <c r="B46" s="407"/>
      <c r="C46" s="408">
        <v>0</v>
      </c>
      <c r="D46" s="408"/>
      <c r="E46" s="409"/>
      <c r="F46" s="409"/>
      <c r="G46" s="409"/>
      <c r="H46" s="610">
        <f>SUM(H11:H44)</f>
        <v>13716.13120838099</v>
      </c>
      <c r="I46" s="611">
        <f>SUM(I11:I44)</f>
        <v>1</v>
      </c>
      <c r="J46" s="413"/>
      <c r="K46" s="414"/>
      <c r="M46" s="37"/>
      <c r="N46" s="389"/>
      <c r="R46" s="416"/>
    </row>
    <row r="47" spans="1:18" s="389" customFormat="1">
      <c r="A47" s="395"/>
      <c r="B47" s="381"/>
      <c r="C47" s="382"/>
      <c r="D47" s="387"/>
      <c r="E47" s="383"/>
      <c r="F47" s="383"/>
      <c r="G47" s="384"/>
      <c r="H47" s="430"/>
      <c r="I47" s="431"/>
      <c r="J47" s="387"/>
      <c r="K47" s="388"/>
      <c r="R47" s="37"/>
    </row>
    <row r="48" spans="1:18" s="389" customFormat="1">
      <c r="A48" s="432" t="s">
        <v>109</v>
      </c>
      <c r="B48" s="381"/>
      <c r="C48" s="382"/>
      <c r="D48" s="387"/>
      <c r="E48" s="383"/>
      <c r="F48" s="383"/>
      <c r="G48" s="384"/>
      <c r="H48" s="430"/>
      <c r="I48" s="431"/>
      <c r="J48" s="387"/>
      <c r="K48" s="388"/>
      <c r="R48" s="37"/>
    </row>
    <row r="49" spans="1:18" s="389" customFormat="1">
      <c r="A49" s="395"/>
      <c r="B49" s="381"/>
      <c r="C49" s="382"/>
      <c r="D49" s="387"/>
      <c r="E49" s="383"/>
      <c r="F49" s="383"/>
      <c r="G49" s="384"/>
      <c r="H49" s="430"/>
      <c r="I49" s="431"/>
      <c r="J49" s="387"/>
      <c r="K49" s="388"/>
      <c r="R49" s="37"/>
    </row>
    <row r="50" spans="1:18">
      <c r="D50" s="434"/>
    </row>
    <row r="51" spans="1:18">
      <c r="A51" s="435" t="s">
        <v>210</v>
      </c>
      <c r="B51" s="81"/>
      <c r="C51" s="81"/>
      <c r="D51" s="434"/>
    </row>
    <row r="52" spans="1:18">
      <c r="A52" s="81" t="s">
        <v>236</v>
      </c>
      <c r="B52" s="81" t="s">
        <v>211</v>
      </c>
      <c r="D52" s="434"/>
    </row>
    <row r="53" spans="1:18">
      <c r="A53" s="81" t="s">
        <v>212</v>
      </c>
      <c r="B53" s="81" t="s">
        <v>178</v>
      </c>
      <c r="D53" s="434"/>
    </row>
    <row r="54" spans="1:18">
      <c r="A54" s="81" t="s">
        <v>193</v>
      </c>
      <c r="B54" s="81" t="s">
        <v>4</v>
      </c>
      <c r="D54" s="434"/>
    </row>
    <row r="55" spans="1:18">
      <c r="A55" s="81" t="s">
        <v>154</v>
      </c>
      <c r="B55" s="81" t="s">
        <v>221</v>
      </c>
      <c r="D55" s="434"/>
    </row>
    <row r="56" spans="1:18">
      <c r="A56" s="81" t="s">
        <v>58</v>
      </c>
      <c r="B56" s="81" t="s">
        <v>74</v>
      </c>
      <c r="D56" s="434"/>
    </row>
    <row r="57" spans="1:18">
      <c r="A57" s="81" t="s">
        <v>246</v>
      </c>
      <c r="B57" s="81" t="s">
        <v>72</v>
      </c>
      <c r="D57" s="434"/>
    </row>
    <row r="58" spans="1:18">
      <c r="A58" s="81" t="s">
        <v>73</v>
      </c>
      <c r="B58" s="81" t="s">
        <v>32</v>
      </c>
      <c r="D58" s="434"/>
    </row>
    <row r="59" spans="1:18">
      <c r="A59" s="436"/>
      <c r="D59" s="434"/>
    </row>
    <row r="60" spans="1:18">
      <c r="A60" s="436"/>
      <c r="D60" s="434"/>
    </row>
  </sheetData>
  <autoFilter ref="A9:K46"/>
  <phoneticPr fontId="9"/>
  <printOptions horizontalCentered="1" gridLinesSet="0"/>
  <pageMargins left="0.59055118110236227" right="0.59055118110236227" top="0.59055118110236227" bottom="0.78740157480314965" header="0.39370078740157483" footer="0.19685039370078741"/>
  <pageSetup paperSize="9" scale="77" orientation="landscape" horizontalDpi="300" verticalDpi="300" r:id="rId1"/>
  <headerFooter alignWithMargins="0">
    <oddFooter>&amp;L&amp;"Verdana,Regular"&amp;F-&amp;A
Atir b.v. ©&amp;C&amp;R&amp;"Verdana,Regular"printversie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zoomScaleNormal="100" workbookViewId="0">
      <pane xSplit="1" ySplit="13" topLeftCell="B14" activePane="bottomRight" state="frozen"/>
      <selection pane="topRight" activeCell="B1" sqref="B1"/>
      <selection pane="bottomLeft" activeCell="A14" sqref="A14"/>
      <selection pane="bottomRight" activeCell="B29" sqref="B29"/>
    </sheetView>
  </sheetViews>
  <sheetFormatPr defaultRowHeight="12.75"/>
  <cols>
    <col min="1" max="1" width="37.140625" customWidth="1"/>
    <col min="2" max="2" width="43.7109375" customWidth="1"/>
    <col min="3" max="3" width="5.7109375" hidden="1" customWidth="1"/>
    <col min="4" max="4" width="13" customWidth="1"/>
    <col min="5" max="5" width="10.5703125" customWidth="1"/>
    <col min="6" max="7" width="15.7109375" customWidth="1"/>
    <col min="8" max="8" width="8.42578125" customWidth="1"/>
    <col min="9" max="9" width="16.28515625" customWidth="1"/>
    <col min="10" max="10" width="12.42578125" customWidth="1"/>
    <col min="11" max="11" width="14.42578125" customWidth="1"/>
    <col min="12" max="12" width="14.5703125" style="713" customWidth="1"/>
    <col min="13" max="13" width="3.5703125" customWidth="1"/>
    <col min="14" max="14" width="0" style="654" hidden="1" customWidth="1"/>
  </cols>
  <sheetData>
    <row r="1" spans="1:21" s="439" customFormat="1">
      <c r="A1" s="437" t="s">
        <v>109</v>
      </c>
      <c r="B1" s="437"/>
      <c r="C1" s="437"/>
      <c r="D1" s="562"/>
      <c r="E1" s="562"/>
      <c r="F1" s="563"/>
      <c r="G1" s="563"/>
      <c r="H1" s="563"/>
      <c r="L1" s="708"/>
      <c r="N1" s="652"/>
    </row>
    <row r="2" spans="1:21" s="439" customFormat="1">
      <c r="A2" s="440"/>
      <c r="B2" s="440"/>
      <c r="C2" s="440"/>
      <c r="D2" s="562"/>
      <c r="E2" s="562"/>
      <c r="F2" s="563"/>
      <c r="G2" s="563"/>
      <c r="H2" s="563"/>
      <c r="L2" s="708"/>
      <c r="N2" s="652"/>
    </row>
    <row r="3" spans="1:21" s="390" customFormat="1" ht="15">
      <c r="A3" s="441" t="s">
        <v>114</v>
      </c>
      <c r="B3" s="441"/>
      <c r="C3" s="441"/>
      <c r="D3" s="564"/>
      <c r="E3" s="564"/>
      <c r="F3" s="565"/>
      <c r="G3" s="565"/>
      <c r="H3" s="565"/>
      <c r="L3" s="443"/>
      <c r="N3" s="653"/>
    </row>
    <row r="4" spans="1:21" s="390" customFormat="1" ht="15">
      <c r="A4" s="441" t="s">
        <v>55</v>
      </c>
      <c r="B4" s="441"/>
      <c r="C4" s="441"/>
      <c r="D4" s="566"/>
      <c r="E4" s="607"/>
      <c r="F4" s="565"/>
      <c r="G4" s="565"/>
      <c r="H4" s="565"/>
      <c r="L4" s="443"/>
      <c r="N4" s="653"/>
    </row>
    <row r="5" spans="1:21" s="390" customFormat="1" ht="15">
      <c r="A5" s="441" t="s">
        <v>272</v>
      </c>
      <c r="B5" s="441"/>
      <c r="C5" s="441"/>
      <c r="D5" s="564"/>
      <c r="E5" s="607"/>
      <c r="F5" s="565"/>
      <c r="G5" s="565"/>
      <c r="H5" s="565"/>
      <c r="L5" s="443"/>
      <c r="N5" s="653"/>
    </row>
    <row r="6" spans="1:21" s="390" customFormat="1" ht="15">
      <c r="A6" s="441" t="s">
        <v>145</v>
      </c>
      <c r="B6" s="441"/>
      <c r="C6" s="441"/>
      <c r="D6" s="564"/>
      <c r="E6" s="607"/>
      <c r="F6" s="565"/>
      <c r="G6" s="565"/>
      <c r="H6" s="565"/>
      <c r="L6" s="443"/>
      <c r="N6" s="653"/>
    </row>
    <row r="7" spans="1:21" s="390" customFormat="1" ht="15">
      <c r="A7" s="441" t="s">
        <v>208</v>
      </c>
      <c r="B7" s="441"/>
      <c r="C7" s="441"/>
      <c r="D7" s="564"/>
      <c r="E7" s="606"/>
      <c r="F7" s="565"/>
      <c r="G7" s="565"/>
      <c r="H7" s="565"/>
      <c r="L7" s="443"/>
      <c r="N7" s="653"/>
    </row>
    <row r="8" spans="1:21" s="390" customFormat="1" ht="15">
      <c r="A8" s="441" t="s">
        <v>45</v>
      </c>
      <c r="B8" s="441"/>
      <c r="C8" s="441"/>
      <c r="D8" s="567"/>
      <c r="E8" s="567"/>
      <c r="F8" s="565"/>
      <c r="G8" s="565"/>
      <c r="H8" s="565"/>
      <c r="L8" s="443"/>
      <c r="N8" s="653"/>
    </row>
    <row r="9" spans="1:21" s="390" customFormat="1" ht="15">
      <c r="A9" s="441" t="s">
        <v>146</v>
      </c>
      <c r="B9" s="441"/>
      <c r="C9" s="441"/>
      <c r="D9" s="568"/>
      <c r="E9" s="568"/>
      <c r="F9" s="565"/>
      <c r="G9" s="565"/>
      <c r="H9" s="565"/>
      <c r="L9" s="443"/>
      <c r="N9" s="653"/>
    </row>
    <row r="10" spans="1:21" s="390" customFormat="1" ht="15">
      <c r="A10" s="441"/>
      <c r="B10" s="441"/>
      <c r="C10" s="441"/>
      <c r="D10" s="568"/>
      <c r="E10" s="568"/>
      <c r="F10" s="565"/>
      <c r="G10" s="565"/>
      <c r="H10" s="565"/>
      <c r="L10" s="443"/>
      <c r="N10" s="653"/>
    </row>
    <row r="11" spans="1:21" s="390" customFormat="1" ht="15">
      <c r="A11" s="569"/>
      <c r="B11" s="569"/>
      <c r="C11" s="569"/>
      <c r="D11" s="570"/>
      <c r="E11" s="570"/>
      <c r="F11" s="570"/>
      <c r="G11" s="570"/>
      <c r="H11" s="570"/>
      <c r="J11" s="571"/>
      <c r="L11" s="443"/>
      <c r="N11" s="653"/>
    </row>
    <row r="12" spans="1:21" s="390" customFormat="1" ht="31.5" customHeight="1">
      <c r="A12" s="572" t="s">
        <v>537</v>
      </c>
      <c r="B12" s="572" t="s">
        <v>538</v>
      </c>
      <c r="C12" s="572"/>
      <c r="D12" s="573" t="s">
        <v>530</v>
      </c>
      <c r="E12" s="573" t="s">
        <v>539</v>
      </c>
      <c r="F12" s="574" t="s">
        <v>531</v>
      </c>
      <c r="G12" s="782" t="s">
        <v>598</v>
      </c>
      <c r="H12" s="661"/>
      <c r="I12" s="575" t="s">
        <v>532</v>
      </c>
      <c r="J12" s="659"/>
      <c r="K12" s="575" t="s">
        <v>532</v>
      </c>
      <c r="L12" s="709" t="s">
        <v>532</v>
      </c>
      <c r="N12" s="653"/>
    </row>
    <row r="13" spans="1:21" s="390" customFormat="1" ht="25.5" customHeight="1">
      <c r="A13" s="576"/>
      <c r="B13" s="576"/>
      <c r="C13" s="576"/>
      <c r="D13" s="577" t="s">
        <v>533</v>
      </c>
      <c r="E13" s="577"/>
      <c r="F13" s="578" t="s">
        <v>534</v>
      </c>
      <c r="G13" s="783"/>
      <c r="H13" s="662"/>
      <c r="I13" s="579" t="s">
        <v>535</v>
      </c>
      <c r="J13" s="660" t="s">
        <v>607</v>
      </c>
      <c r="K13" s="579" t="s">
        <v>536</v>
      </c>
      <c r="L13" s="710" t="s">
        <v>36</v>
      </c>
      <c r="N13" s="653"/>
    </row>
    <row r="14" spans="1:21" s="439" customFormat="1">
      <c r="A14" s="651" t="s">
        <v>322</v>
      </c>
      <c r="B14" s="598" t="str">
        <f>VLOOKUP(A14,'3-Basis ruimtestaat'!$B$9:$T$435,2,FALSE)</f>
        <v>Lisstraat 13, 3202 JG SPIJKENISSE</v>
      </c>
      <c r="C14" s="598" t="s">
        <v>600</v>
      </c>
      <c r="D14" s="581">
        <f>SUMIF(gebouw,Locatieoverzicht!A14,'3-Basis ruimtestaat'!J:J)</f>
        <v>2449.7966666666671</v>
      </c>
      <c r="E14" s="582">
        <v>1</v>
      </c>
      <c r="F14" s="582">
        <f>SUMIF(gebouw,Locatieoverzicht!A14,'3-Basis ruimtestaat'!M:N)</f>
        <v>0</v>
      </c>
      <c r="G14" s="655" t="e">
        <f>F14*'1-Contractblad'!$I$30</f>
        <v>#DIV/0!</v>
      </c>
      <c r="H14" s="706" t="e">
        <f t="shared" ref="H14:H21" si="0">G14/$G$22</f>
        <v>#DIV/0!</v>
      </c>
      <c r="I14" s="583" t="e">
        <f>'1-Contractblad'!$G$41*Locatieoverzicht!N14</f>
        <v>#DIV/0!</v>
      </c>
      <c r="J14" s="584"/>
      <c r="K14" s="583" t="e">
        <f>H14*'1-Contractblad'!$G$43</f>
        <v>#DIV/0!</v>
      </c>
      <c r="L14" s="711" t="e">
        <f t="shared" ref="L14:L21" si="1">G14+I14+J14+K14</f>
        <v>#DIV/0!</v>
      </c>
      <c r="N14" s="652" t="e">
        <f t="shared" ref="N14:N21" si="2">F14/$F$22</f>
        <v>#DIV/0!</v>
      </c>
      <c r="T14" s="586"/>
      <c r="U14" s="587"/>
    </row>
    <row r="15" spans="1:21" s="439" customFormat="1">
      <c r="A15" s="582" t="s">
        <v>523</v>
      </c>
      <c r="B15" s="651" t="str">
        <f>VLOOKUP(A15,'3-Basis ruimtestaat'!$B$9:$T$435,2,FALSE)</f>
        <v>Mathenesserdijk 455, 3026 GH ROTTERDAM</v>
      </c>
      <c r="C15" s="598" t="s">
        <v>600</v>
      </c>
      <c r="D15" s="581">
        <f>SUMIF(gebouw,Locatieoverzicht!A15,'3-Basis ruimtestaat'!J:J)</f>
        <v>2543.7624904322729</v>
      </c>
      <c r="E15" s="582">
        <v>1</v>
      </c>
      <c r="F15" s="582">
        <f>SUMIF(gebouw,Locatieoverzicht!A15,'3-Basis ruimtestaat'!M:N)</f>
        <v>0</v>
      </c>
      <c r="G15" s="655" t="e">
        <f>F15*'1-Contractblad'!$I$30</f>
        <v>#DIV/0!</v>
      </c>
      <c r="H15" s="706" t="e">
        <f t="shared" si="0"/>
        <v>#DIV/0!</v>
      </c>
      <c r="I15" s="583" t="e">
        <f>'1-Contractblad'!$G$41*Locatieoverzicht!N15</f>
        <v>#DIV/0!</v>
      </c>
      <c r="J15" s="584"/>
      <c r="K15" s="583" t="e">
        <f>H15*'1-Contractblad'!$G$43</f>
        <v>#DIV/0!</v>
      </c>
      <c r="L15" s="711" t="e">
        <f t="shared" si="1"/>
        <v>#DIV/0!</v>
      </c>
      <c r="N15" s="652" t="e">
        <f t="shared" si="2"/>
        <v>#DIV/0!</v>
      </c>
      <c r="T15" s="586"/>
      <c r="U15" s="587"/>
    </row>
    <row r="16" spans="1:21" s="439" customFormat="1">
      <c r="A16" s="651" t="s">
        <v>498</v>
      </c>
      <c r="B16" s="651" t="str">
        <f>VLOOKUP(A16,'3-Basis ruimtestaat'!$B$9:$T$435,2,FALSE)</f>
        <v>Mathenesserdijk 455, 3026 GH Rotterdam</v>
      </c>
      <c r="C16" s="598" t="s">
        <v>600</v>
      </c>
      <c r="D16" s="581">
        <f>SUMIF(gebouw,Locatieoverzicht!A16,'3-Basis ruimtestaat'!J:J)</f>
        <v>165.20500000000001</v>
      </c>
      <c r="E16" s="582">
        <v>1</v>
      </c>
      <c r="F16" s="582">
        <f>SUMIF(gebouw,Locatieoverzicht!A16,'3-Basis ruimtestaat'!M:N)</f>
        <v>0</v>
      </c>
      <c r="G16" s="655" t="e">
        <f>F16*'1-Contractblad'!$I$30</f>
        <v>#DIV/0!</v>
      </c>
      <c r="H16" s="706" t="e">
        <f t="shared" si="0"/>
        <v>#DIV/0!</v>
      </c>
      <c r="I16" s="583" t="e">
        <f>'1-Contractblad'!$G$41*Locatieoverzicht!N16</f>
        <v>#DIV/0!</v>
      </c>
      <c r="J16" s="584"/>
      <c r="K16" s="583" t="e">
        <f>H16*'1-Contractblad'!$G$43</f>
        <v>#DIV/0!</v>
      </c>
      <c r="L16" s="711" t="e">
        <f t="shared" si="1"/>
        <v>#DIV/0!</v>
      </c>
      <c r="N16" s="652" t="e">
        <f t="shared" si="2"/>
        <v>#DIV/0!</v>
      </c>
      <c r="T16" s="586"/>
      <c r="U16" s="587"/>
    </row>
    <row r="17" spans="1:21" s="439" customFormat="1">
      <c r="A17" s="582" t="s">
        <v>503</v>
      </c>
      <c r="B17" s="651" t="str">
        <f>VLOOKUP(A17,'3-Basis ruimtestaat'!$B$9:$T$435,2,FALSE)</f>
        <v>Westzeedijk 497, 3024 EL ROTTERDAM</v>
      </c>
      <c r="C17" s="598" t="s">
        <v>600</v>
      </c>
      <c r="D17" s="581">
        <f>SUMIF(gebouw,Locatieoverzicht!A17,'3-Basis ruimtestaat'!J:J)</f>
        <v>1295.8520512820514</v>
      </c>
      <c r="E17" s="582">
        <v>1</v>
      </c>
      <c r="F17" s="582">
        <f>SUMIF(gebouw,Locatieoverzicht!A17,'3-Basis ruimtestaat'!M:N)</f>
        <v>0</v>
      </c>
      <c r="G17" s="655" t="e">
        <f>F17*'1-Contractblad'!$I$30</f>
        <v>#DIV/0!</v>
      </c>
      <c r="H17" s="706" t="e">
        <f t="shared" si="0"/>
        <v>#DIV/0!</v>
      </c>
      <c r="I17" s="583" t="e">
        <f>'1-Contractblad'!$G$41*Locatieoverzicht!N17</f>
        <v>#DIV/0!</v>
      </c>
      <c r="J17" s="584"/>
      <c r="K17" s="583" t="e">
        <f>H17*'1-Contractblad'!$G$43</f>
        <v>#DIV/0!</v>
      </c>
      <c r="L17" s="711" t="e">
        <f t="shared" si="1"/>
        <v>#DIV/0!</v>
      </c>
      <c r="N17" s="652" t="e">
        <f t="shared" si="2"/>
        <v>#DIV/0!</v>
      </c>
      <c r="T17" s="586"/>
      <c r="U17" s="587"/>
    </row>
    <row r="18" spans="1:21" s="439" customFormat="1">
      <c r="A18" s="651" t="s">
        <v>504</v>
      </c>
      <c r="B18" s="598" t="str">
        <f>VLOOKUP(A18,'3-Basis ruimtestaat'!$B$9:$T$435,2,FALSE)</f>
        <v>Tattistraat 3-5, 3066 CE ROTTERDAM</v>
      </c>
      <c r="C18" s="598" t="s">
        <v>600</v>
      </c>
      <c r="D18" s="581">
        <f>SUMIF(gebouw,Locatieoverzicht!A18,'3-Basis ruimtestaat'!J:J)</f>
        <v>4186.3849999999993</v>
      </c>
      <c r="E18" s="582">
        <v>1</v>
      </c>
      <c r="F18" s="582">
        <f>SUMIF(gebouw,Locatieoverzicht!A18,'3-Basis ruimtestaat'!M:N)</f>
        <v>0</v>
      </c>
      <c r="G18" s="655" t="e">
        <f>F18*'1-Contractblad'!$I$30</f>
        <v>#DIV/0!</v>
      </c>
      <c r="H18" s="706" t="e">
        <f t="shared" si="0"/>
        <v>#DIV/0!</v>
      </c>
      <c r="I18" s="583" t="e">
        <f>'1-Contractblad'!$G$41*Locatieoverzicht!N18</f>
        <v>#DIV/0!</v>
      </c>
      <c r="J18" s="584"/>
      <c r="K18" s="583" t="e">
        <f>H18*'1-Contractblad'!$G$43</f>
        <v>#DIV/0!</v>
      </c>
      <c r="L18" s="711" t="e">
        <f t="shared" si="1"/>
        <v>#DIV/0!</v>
      </c>
      <c r="N18" s="652" t="e">
        <f t="shared" si="2"/>
        <v>#DIV/0!</v>
      </c>
      <c r="T18" s="586"/>
      <c r="U18" s="587"/>
    </row>
    <row r="19" spans="1:21" s="439" customFormat="1">
      <c r="A19" s="651" t="s">
        <v>502</v>
      </c>
      <c r="B19" s="598" t="str">
        <f>VLOOKUP(A19,'3-Basis ruimtestaat'!$B$9:$T$435,2,FALSE)</f>
        <v>Tattistraat 13, 3066 CG Rotterdam</v>
      </c>
      <c r="C19" s="598" t="s">
        <v>600</v>
      </c>
      <c r="D19" s="581">
        <f>SUMIF(gebouw,Locatieoverzicht!A19,'3-Basis ruimtestaat'!J:J)</f>
        <v>352.94000000000005</v>
      </c>
      <c r="E19" s="582">
        <v>1</v>
      </c>
      <c r="F19" s="582">
        <f>SUMIF(gebouw,Locatieoverzicht!A19,'3-Basis ruimtestaat'!M:N)</f>
        <v>0</v>
      </c>
      <c r="G19" s="655" t="e">
        <f>F19*'1-Contractblad'!$I$30</f>
        <v>#DIV/0!</v>
      </c>
      <c r="H19" s="706" t="e">
        <f t="shared" si="0"/>
        <v>#DIV/0!</v>
      </c>
      <c r="I19" s="583" t="e">
        <f>'1-Contractblad'!$G$41*Locatieoverzicht!N19</f>
        <v>#DIV/0!</v>
      </c>
      <c r="J19" s="584"/>
      <c r="K19" s="583" t="e">
        <f>H19*'1-Contractblad'!$G$43</f>
        <v>#DIV/0!</v>
      </c>
      <c r="L19" s="711" t="e">
        <f t="shared" si="1"/>
        <v>#DIV/0!</v>
      </c>
      <c r="N19" s="652" t="e">
        <f t="shared" si="2"/>
        <v>#DIV/0!</v>
      </c>
      <c r="T19" s="586"/>
      <c r="U19" s="587"/>
    </row>
    <row r="20" spans="1:21" s="439" customFormat="1">
      <c r="A20" s="651" t="s">
        <v>527</v>
      </c>
      <c r="B20" s="651" t="str">
        <f>VLOOKUP(A20,'3-Basis ruimtestaat'!$B$9:$T$435,2,FALSE)</f>
        <v>Tooroplaan 8, 3055 VG ROTTERDAM</v>
      </c>
      <c r="C20" s="651" t="s">
        <v>600</v>
      </c>
      <c r="D20" s="581">
        <f>SUMIF(gebouw,Locatieoverzicht!A20,'3-Basis ruimtestaat'!J:J)</f>
        <v>2338.8000000000002</v>
      </c>
      <c r="E20" s="582">
        <v>1</v>
      </c>
      <c r="F20" s="582">
        <f>SUMIF(gebouw,Locatieoverzicht!A20,'3-Basis ruimtestaat'!M:N)</f>
        <v>0</v>
      </c>
      <c r="G20" s="655" t="e">
        <f>F20*'1-Contractblad'!$I$30</f>
        <v>#DIV/0!</v>
      </c>
      <c r="H20" s="706" t="e">
        <f t="shared" si="0"/>
        <v>#DIV/0!</v>
      </c>
      <c r="I20" s="583" t="e">
        <f>'1-Contractblad'!$G$41*Locatieoverzicht!N20</f>
        <v>#DIV/0!</v>
      </c>
      <c r="J20" s="584"/>
      <c r="K20" s="583" t="e">
        <f>H20*'1-Contractblad'!$G$43</f>
        <v>#DIV/0!</v>
      </c>
      <c r="L20" s="711" t="e">
        <f t="shared" si="1"/>
        <v>#DIV/0!</v>
      </c>
      <c r="N20" s="652" t="e">
        <f t="shared" si="2"/>
        <v>#DIV/0!</v>
      </c>
      <c r="T20" s="586"/>
      <c r="U20" s="587"/>
    </row>
    <row r="21" spans="1:21" s="439" customFormat="1" ht="13.5" thickBot="1">
      <c r="A21" s="651" t="s">
        <v>499</v>
      </c>
      <c r="B21" s="651" t="str">
        <f>VLOOKUP(A21,'3-Basis ruimtestaat'!$B$9:$T$435,2,FALSE)</f>
        <v>Tooroplaan 8, 3055 VG ROTTERDAM</v>
      </c>
      <c r="C21" s="651" t="s">
        <v>600</v>
      </c>
      <c r="D21" s="581">
        <f>SUMIF(gebouw,Locatieoverzicht!A21,'3-Basis ruimtestaat'!J:J)</f>
        <v>383.39</v>
      </c>
      <c r="E21" s="582">
        <v>1</v>
      </c>
      <c r="F21" s="582">
        <f>SUMIF(gebouw,Locatieoverzicht!A21,'3-Basis ruimtestaat'!M:N)</f>
        <v>0</v>
      </c>
      <c r="G21" s="655" t="e">
        <f>F21*'1-Contractblad'!$I$30</f>
        <v>#DIV/0!</v>
      </c>
      <c r="H21" s="706" t="e">
        <f t="shared" si="0"/>
        <v>#DIV/0!</v>
      </c>
      <c r="I21" s="583" t="e">
        <f>'1-Contractblad'!$G$41*Locatieoverzicht!N21</f>
        <v>#DIV/0!</v>
      </c>
      <c r="J21" s="584"/>
      <c r="K21" s="583" t="e">
        <f>H21*'1-Contractblad'!$G$43</f>
        <v>#DIV/0!</v>
      </c>
      <c r="L21" s="711" t="e">
        <f t="shared" si="1"/>
        <v>#DIV/0!</v>
      </c>
      <c r="N21" s="652" t="e">
        <f t="shared" si="2"/>
        <v>#DIV/0!</v>
      </c>
      <c r="T21" s="586"/>
      <c r="U21" s="587"/>
    </row>
    <row r="22" spans="1:21" s="439" customFormat="1" ht="13.5" thickBot="1">
      <c r="A22" s="580"/>
      <c r="B22" s="580"/>
      <c r="C22" s="580"/>
      <c r="D22" s="588">
        <f>SUM(D14:D21)</f>
        <v>13716.13120838099</v>
      </c>
      <c r="E22" s="605"/>
      <c r="F22" s="589">
        <f>SUM(F14:F21)</f>
        <v>0</v>
      </c>
      <c r="G22" s="589" t="e">
        <f>SUM(G14:G21)</f>
        <v>#DIV/0!</v>
      </c>
      <c r="H22" s="707" t="e">
        <f>SUM(H14:H21)</f>
        <v>#DIV/0!</v>
      </c>
      <c r="I22" s="590" t="e">
        <f>SUM(I14:I21)</f>
        <v>#DIV/0!</v>
      </c>
      <c r="J22" s="591"/>
      <c r="K22" s="590" t="e">
        <f>SUM(K14:K21)</f>
        <v>#DIV/0!</v>
      </c>
      <c r="L22" s="592" t="e">
        <f>SUM(L14:L21)</f>
        <v>#DIV/0!</v>
      </c>
      <c r="N22" s="652"/>
    </row>
    <row r="23" spans="1:21" s="439" customFormat="1">
      <c r="A23" s="489"/>
      <c r="B23" s="489"/>
      <c r="C23" s="489"/>
      <c r="D23" s="593"/>
      <c r="E23" s="593"/>
      <c r="F23" s="593"/>
      <c r="G23" s="593"/>
      <c r="H23" s="593"/>
      <c r="L23" s="712"/>
      <c r="N23" s="652"/>
    </row>
    <row r="24" spans="1:21" s="439" customFormat="1">
      <c r="A24" s="489"/>
      <c r="B24" s="489"/>
      <c r="C24" s="489"/>
      <c r="D24" s="595"/>
      <c r="E24" s="595"/>
      <c r="F24" s="593"/>
      <c r="G24" s="593"/>
      <c r="H24" s="593"/>
      <c r="I24" s="585"/>
      <c r="L24" s="712"/>
      <c r="N24" s="652"/>
    </row>
    <row r="25" spans="1:21" s="439" customFormat="1">
      <c r="A25" s="489"/>
      <c r="B25" s="489"/>
      <c r="C25" s="489"/>
      <c r="D25" s="597"/>
      <c r="E25" s="597"/>
      <c r="F25" s="593"/>
      <c r="G25" s="593"/>
      <c r="H25" s="593"/>
      <c r="L25" s="708"/>
      <c r="N25" s="652"/>
    </row>
    <row r="26" spans="1:21" s="439" customFormat="1">
      <c r="A26" s="489"/>
      <c r="B26" s="489"/>
      <c r="C26" s="489"/>
      <c r="D26" s="597"/>
      <c r="E26" s="597"/>
      <c r="F26" s="593"/>
      <c r="G26" s="593"/>
      <c r="H26" s="593"/>
      <c r="L26" s="708"/>
      <c r="N26" s="652"/>
    </row>
    <row r="27" spans="1:21" s="439" customFormat="1">
      <c r="A27" s="489"/>
      <c r="B27" s="489"/>
      <c r="C27" s="489"/>
      <c r="D27" s="597"/>
      <c r="E27" s="597"/>
      <c r="F27" s="593"/>
      <c r="G27" s="593"/>
      <c r="H27" s="593"/>
      <c r="L27" s="708"/>
      <c r="N27" s="652"/>
    </row>
    <row r="28" spans="1:21" s="439" customFormat="1">
      <c r="A28" s="489"/>
      <c r="B28" s="489"/>
      <c r="C28" s="489"/>
      <c r="D28" s="597"/>
      <c r="E28" s="597"/>
      <c r="F28" s="593"/>
      <c r="G28" s="593"/>
      <c r="H28" s="593"/>
      <c r="L28" s="708"/>
      <c r="N28" s="652"/>
    </row>
    <row r="29" spans="1:21" s="439" customFormat="1">
      <c r="A29" s="489"/>
      <c r="B29" s="489"/>
      <c r="C29" s="489"/>
      <c r="D29" s="597"/>
      <c r="E29" s="597"/>
      <c r="F29" s="593"/>
      <c r="G29" s="593"/>
      <c r="H29" s="593"/>
      <c r="L29" s="708"/>
      <c r="N29" s="652"/>
    </row>
    <row r="30" spans="1:21" s="439" customFormat="1">
      <c r="A30" s="594"/>
      <c r="B30" s="594"/>
      <c r="C30" s="594"/>
      <c r="D30" s="596"/>
      <c r="E30" s="596"/>
      <c r="F30" s="596"/>
      <c r="G30" s="596"/>
      <c r="H30" s="596"/>
      <c r="L30" s="708"/>
      <c r="N30" s="652"/>
    </row>
    <row r="31" spans="1:21" s="439" customFormat="1">
      <c r="A31" s="489"/>
      <c r="B31" s="489"/>
      <c r="C31" s="489"/>
      <c r="D31" s="596"/>
      <c r="E31" s="596"/>
      <c r="F31" s="596"/>
      <c r="G31" s="596"/>
      <c r="H31" s="596"/>
      <c r="L31" s="708"/>
      <c r="N31" s="652"/>
    </row>
    <row r="32" spans="1:21" s="439" customFormat="1">
      <c r="A32" s="489"/>
      <c r="B32" s="489"/>
      <c r="C32" s="489"/>
      <c r="D32" s="596"/>
      <c r="E32" s="596"/>
      <c r="F32" s="593"/>
      <c r="G32" s="593"/>
      <c r="H32" s="593"/>
      <c r="L32" s="708"/>
      <c r="N32" s="652"/>
    </row>
  </sheetData>
  <autoFilter ref="A12:L22"/>
  <mergeCells count="1">
    <mergeCell ref="G12:G1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39"/>
  <sheetViews>
    <sheetView showGridLines="0" showZeros="0" zoomScale="80" zoomScaleNormal="80" workbookViewId="0">
      <pane ySplit="9" topLeftCell="A10" activePane="bottomLeft" state="frozen"/>
      <selection sqref="A1:XFD1048576"/>
      <selection pane="bottomLeft" activeCell="D10" sqref="D10:D435"/>
    </sheetView>
  </sheetViews>
  <sheetFormatPr defaultColWidth="8.7109375" defaultRowHeight="14.1" customHeight="1"/>
  <cols>
    <col min="1" max="1" width="5.42578125" style="560" customWidth="1"/>
    <col min="2" max="2" width="34.140625" style="37" customWidth="1"/>
    <col min="3" max="3" width="35.7109375" style="37" customWidth="1"/>
    <col min="4" max="4" width="14.5703125" style="37" customWidth="1"/>
    <col min="5" max="5" width="12" style="599" customWidth="1"/>
    <col min="6" max="6" width="9.5703125" style="703" customWidth="1"/>
    <col min="7" max="7" width="33.28515625" style="37" customWidth="1"/>
    <col min="8" max="8" width="36" style="37" customWidth="1"/>
    <col min="9" max="9" width="7.42578125" style="37" customWidth="1"/>
    <col min="10" max="10" width="7.42578125" style="700" customWidth="1"/>
    <col min="11" max="11" width="10.28515625" style="37" customWidth="1"/>
    <col min="12" max="15" width="9.140625" style="37" customWidth="1"/>
    <col min="16" max="16" width="9.28515625" style="37" customWidth="1"/>
    <col min="17" max="17" width="7.7109375" style="37" customWidth="1"/>
    <col min="18" max="18" width="9.28515625" style="37" customWidth="1"/>
    <col min="19" max="19" width="10" style="37" customWidth="1"/>
    <col min="20" max="20" width="9.28515625" style="37" customWidth="1"/>
    <col min="21" max="21" width="22.7109375" style="37" customWidth="1"/>
    <col min="22" max="22" width="19.5703125" style="37" customWidth="1"/>
    <col min="23" max="16384" width="8.7109375" style="37"/>
  </cols>
  <sheetData>
    <row r="1" spans="1:21" ht="14.1" customHeight="1">
      <c r="A1" s="558">
        <v>1</v>
      </c>
      <c r="B1" s="354" t="s">
        <v>242</v>
      </c>
      <c r="C1" s="354"/>
      <c r="D1" s="354"/>
      <c r="H1" s="355"/>
      <c r="K1" s="356"/>
      <c r="L1" s="83"/>
      <c r="M1" s="357"/>
      <c r="N1" s="357"/>
      <c r="O1" s="357"/>
      <c r="P1" s="357"/>
      <c r="Q1" s="357"/>
      <c r="R1" s="358"/>
    </row>
    <row r="2" spans="1:21" ht="14.1" customHeight="1">
      <c r="A2" s="559">
        <v>2</v>
      </c>
      <c r="B2" s="359"/>
      <c r="C2" s="359"/>
      <c r="D2" s="359"/>
      <c r="E2" s="600"/>
      <c r="F2" s="305"/>
      <c r="G2" s="360"/>
      <c r="H2" s="361"/>
      <c r="I2" s="118"/>
      <c r="J2" s="701"/>
      <c r="K2" s="362"/>
      <c r="L2" s="363"/>
      <c r="M2" s="364"/>
      <c r="N2" s="364"/>
      <c r="O2" s="364"/>
      <c r="P2" s="364"/>
      <c r="Q2" s="364"/>
      <c r="R2" s="365"/>
      <c r="S2" s="118"/>
      <c r="T2" s="118"/>
    </row>
    <row r="3" spans="1:21" ht="14.1" customHeight="1">
      <c r="A3" s="559">
        <v>3</v>
      </c>
      <c r="B3" s="546" t="str">
        <f>'1-Contractblad'!A3</f>
        <v>Naam opdrachtgever</v>
      </c>
      <c r="C3" s="547" t="s">
        <v>323</v>
      </c>
      <c r="D3" s="547"/>
      <c r="F3" s="305"/>
      <c r="I3" s="118"/>
      <c r="J3" s="701"/>
      <c r="K3" s="362"/>
      <c r="L3" s="363"/>
      <c r="M3" s="364"/>
      <c r="N3" s="364"/>
      <c r="O3" s="364"/>
      <c r="P3" s="364"/>
      <c r="Q3" s="364"/>
      <c r="R3" s="365"/>
      <c r="S3" s="118"/>
      <c r="T3" s="118"/>
    </row>
    <row r="4" spans="1:21" ht="14.1" customHeight="1">
      <c r="A4" s="559">
        <v>4</v>
      </c>
      <c r="B4" s="546" t="str">
        <f>'1-Contractblad'!A4</f>
        <v>Calculatie onderdeel</v>
      </c>
      <c r="C4" s="547" t="s">
        <v>264</v>
      </c>
      <c r="D4" s="547"/>
      <c r="F4" s="704"/>
      <c r="H4" s="548"/>
      <c r="I4" s="118"/>
      <c r="J4" s="701"/>
      <c r="K4" s="362"/>
      <c r="L4" s="363"/>
      <c r="M4" s="364"/>
      <c r="N4" s="364"/>
      <c r="O4" s="364"/>
      <c r="P4" s="364"/>
      <c r="Q4" s="364"/>
      <c r="R4" s="365"/>
      <c r="S4" s="118"/>
      <c r="T4" s="118"/>
    </row>
    <row r="5" spans="1:21" ht="14.1" customHeight="1">
      <c r="A5" s="559">
        <v>5</v>
      </c>
      <c r="B5" s="546" t="str">
        <f>'1-Contractblad'!A5</f>
        <v>Gebouw/plaats</v>
      </c>
      <c r="C5" s="547" t="str">
        <f>'1-Contractblad'!B5</f>
        <v>Rotterdam</v>
      </c>
      <c r="D5" s="547"/>
      <c r="F5" s="305"/>
      <c r="I5" s="118"/>
      <c r="J5" s="701"/>
      <c r="K5" s="362"/>
      <c r="L5" s="363"/>
      <c r="M5" s="364"/>
      <c r="N5" s="364"/>
      <c r="O5" s="364"/>
      <c r="P5" s="364"/>
      <c r="Q5" s="364"/>
      <c r="R5" s="365"/>
      <c r="S5" s="118"/>
      <c r="T5" s="118"/>
    </row>
    <row r="6" spans="1:21" ht="14.1" customHeight="1">
      <c r="A6" s="559">
        <v>6</v>
      </c>
      <c r="B6" s="546" t="str">
        <f>'1-Contractblad'!A6</f>
        <v>Besteknummer</v>
      </c>
      <c r="C6" s="547" t="str">
        <f>'1-Contractblad'!B6</f>
        <v>LMC-EA-JV-2014</v>
      </c>
      <c r="D6" s="547"/>
      <c r="F6" s="305"/>
      <c r="I6" s="118"/>
      <c r="J6" s="701"/>
      <c r="K6" s="362"/>
      <c r="L6" s="363"/>
      <c r="M6" s="364"/>
      <c r="N6" s="364"/>
      <c r="O6" s="364"/>
      <c r="P6" s="364"/>
      <c r="Q6" s="364"/>
      <c r="R6" s="365"/>
      <c r="S6" s="118"/>
      <c r="T6" s="118"/>
    </row>
    <row r="7" spans="1:21" ht="14.1" customHeight="1">
      <c r="A7" s="559">
        <v>7</v>
      </c>
      <c r="B7" s="546" t="str">
        <f>'1-Contractblad'!A7</f>
        <v>Naam leverancier</v>
      </c>
      <c r="C7" s="547">
        <f>'1-Contractblad'!B7</f>
        <v>0</v>
      </c>
      <c r="D7" s="547"/>
      <c r="F7" s="305"/>
      <c r="I7" s="118"/>
      <c r="J7" s="701"/>
      <c r="K7" s="362"/>
      <c r="L7" s="363"/>
      <c r="M7" s="364"/>
      <c r="N7" s="364"/>
      <c r="O7" s="364"/>
      <c r="P7" s="364"/>
      <c r="Q7" s="364"/>
      <c r="R7" s="365"/>
      <c r="S7" s="118"/>
      <c r="T7" s="118"/>
    </row>
    <row r="8" spans="1:21" ht="14.1" customHeight="1">
      <c r="A8" s="559">
        <v>8</v>
      </c>
      <c r="B8" s="360"/>
      <c r="C8" s="360"/>
      <c r="D8" s="360"/>
      <c r="E8" s="600"/>
      <c r="F8" s="305"/>
      <c r="G8" s="360"/>
      <c r="H8" s="361"/>
      <c r="I8" s="118"/>
      <c r="J8" s="701"/>
      <c r="K8" s="362"/>
      <c r="L8" s="363"/>
      <c r="M8" s="364"/>
      <c r="N8" s="364"/>
      <c r="O8" s="364"/>
      <c r="P8" s="364"/>
      <c r="Q8" s="364"/>
      <c r="R8" s="365"/>
      <c r="S8" s="118"/>
      <c r="T8" s="118"/>
    </row>
    <row r="9" spans="1:21" ht="54" customHeight="1">
      <c r="A9" s="559">
        <v>9</v>
      </c>
      <c r="B9" s="366" t="s">
        <v>90</v>
      </c>
      <c r="C9" s="366" t="s">
        <v>515</v>
      </c>
      <c r="D9" s="366" t="s">
        <v>648</v>
      </c>
      <c r="E9" s="601" t="s">
        <v>112</v>
      </c>
      <c r="F9" s="705" t="s">
        <v>238</v>
      </c>
      <c r="G9" s="366" t="s">
        <v>175</v>
      </c>
      <c r="H9" s="367" t="s">
        <v>160</v>
      </c>
      <c r="I9" s="368" t="s">
        <v>203</v>
      </c>
      <c r="J9" s="702" t="s">
        <v>599</v>
      </c>
      <c r="K9" s="369" t="s">
        <v>244</v>
      </c>
      <c r="L9" s="370" t="s">
        <v>136</v>
      </c>
      <c r="M9" s="370" t="s">
        <v>2</v>
      </c>
      <c r="N9" s="370" t="s">
        <v>85</v>
      </c>
      <c r="O9" s="370" t="s">
        <v>51</v>
      </c>
      <c r="P9" s="370" t="s">
        <v>52</v>
      </c>
      <c r="Q9" s="370" t="s">
        <v>647</v>
      </c>
      <c r="R9" s="371" t="s">
        <v>91</v>
      </c>
      <c r="S9" s="368" t="s">
        <v>23</v>
      </c>
      <c r="T9" s="368" t="s">
        <v>67</v>
      </c>
    </row>
    <row r="10" spans="1:21" ht="14.1" customHeight="1">
      <c r="A10" s="559">
        <v>10</v>
      </c>
      <c r="B10" s="372" t="s">
        <v>322</v>
      </c>
      <c r="C10" s="552" t="s">
        <v>516</v>
      </c>
      <c r="D10" s="757">
        <f>VLOOKUP(B10,Locatieoverzicht!$A$14:$E$21,5,FALSE)</f>
        <v>1</v>
      </c>
      <c r="E10" s="373">
        <v>-1</v>
      </c>
      <c r="F10" s="549" t="s">
        <v>324</v>
      </c>
      <c r="G10" s="550" t="s">
        <v>326</v>
      </c>
      <c r="H10" s="374" t="str">
        <f t="shared" ref="H10:H11" si="0">IF($K10="",0,VLOOKUP($K10,Kengetal,3,FALSE))</f>
        <v>Niet van toepassing</v>
      </c>
      <c r="I10" s="375"/>
      <c r="J10" s="561">
        <v>7.6</v>
      </c>
      <c r="K10" s="612" t="s">
        <v>239</v>
      </c>
      <c r="L10" s="376">
        <f t="shared" ref="L10:L11" si="1">SUM(IF(K10="",0,VLOOKUP(K10,Kengetal,2)))</f>
        <v>0</v>
      </c>
      <c r="M10" s="377">
        <f>O10*J10*Q10</f>
        <v>0</v>
      </c>
      <c r="N10" s="377">
        <f>P10*J10*Q10</f>
        <v>0</v>
      </c>
      <c r="O10" s="377">
        <f t="shared" ref="O10:O11" si="2">IF($K10="",0,VLOOKUP($K10,Kengetal,5,FALSE))</f>
        <v>0</v>
      </c>
      <c r="P10" s="377">
        <f t="shared" ref="P10:P11" si="3">IF($K10="",0,VLOOKUP($K10,Kengetal,6,FALSE))</f>
        <v>0</v>
      </c>
      <c r="Q10" s="755">
        <v>1</v>
      </c>
      <c r="R10" s="378">
        <f t="shared" ref="R10:R11" si="4">IF(K10="","",VLOOKUP(K10,Kengetal,11,FALSE))</f>
        <v>0</v>
      </c>
      <c r="S10" s="379"/>
      <c r="T10" s="379"/>
      <c r="U10" s="756">
        <f t="shared" ref="U10:U11" si="5">J10*L10</f>
        <v>0</v>
      </c>
    </row>
    <row r="11" spans="1:21" ht="14.1" customHeight="1">
      <c r="A11" s="559">
        <v>11</v>
      </c>
      <c r="B11" s="372" t="s">
        <v>322</v>
      </c>
      <c r="C11" s="552" t="s">
        <v>516</v>
      </c>
      <c r="D11" s="757">
        <f>VLOOKUP(B11,Locatieoverzicht!$A$14:$E$21,5,FALSE)</f>
        <v>1</v>
      </c>
      <c r="E11" s="373">
        <v>-1</v>
      </c>
      <c r="F11" s="549" t="s">
        <v>325</v>
      </c>
      <c r="G11" s="550" t="s">
        <v>326</v>
      </c>
      <c r="H11" s="374" t="str">
        <f t="shared" si="0"/>
        <v>Niet van toepassing</v>
      </c>
      <c r="I11" s="375"/>
      <c r="J11" s="561">
        <v>8.6</v>
      </c>
      <c r="K11" s="612" t="s">
        <v>239</v>
      </c>
      <c r="L11" s="376">
        <f t="shared" si="1"/>
        <v>0</v>
      </c>
      <c r="M11" s="377">
        <f t="shared" ref="M11:M74" si="6">O11*J11*Q11</f>
        <v>0</v>
      </c>
      <c r="N11" s="377">
        <f t="shared" ref="N11:N74" si="7">P11*J11*Q11</f>
        <v>0</v>
      </c>
      <c r="O11" s="377">
        <f t="shared" si="2"/>
        <v>0</v>
      </c>
      <c r="P11" s="377">
        <f t="shared" si="3"/>
        <v>0</v>
      </c>
      <c r="Q11" s="755">
        <v>1</v>
      </c>
      <c r="R11" s="378">
        <f t="shared" si="4"/>
        <v>0</v>
      </c>
      <c r="S11" s="379"/>
      <c r="T11" s="379"/>
      <c r="U11" s="756">
        <f t="shared" si="5"/>
        <v>0</v>
      </c>
    </row>
    <row r="12" spans="1:21" ht="14.1" customHeight="1">
      <c r="A12" s="559">
        <v>12</v>
      </c>
      <c r="B12" s="372" t="s">
        <v>322</v>
      </c>
      <c r="C12" s="552" t="s">
        <v>516</v>
      </c>
      <c r="D12" s="757">
        <f>VLOOKUP(B12,Locatieoverzicht!$A$14:$E$21,5,FALSE)</f>
        <v>1</v>
      </c>
      <c r="E12" s="608" t="s">
        <v>551</v>
      </c>
      <c r="F12" s="549" t="s">
        <v>327</v>
      </c>
      <c r="G12" s="550" t="s">
        <v>398</v>
      </c>
      <c r="H12" s="374" t="str">
        <f t="shared" ref="H12:H75" si="8">IF($K12="",0,VLOOKUP($K12,Kengetal,3,FALSE))</f>
        <v>Gangen en hallen</v>
      </c>
      <c r="I12" s="375" t="s">
        <v>612</v>
      </c>
      <c r="J12" s="561">
        <v>126.7</v>
      </c>
      <c r="K12" s="612">
        <v>3200</v>
      </c>
      <c r="L12" s="376">
        <f t="shared" ref="L12:L75" si="9">SUM(IF(K12="",0,VLOOKUP(K12,Kengetal,2)))</f>
        <v>200</v>
      </c>
      <c r="M12" s="377">
        <f t="shared" si="6"/>
        <v>0</v>
      </c>
      <c r="N12" s="377">
        <f t="shared" si="7"/>
        <v>0</v>
      </c>
      <c r="O12" s="377">
        <f t="shared" ref="O12:O75" si="10">IF($K12="",0,VLOOKUP($K12,Kengetal,5,FALSE))</f>
        <v>0</v>
      </c>
      <c r="P12" s="377">
        <f t="shared" ref="P12:P75" si="11">IF($K12="",0,VLOOKUP($K12,Kengetal,6,FALSE))</f>
        <v>0</v>
      </c>
      <c r="Q12" s="755">
        <v>1</v>
      </c>
      <c r="R12" s="378" t="str">
        <f t="shared" ref="R12:R75" si="12">IF(K12="","",VLOOKUP(K12,Kengetal,11,FALSE))</f>
        <v>V</v>
      </c>
      <c r="S12" s="379"/>
      <c r="T12" s="379"/>
      <c r="U12" s="756">
        <f t="shared" ref="U12:U75" si="13">J12*L12</f>
        <v>25340</v>
      </c>
    </row>
    <row r="13" spans="1:21" ht="14.1" customHeight="1">
      <c r="A13" s="559">
        <v>13</v>
      </c>
      <c r="B13" s="372" t="s">
        <v>322</v>
      </c>
      <c r="C13" s="552" t="s">
        <v>516</v>
      </c>
      <c r="D13" s="757">
        <f>VLOOKUP(B13,Locatieoverzicht!$A$14:$E$21,5,FALSE)</f>
        <v>1</v>
      </c>
      <c r="E13" s="608" t="s">
        <v>551</v>
      </c>
      <c r="F13" s="549" t="s">
        <v>328</v>
      </c>
      <c r="G13" s="550" t="s">
        <v>399</v>
      </c>
      <c r="H13" s="374" t="str">
        <f t="shared" si="8"/>
        <v>Mediatheek/Bibliotheek/Computerlokaal</v>
      </c>
      <c r="I13" s="375" t="s">
        <v>612</v>
      </c>
      <c r="J13" s="561">
        <v>37.1</v>
      </c>
      <c r="K13" s="612">
        <v>14080</v>
      </c>
      <c r="L13" s="376">
        <f t="shared" si="9"/>
        <v>80</v>
      </c>
      <c r="M13" s="377">
        <f t="shared" si="6"/>
        <v>0</v>
      </c>
      <c r="N13" s="377">
        <f t="shared" si="7"/>
        <v>0</v>
      </c>
      <c r="O13" s="377">
        <f t="shared" si="10"/>
        <v>0</v>
      </c>
      <c r="P13" s="377">
        <f t="shared" si="11"/>
        <v>0</v>
      </c>
      <c r="Q13" s="755">
        <v>1</v>
      </c>
      <c r="R13" s="378" t="str">
        <f t="shared" si="12"/>
        <v>V</v>
      </c>
      <c r="S13" s="379"/>
      <c r="T13" s="379"/>
      <c r="U13" s="756">
        <f t="shared" si="13"/>
        <v>2968</v>
      </c>
    </row>
    <row r="14" spans="1:21" ht="14.1" customHeight="1">
      <c r="A14" s="559">
        <v>14</v>
      </c>
      <c r="B14" s="372" t="s">
        <v>322</v>
      </c>
      <c r="C14" s="552" t="s">
        <v>516</v>
      </c>
      <c r="D14" s="757">
        <f>VLOOKUP(B14,Locatieoverzicht!$A$14:$E$21,5,FALSE)</f>
        <v>1</v>
      </c>
      <c r="E14" s="608" t="s">
        <v>551</v>
      </c>
      <c r="F14" s="549" t="s">
        <v>329</v>
      </c>
      <c r="G14" s="550" t="s">
        <v>326</v>
      </c>
      <c r="H14" s="374" t="str">
        <f t="shared" si="8"/>
        <v>Niet van toepassing</v>
      </c>
      <c r="I14" s="375" t="s">
        <v>614</v>
      </c>
      <c r="J14" s="561">
        <v>3.6</v>
      </c>
      <c r="K14" s="612" t="s">
        <v>239</v>
      </c>
      <c r="L14" s="376">
        <f t="shared" si="9"/>
        <v>0</v>
      </c>
      <c r="M14" s="377">
        <f t="shared" si="6"/>
        <v>0</v>
      </c>
      <c r="N14" s="377">
        <f t="shared" si="7"/>
        <v>0</v>
      </c>
      <c r="O14" s="377">
        <f t="shared" si="10"/>
        <v>0</v>
      </c>
      <c r="P14" s="377">
        <f t="shared" si="11"/>
        <v>0</v>
      </c>
      <c r="Q14" s="755">
        <v>1</v>
      </c>
      <c r="R14" s="378">
        <f t="shared" si="12"/>
        <v>0</v>
      </c>
      <c r="S14" s="379"/>
      <c r="T14" s="379"/>
      <c r="U14" s="756">
        <f t="shared" si="13"/>
        <v>0</v>
      </c>
    </row>
    <row r="15" spans="1:21" ht="14.1" customHeight="1">
      <c r="A15" s="559">
        <v>15</v>
      </c>
      <c r="B15" s="372" t="s">
        <v>322</v>
      </c>
      <c r="C15" s="552" t="s">
        <v>516</v>
      </c>
      <c r="D15" s="757">
        <f>VLOOKUP(B15,Locatieoverzicht!$A$14:$E$21,5,FALSE)</f>
        <v>1</v>
      </c>
      <c r="E15" s="608" t="s">
        <v>551</v>
      </c>
      <c r="F15" s="549" t="s">
        <v>330</v>
      </c>
      <c r="G15" s="550" t="s">
        <v>400</v>
      </c>
      <c r="H15" s="374" t="str">
        <f t="shared" si="8"/>
        <v>Sanitaire ruimten</v>
      </c>
      <c r="I15" s="375" t="s">
        <v>617</v>
      </c>
      <c r="J15" s="561">
        <v>10.8</v>
      </c>
      <c r="K15" s="612">
        <v>2200</v>
      </c>
      <c r="L15" s="376">
        <f t="shared" si="9"/>
        <v>200</v>
      </c>
      <c r="M15" s="377">
        <f t="shared" si="6"/>
        <v>0</v>
      </c>
      <c r="N15" s="377">
        <f t="shared" si="7"/>
        <v>0</v>
      </c>
      <c r="O15" s="377">
        <f t="shared" si="10"/>
        <v>0</v>
      </c>
      <c r="P15" s="377">
        <f t="shared" si="11"/>
        <v>0</v>
      </c>
      <c r="Q15" s="755">
        <v>1</v>
      </c>
      <c r="R15" s="378" t="str">
        <f t="shared" si="12"/>
        <v>S</v>
      </c>
      <c r="S15" s="379"/>
      <c r="T15" s="379"/>
      <c r="U15" s="756">
        <f t="shared" si="13"/>
        <v>2160</v>
      </c>
    </row>
    <row r="16" spans="1:21" ht="14.1" customHeight="1">
      <c r="A16" s="559">
        <v>16</v>
      </c>
      <c r="B16" s="372" t="s">
        <v>322</v>
      </c>
      <c r="C16" s="552" t="s">
        <v>516</v>
      </c>
      <c r="D16" s="757">
        <f>VLOOKUP(B16,Locatieoverzicht!$A$14:$E$21,5,FALSE)</f>
        <v>1</v>
      </c>
      <c r="E16" s="608" t="s">
        <v>551</v>
      </c>
      <c r="F16" s="549" t="s">
        <v>331</v>
      </c>
      <c r="G16" s="550" t="s">
        <v>401</v>
      </c>
      <c r="H16" s="374" t="str">
        <f t="shared" si="8"/>
        <v>Leslokaal regulier</v>
      </c>
      <c r="I16" s="375" t="s">
        <v>612</v>
      </c>
      <c r="J16" s="561">
        <v>55.8</v>
      </c>
      <c r="K16" s="612">
        <v>8040</v>
      </c>
      <c r="L16" s="376">
        <f t="shared" si="9"/>
        <v>40</v>
      </c>
      <c r="M16" s="377">
        <f t="shared" si="6"/>
        <v>0</v>
      </c>
      <c r="N16" s="377">
        <f t="shared" si="7"/>
        <v>0</v>
      </c>
      <c r="O16" s="377">
        <f t="shared" si="10"/>
        <v>0</v>
      </c>
      <c r="P16" s="377">
        <f t="shared" si="11"/>
        <v>0</v>
      </c>
      <c r="Q16" s="755">
        <v>1</v>
      </c>
      <c r="R16" s="378" t="str">
        <f t="shared" si="12"/>
        <v>L</v>
      </c>
      <c r="S16" s="379"/>
      <c r="T16" s="379"/>
      <c r="U16" s="756">
        <f t="shared" si="13"/>
        <v>2232</v>
      </c>
    </row>
    <row r="17" spans="1:21" ht="14.1" customHeight="1">
      <c r="A17" s="559">
        <v>17</v>
      </c>
      <c r="B17" s="372" t="s">
        <v>322</v>
      </c>
      <c r="C17" s="552" t="s">
        <v>516</v>
      </c>
      <c r="D17" s="757">
        <f>VLOOKUP(B17,Locatieoverzicht!$A$14:$E$21,5,FALSE)</f>
        <v>1</v>
      </c>
      <c r="E17" s="608" t="s">
        <v>551</v>
      </c>
      <c r="F17" s="549" t="s">
        <v>332</v>
      </c>
      <c r="G17" s="550" t="s">
        <v>326</v>
      </c>
      <c r="H17" s="374" t="str">
        <f t="shared" si="8"/>
        <v>Niet van toepassing</v>
      </c>
      <c r="I17" s="375"/>
      <c r="J17" s="561">
        <v>1.05</v>
      </c>
      <c r="K17" s="612" t="s">
        <v>239</v>
      </c>
      <c r="L17" s="376">
        <f t="shared" si="9"/>
        <v>0</v>
      </c>
      <c r="M17" s="377">
        <f t="shared" si="6"/>
        <v>0</v>
      </c>
      <c r="N17" s="377">
        <f t="shared" si="7"/>
        <v>0</v>
      </c>
      <c r="O17" s="377">
        <f t="shared" si="10"/>
        <v>0</v>
      </c>
      <c r="P17" s="377">
        <f t="shared" si="11"/>
        <v>0</v>
      </c>
      <c r="Q17" s="755">
        <v>1</v>
      </c>
      <c r="R17" s="378">
        <f t="shared" si="12"/>
        <v>0</v>
      </c>
      <c r="S17" s="379"/>
      <c r="T17" s="379"/>
      <c r="U17" s="756">
        <f t="shared" si="13"/>
        <v>0</v>
      </c>
    </row>
    <row r="18" spans="1:21" ht="14.1" customHeight="1">
      <c r="A18" s="559">
        <v>18</v>
      </c>
      <c r="B18" s="372" t="s">
        <v>322</v>
      </c>
      <c r="C18" s="552" t="s">
        <v>516</v>
      </c>
      <c r="D18" s="757">
        <f>VLOOKUP(B18,Locatieoverzicht!$A$14:$E$21,5,FALSE)</f>
        <v>1</v>
      </c>
      <c r="E18" s="608" t="s">
        <v>551</v>
      </c>
      <c r="F18" s="549" t="s">
        <v>333</v>
      </c>
      <c r="G18" s="550" t="s">
        <v>326</v>
      </c>
      <c r="H18" s="374" t="str">
        <f t="shared" si="8"/>
        <v>Niet van toepassing</v>
      </c>
      <c r="I18" s="375" t="s">
        <v>613</v>
      </c>
      <c r="J18" s="561">
        <v>27.2</v>
      </c>
      <c r="K18" s="612" t="s">
        <v>239</v>
      </c>
      <c r="L18" s="376">
        <f t="shared" si="9"/>
        <v>0</v>
      </c>
      <c r="M18" s="377">
        <f t="shared" si="6"/>
        <v>0</v>
      </c>
      <c r="N18" s="377">
        <f t="shared" si="7"/>
        <v>0</v>
      </c>
      <c r="O18" s="377">
        <f t="shared" si="10"/>
        <v>0</v>
      </c>
      <c r="P18" s="377">
        <f t="shared" si="11"/>
        <v>0</v>
      </c>
      <c r="Q18" s="755">
        <v>1</v>
      </c>
      <c r="R18" s="378">
        <f t="shared" si="12"/>
        <v>0</v>
      </c>
      <c r="S18" s="379"/>
      <c r="T18" s="379"/>
      <c r="U18" s="756">
        <f t="shared" si="13"/>
        <v>0</v>
      </c>
    </row>
    <row r="19" spans="1:21" ht="14.1" customHeight="1">
      <c r="A19" s="559">
        <v>19</v>
      </c>
      <c r="B19" s="372" t="s">
        <v>322</v>
      </c>
      <c r="C19" s="552" t="s">
        <v>516</v>
      </c>
      <c r="D19" s="757">
        <f>VLOOKUP(B19,Locatieoverzicht!$A$14:$E$21,5,FALSE)</f>
        <v>1</v>
      </c>
      <c r="E19" s="608" t="s">
        <v>551</v>
      </c>
      <c r="F19" s="549" t="s">
        <v>549</v>
      </c>
      <c r="G19" s="550" t="s">
        <v>550</v>
      </c>
      <c r="H19" s="374" t="str">
        <f t="shared" si="8"/>
        <v>Trappenhuizen</v>
      </c>
      <c r="I19" s="375" t="s">
        <v>613</v>
      </c>
      <c r="J19" s="561">
        <v>1.9166666666666667</v>
      </c>
      <c r="K19" s="612">
        <v>5200</v>
      </c>
      <c r="L19" s="376">
        <f t="shared" si="9"/>
        <v>200</v>
      </c>
      <c r="M19" s="377">
        <f t="shared" si="6"/>
        <v>0</v>
      </c>
      <c r="N19" s="377">
        <f t="shared" si="7"/>
        <v>0</v>
      </c>
      <c r="O19" s="377">
        <f t="shared" si="10"/>
        <v>0</v>
      </c>
      <c r="P19" s="377">
        <f t="shared" si="11"/>
        <v>0</v>
      </c>
      <c r="Q19" s="755">
        <v>1</v>
      </c>
      <c r="R19" s="378" t="str">
        <f t="shared" si="12"/>
        <v>V</v>
      </c>
      <c r="S19" s="379"/>
      <c r="T19" s="379"/>
      <c r="U19" s="756">
        <f t="shared" si="13"/>
        <v>383.33333333333337</v>
      </c>
    </row>
    <row r="20" spans="1:21" ht="14.1" customHeight="1">
      <c r="A20" s="559">
        <v>20</v>
      </c>
      <c r="B20" s="372" t="s">
        <v>322</v>
      </c>
      <c r="C20" s="552" t="s">
        <v>516</v>
      </c>
      <c r="D20" s="757">
        <f>VLOOKUP(B20,Locatieoverzicht!$A$14:$E$21,5,FALSE)</f>
        <v>1</v>
      </c>
      <c r="E20" s="608" t="s">
        <v>551</v>
      </c>
      <c r="F20" s="549" t="s">
        <v>334</v>
      </c>
      <c r="G20" s="550" t="s">
        <v>326</v>
      </c>
      <c r="H20" s="374" t="str">
        <f t="shared" si="8"/>
        <v>Niet van toepassing</v>
      </c>
      <c r="I20" s="375"/>
      <c r="J20" s="561">
        <v>9.58</v>
      </c>
      <c r="K20" s="612" t="s">
        <v>239</v>
      </c>
      <c r="L20" s="376">
        <f t="shared" si="9"/>
        <v>0</v>
      </c>
      <c r="M20" s="377">
        <f t="shared" si="6"/>
        <v>0</v>
      </c>
      <c r="N20" s="377">
        <f t="shared" si="7"/>
        <v>0</v>
      </c>
      <c r="O20" s="377">
        <f t="shared" si="10"/>
        <v>0</v>
      </c>
      <c r="P20" s="377">
        <f t="shared" si="11"/>
        <v>0</v>
      </c>
      <c r="Q20" s="755">
        <v>1</v>
      </c>
      <c r="R20" s="378">
        <f t="shared" si="12"/>
        <v>0</v>
      </c>
      <c r="S20" s="379"/>
      <c r="T20" s="379"/>
      <c r="U20" s="756">
        <f t="shared" si="13"/>
        <v>0</v>
      </c>
    </row>
    <row r="21" spans="1:21" ht="14.1" customHeight="1">
      <c r="A21" s="559">
        <v>21</v>
      </c>
      <c r="B21" s="372" t="s">
        <v>322</v>
      </c>
      <c r="C21" s="552" t="s">
        <v>516</v>
      </c>
      <c r="D21" s="757">
        <f>VLOOKUP(B21,Locatieoverzicht!$A$14:$E$21,5,FALSE)</f>
        <v>1</v>
      </c>
      <c r="E21" s="608" t="s">
        <v>551</v>
      </c>
      <c r="F21" s="549" t="s">
        <v>335</v>
      </c>
      <c r="G21" s="550" t="s">
        <v>401</v>
      </c>
      <c r="H21" s="374" t="str">
        <f t="shared" si="8"/>
        <v>Leslokaal regulier</v>
      </c>
      <c r="I21" s="375" t="s">
        <v>612</v>
      </c>
      <c r="J21" s="561">
        <v>57.6</v>
      </c>
      <c r="K21" s="612">
        <v>8040</v>
      </c>
      <c r="L21" s="376">
        <f t="shared" si="9"/>
        <v>40</v>
      </c>
      <c r="M21" s="377">
        <f t="shared" si="6"/>
        <v>0</v>
      </c>
      <c r="N21" s="377">
        <f t="shared" si="7"/>
        <v>0</v>
      </c>
      <c r="O21" s="377">
        <f t="shared" si="10"/>
        <v>0</v>
      </c>
      <c r="P21" s="377">
        <f t="shared" si="11"/>
        <v>0</v>
      </c>
      <c r="Q21" s="755">
        <v>1</v>
      </c>
      <c r="R21" s="378" t="str">
        <f t="shared" si="12"/>
        <v>L</v>
      </c>
      <c r="S21" s="379"/>
      <c r="T21" s="379"/>
      <c r="U21" s="756">
        <f t="shared" si="13"/>
        <v>2304</v>
      </c>
    </row>
    <row r="22" spans="1:21" ht="14.1" customHeight="1">
      <c r="A22" s="559">
        <v>22</v>
      </c>
      <c r="B22" s="372" t="s">
        <v>322</v>
      </c>
      <c r="C22" s="552" t="s">
        <v>516</v>
      </c>
      <c r="D22" s="757">
        <f>VLOOKUP(B22,Locatieoverzicht!$A$14:$E$21,5,FALSE)</f>
        <v>1</v>
      </c>
      <c r="E22" s="608" t="s">
        <v>551</v>
      </c>
      <c r="F22" s="549" t="s">
        <v>336</v>
      </c>
      <c r="G22" s="550" t="s">
        <v>399</v>
      </c>
      <c r="H22" s="374" t="str">
        <f t="shared" si="8"/>
        <v>Mediatheek/Bibliotheek/Computerlokaal</v>
      </c>
      <c r="I22" s="375" t="s">
        <v>612</v>
      </c>
      <c r="J22" s="561">
        <v>131.9</v>
      </c>
      <c r="K22" s="612">
        <v>14080</v>
      </c>
      <c r="L22" s="376">
        <f t="shared" si="9"/>
        <v>80</v>
      </c>
      <c r="M22" s="377">
        <f t="shared" si="6"/>
        <v>0</v>
      </c>
      <c r="N22" s="377">
        <f t="shared" si="7"/>
        <v>0</v>
      </c>
      <c r="O22" s="377">
        <f t="shared" si="10"/>
        <v>0</v>
      </c>
      <c r="P22" s="377">
        <f t="shared" si="11"/>
        <v>0</v>
      </c>
      <c r="Q22" s="755">
        <v>1</v>
      </c>
      <c r="R22" s="378" t="str">
        <f t="shared" si="12"/>
        <v>V</v>
      </c>
      <c r="S22" s="379"/>
      <c r="T22" s="379"/>
      <c r="U22" s="756">
        <f t="shared" si="13"/>
        <v>10552</v>
      </c>
    </row>
    <row r="23" spans="1:21" ht="14.1" customHeight="1">
      <c r="A23" s="559">
        <v>23</v>
      </c>
      <c r="B23" s="372" t="s">
        <v>322</v>
      </c>
      <c r="C23" s="552" t="s">
        <v>516</v>
      </c>
      <c r="D23" s="757">
        <f>VLOOKUP(B23,Locatieoverzicht!$A$14:$E$21,5,FALSE)</f>
        <v>1</v>
      </c>
      <c r="E23" s="608" t="s">
        <v>551</v>
      </c>
      <c r="F23" s="549" t="s">
        <v>337</v>
      </c>
      <c r="G23" s="550" t="s">
        <v>400</v>
      </c>
      <c r="H23" s="374" t="str">
        <f t="shared" si="8"/>
        <v>Sanitaire ruimten</v>
      </c>
      <c r="I23" s="375" t="s">
        <v>617</v>
      </c>
      <c r="J23" s="561">
        <v>9.1999999999999993</v>
      </c>
      <c r="K23" s="612">
        <v>2200</v>
      </c>
      <c r="L23" s="376">
        <f t="shared" si="9"/>
        <v>200</v>
      </c>
      <c r="M23" s="377">
        <f t="shared" si="6"/>
        <v>0</v>
      </c>
      <c r="N23" s="377">
        <f t="shared" si="7"/>
        <v>0</v>
      </c>
      <c r="O23" s="377">
        <f t="shared" si="10"/>
        <v>0</v>
      </c>
      <c r="P23" s="377">
        <f t="shared" si="11"/>
        <v>0</v>
      </c>
      <c r="Q23" s="755">
        <v>1</v>
      </c>
      <c r="R23" s="378" t="str">
        <f t="shared" si="12"/>
        <v>S</v>
      </c>
      <c r="S23" s="379"/>
      <c r="T23" s="379"/>
      <c r="U23" s="756">
        <f t="shared" si="13"/>
        <v>1839.9999999999998</v>
      </c>
    </row>
    <row r="24" spans="1:21" ht="14.1" customHeight="1">
      <c r="A24" s="559">
        <v>24</v>
      </c>
      <c r="B24" s="372" t="s">
        <v>322</v>
      </c>
      <c r="C24" s="552" t="s">
        <v>516</v>
      </c>
      <c r="D24" s="757">
        <f>VLOOKUP(B24,Locatieoverzicht!$A$14:$E$21,5,FALSE)</f>
        <v>1</v>
      </c>
      <c r="E24" s="608" t="s">
        <v>551</v>
      </c>
      <c r="F24" s="549" t="s">
        <v>338</v>
      </c>
      <c r="G24" s="550" t="s">
        <v>400</v>
      </c>
      <c r="H24" s="374" t="str">
        <f t="shared" si="8"/>
        <v>Sanitaire ruimten</v>
      </c>
      <c r="I24" s="375" t="s">
        <v>614</v>
      </c>
      <c r="J24" s="561">
        <v>3.4</v>
      </c>
      <c r="K24" s="612">
        <v>2200</v>
      </c>
      <c r="L24" s="376">
        <f t="shared" si="9"/>
        <v>200</v>
      </c>
      <c r="M24" s="377">
        <f t="shared" si="6"/>
        <v>0</v>
      </c>
      <c r="N24" s="377">
        <f t="shared" si="7"/>
        <v>0</v>
      </c>
      <c r="O24" s="377">
        <f t="shared" si="10"/>
        <v>0</v>
      </c>
      <c r="P24" s="377">
        <f t="shared" si="11"/>
        <v>0</v>
      </c>
      <c r="Q24" s="755">
        <v>1</v>
      </c>
      <c r="R24" s="378" t="str">
        <f t="shared" si="12"/>
        <v>S</v>
      </c>
      <c r="S24" s="379"/>
      <c r="T24" s="379"/>
      <c r="U24" s="756">
        <f t="shared" si="13"/>
        <v>680</v>
      </c>
    </row>
    <row r="25" spans="1:21" ht="14.1" customHeight="1">
      <c r="A25" s="559">
        <v>25</v>
      </c>
      <c r="B25" s="372" t="s">
        <v>322</v>
      </c>
      <c r="C25" s="552" t="s">
        <v>516</v>
      </c>
      <c r="D25" s="757">
        <f>VLOOKUP(B25,Locatieoverzicht!$A$14:$E$21,5,FALSE)</f>
        <v>1</v>
      </c>
      <c r="E25" s="608" t="s">
        <v>551</v>
      </c>
      <c r="F25" s="549" t="s">
        <v>339</v>
      </c>
      <c r="G25" s="550" t="s">
        <v>402</v>
      </c>
      <c r="H25" s="374" t="str">
        <f t="shared" si="8"/>
        <v>Administratieve ruimten</v>
      </c>
      <c r="I25" s="375" t="s">
        <v>612</v>
      </c>
      <c r="J25" s="561">
        <v>10.8</v>
      </c>
      <c r="K25" s="612">
        <v>1040</v>
      </c>
      <c r="L25" s="376">
        <f t="shared" si="9"/>
        <v>40</v>
      </c>
      <c r="M25" s="377">
        <f t="shared" si="6"/>
        <v>0</v>
      </c>
      <c r="N25" s="377">
        <f t="shared" si="7"/>
        <v>0</v>
      </c>
      <c r="O25" s="377">
        <f t="shared" si="10"/>
        <v>0</v>
      </c>
      <c r="P25" s="377">
        <f t="shared" si="11"/>
        <v>0</v>
      </c>
      <c r="Q25" s="755">
        <v>1</v>
      </c>
      <c r="R25" s="378" t="str">
        <f t="shared" si="12"/>
        <v>B</v>
      </c>
      <c r="S25" s="379"/>
      <c r="T25" s="379"/>
      <c r="U25" s="756">
        <f t="shared" si="13"/>
        <v>432</v>
      </c>
    </row>
    <row r="26" spans="1:21" ht="14.1" customHeight="1">
      <c r="A26" s="559">
        <v>26</v>
      </c>
      <c r="B26" s="372" t="s">
        <v>322</v>
      </c>
      <c r="C26" s="552" t="s">
        <v>516</v>
      </c>
      <c r="D26" s="757">
        <f>VLOOKUP(B26,Locatieoverzicht!$A$14:$E$21,5,FALSE)</f>
        <v>1</v>
      </c>
      <c r="E26" s="608" t="s">
        <v>551</v>
      </c>
      <c r="F26" s="549" t="s">
        <v>340</v>
      </c>
      <c r="G26" s="550" t="s">
        <v>401</v>
      </c>
      <c r="H26" s="374" t="str">
        <f t="shared" si="8"/>
        <v>Leslokaal regulier</v>
      </c>
      <c r="I26" s="375" t="s">
        <v>612</v>
      </c>
      <c r="J26" s="561">
        <v>57.6</v>
      </c>
      <c r="K26" s="612">
        <v>8040</v>
      </c>
      <c r="L26" s="376">
        <f t="shared" si="9"/>
        <v>40</v>
      </c>
      <c r="M26" s="377">
        <f t="shared" si="6"/>
        <v>0</v>
      </c>
      <c r="N26" s="377">
        <f t="shared" si="7"/>
        <v>0</v>
      </c>
      <c r="O26" s="377">
        <f t="shared" si="10"/>
        <v>0</v>
      </c>
      <c r="P26" s="377">
        <f t="shared" si="11"/>
        <v>0</v>
      </c>
      <c r="Q26" s="755">
        <v>1</v>
      </c>
      <c r="R26" s="378" t="str">
        <f t="shared" si="12"/>
        <v>L</v>
      </c>
      <c r="S26" s="379"/>
      <c r="T26" s="379"/>
      <c r="U26" s="756">
        <f t="shared" si="13"/>
        <v>2304</v>
      </c>
    </row>
    <row r="27" spans="1:21" ht="14.1" customHeight="1">
      <c r="A27" s="559">
        <v>27</v>
      </c>
      <c r="B27" s="372" t="s">
        <v>322</v>
      </c>
      <c r="C27" s="552" t="s">
        <v>516</v>
      </c>
      <c r="D27" s="757">
        <f>VLOOKUP(B27,Locatieoverzicht!$A$14:$E$21,5,FALSE)</f>
        <v>1</v>
      </c>
      <c r="E27" s="608" t="s">
        <v>551</v>
      </c>
      <c r="F27" s="549" t="s">
        <v>341</v>
      </c>
      <c r="G27" s="550" t="s">
        <v>401</v>
      </c>
      <c r="H27" s="374" t="str">
        <f t="shared" si="8"/>
        <v>Leslokaal regulier</v>
      </c>
      <c r="I27" s="375" t="s">
        <v>612</v>
      </c>
      <c r="J27" s="561">
        <v>57.6</v>
      </c>
      <c r="K27" s="612">
        <v>8040</v>
      </c>
      <c r="L27" s="376">
        <f t="shared" si="9"/>
        <v>40</v>
      </c>
      <c r="M27" s="377">
        <f t="shared" si="6"/>
        <v>0</v>
      </c>
      <c r="N27" s="377">
        <f t="shared" si="7"/>
        <v>0</v>
      </c>
      <c r="O27" s="377">
        <f t="shared" si="10"/>
        <v>0</v>
      </c>
      <c r="P27" s="377">
        <f t="shared" si="11"/>
        <v>0</v>
      </c>
      <c r="Q27" s="755">
        <v>1</v>
      </c>
      <c r="R27" s="378" t="str">
        <f t="shared" si="12"/>
        <v>L</v>
      </c>
      <c r="S27" s="379"/>
      <c r="T27" s="379"/>
      <c r="U27" s="756">
        <f t="shared" si="13"/>
        <v>2304</v>
      </c>
    </row>
    <row r="28" spans="1:21" ht="14.1" customHeight="1">
      <c r="A28" s="559">
        <v>28</v>
      </c>
      <c r="B28" s="372" t="s">
        <v>322</v>
      </c>
      <c r="C28" s="552" t="s">
        <v>516</v>
      </c>
      <c r="D28" s="757">
        <f>VLOOKUP(B28,Locatieoverzicht!$A$14:$E$21,5,FALSE)</f>
        <v>1</v>
      </c>
      <c r="E28" s="608" t="s">
        <v>551</v>
      </c>
      <c r="F28" s="549" t="s">
        <v>342</v>
      </c>
      <c r="G28" s="550" t="s">
        <v>401</v>
      </c>
      <c r="H28" s="374" t="str">
        <f t="shared" si="8"/>
        <v>Leslokaal regulier</v>
      </c>
      <c r="I28" s="375" t="s">
        <v>612</v>
      </c>
      <c r="J28" s="561">
        <v>57.6</v>
      </c>
      <c r="K28" s="612">
        <v>8040</v>
      </c>
      <c r="L28" s="376">
        <f t="shared" si="9"/>
        <v>40</v>
      </c>
      <c r="M28" s="377">
        <f t="shared" si="6"/>
        <v>0</v>
      </c>
      <c r="N28" s="377">
        <f t="shared" si="7"/>
        <v>0</v>
      </c>
      <c r="O28" s="377">
        <f t="shared" si="10"/>
        <v>0</v>
      </c>
      <c r="P28" s="377">
        <f t="shared" si="11"/>
        <v>0</v>
      </c>
      <c r="Q28" s="755">
        <v>1</v>
      </c>
      <c r="R28" s="378" t="str">
        <f t="shared" si="12"/>
        <v>L</v>
      </c>
      <c r="S28" s="379"/>
      <c r="T28" s="379"/>
      <c r="U28" s="756">
        <f t="shared" si="13"/>
        <v>2304</v>
      </c>
    </row>
    <row r="29" spans="1:21" ht="14.1" customHeight="1">
      <c r="A29" s="559">
        <v>29</v>
      </c>
      <c r="B29" s="372" t="s">
        <v>322</v>
      </c>
      <c r="C29" s="552" t="s">
        <v>516</v>
      </c>
      <c r="D29" s="757">
        <f>VLOOKUP(B29,Locatieoverzicht!$A$14:$E$21,5,FALSE)</f>
        <v>1</v>
      </c>
      <c r="E29" s="608" t="s">
        <v>551</v>
      </c>
      <c r="F29" s="549" t="s">
        <v>343</v>
      </c>
      <c r="G29" s="550" t="s">
        <v>398</v>
      </c>
      <c r="H29" s="374" t="str">
        <f t="shared" si="8"/>
        <v>Gangen en hallen</v>
      </c>
      <c r="I29" s="375" t="s">
        <v>612</v>
      </c>
      <c r="J29" s="561">
        <v>121.4</v>
      </c>
      <c r="K29" s="612">
        <v>3200</v>
      </c>
      <c r="L29" s="376">
        <f t="shared" si="9"/>
        <v>200</v>
      </c>
      <c r="M29" s="377">
        <f t="shared" si="6"/>
        <v>0</v>
      </c>
      <c r="N29" s="377">
        <f t="shared" si="7"/>
        <v>0</v>
      </c>
      <c r="O29" s="377">
        <f t="shared" si="10"/>
        <v>0</v>
      </c>
      <c r="P29" s="377">
        <f t="shared" si="11"/>
        <v>0</v>
      </c>
      <c r="Q29" s="755">
        <v>1</v>
      </c>
      <c r="R29" s="378" t="str">
        <f t="shared" si="12"/>
        <v>V</v>
      </c>
      <c r="S29" s="379"/>
      <c r="T29" s="379"/>
      <c r="U29" s="756">
        <f t="shared" si="13"/>
        <v>24280</v>
      </c>
    </row>
    <row r="30" spans="1:21" ht="14.1" customHeight="1">
      <c r="A30" s="559">
        <v>30</v>
      </c>
      <c r="B30" s="372" t="s">
        <v>322</v>
      </c>
      <c r="C30" s="552" t="s">
        <v>516</v>
      </c>
      <c r="D30" s="757">
        <f>VLOOKUP(B30,Locatieoverzicht!$A$14:$E$21,5,FALSE)</f>
        <v>1</v>
      </c>
      <c r="E30" s="608" t="s">
        <v>551</v>
      </c>
      <c r="F30" s="549" t="s">
        <v>344</v>
      </c>
      <c r="G30" s="550" t="s">
        <v>402</v>
      </c>
      <c r="H30" s="374" t="str">
        <f t="shared" si="8"/>
        <v>Administratieve ruimten</v>
      </c>
      <c r="I30" s="375" t="s">
        <v>613</v>
      </c>
      <c r="J30" s="561">
        <v>20.75</v>
      </c>
      <c r="K30" s="612">
        <v>1040</v>
      </c>
      <c r="L30" s="376">
        <f t="shared" si="9"/>
        <v>40</v>
      </c>
      <c r="M30" s="377">
        <f t="shared" si="6"/>
        <v>0</v>
      </c>
      <c r="N30" s="377">
        <f t="shared" si="7"/>
        <v>0</v>
      </c>
      <c r="O30" s="377">
        <f t="shared" si="10"/>
        <v>0</v>
      </c>
      <c r="P30" s="377">
        <f t="shared" si="11"/>
        <v>0</v>
      </c>
      <c r="Q30" s="755">
        <v>1</v>
      </c>
      <c r="R30" s="378" t="str">
        <f t="shared" si="12"/>
        <v>B</v>
      </c>
      <c r="S30" s="379"/>
      <c r="T30" s="379"/>
      <c r="U30" s="756">
        <f t="shared" si="13"/>
        <v>830</v>
      </c>
    </row>
    <row r="31" spans="1:21" ht="14.1" customHeight="1">
      <c r="A31" s="559">
        <v>31</v>
      </c>
      <c r="B31" s="372" t="s">
        <v>322</v>
      </c>
      <c r="C31" s="552" t="s">
        <v>516</v>
      </c>
      <c r="D31" s="757">
        <f>VLOOKUP(B31,Locatieoverzicht!$A$14:$E$21,5,FALSE)</f>
        <v>1</v>
      </c>
      <c r="E31" s="608" t="s">
        <v>551</v>
      </c>
      <c r="F31" s="549" t="s">
        <v>345</v>
      </c>
      <c r="G31" s="550" t="s">
        <v>402</v>
      </c>
      <c r="H31" s="374" t="str">
        <f t="shared" si="8"/>
        <v>Administratieve ruimten</v>
      </c>
      <c r="I31" s="375" t="s">
        <v>613</v>
      </c>
      <c r="J31" s="561">
        <v>20.399999999999999</v>
      </c>
      <c r="K31" s="612">
        <v>1040</v>
      </c>
      <c r="L31" s="376">
        <f t="shared" si="9"/>
        <v>40</v>
      </c>
      <c r="M31" s="377">
        <f t="shared" si="6"/>
        <v>0</v>
      </c>
      <c r="N31" s="377">
        <f t="shared" si="7"/>
        <v>0</v>
      </c>
      <c r="O31" s="377">
        <f t="shared" si="10"/>
        <v>0</v>
      </c>
      <c r="P31" s="377">
        <f t="shared" si="11"/>
        <v>0</v>
      </c>
      <c r="Q31" s="755">
        <v>1</v>
      </c>
      <c r="R31" s="378" t="str">
        <f t="shared" si="12"/>
        <v>B</v>
      </c>
      <c r="S31" s="379"/>
      <c r="T31" s="379"/>
      <c r="U31" s="756">
        <f t="shared" si="13"/>
        <v>816</v>
      </c>
    </row>
    <row r="32" spans="1:21" ht="14.1" customHeight="1">
      <c r="A32" s="559">
        <v>32</v>
      </c>
      <c r="B32" s="372" t="s">
        <v>322</v>
      </c>
      <c r="C32" s="552" t="s">
        <v>516</v>
      </c>
      <c r="D32" s="757">
        <f>VLOOKUP(B32,Locatieoverzicht!$A$14:$E$21,5,FALSE)</f>
        <v>1</v>
      </c>
      <c r="E32" s="608" t="s">
        <v>551</v>
      </c>
      <c r="F32" s="549" t="s">
        <v>346</v>
      </c>
      <c r="G32" s="550" t="s">
        <v>402</v>
      </c>
      <c r="H32" s="374" t="str">
        <f t="shared" si="8"/>
        <v>Administratieve ruimten</v>
      </c>
      <c r="I32" s="375" t="s">
        <v>613</v>
      </c>
      <c r="J32" s="561">
        <v>18.600000000000001</v>
      </c>
      <c r="K32" s="612">
        <v>1040</v>
      </c>
      <c r="L32" s="376">
        <f t="shared" si="9"/>
        <v>40</v>
      </c>
      <c r="M32" s="377">
        <f t="shared" si="6"/>
        <v>0</v>
      </c>
      <c r="N32" s="377">
        <f t="shared" si="7"/>
        <v>0</v>
      </c>
      <c r="O32" s="377">
        <f t="shared" si="10"/>
        <v>0</v>
      </c>
      <c r="P32" s="377">
        <f t="shared" si="11"/>
        <v>0</v>
      </c>
      <c r="Q32" s="755">
        <v>1</v>
      </c>
      <c r="R32" s="378" t="str">
        <f t="shared" si="12"/>
        <v>B</v>
      </c>
      <c r="S32" s="379"/>
      <c r="T32" s="379"/>
      <c r="U32" s="756">
        <f t="shared" si="13"/>
        <v>744</v>
      </c>
    </row>
    <row r="33" spans="1:21" ht="14.1" customHeight="1">
      <c r="A33" s="559">
        <v>33</v>
      </c>
      <c r="B33" s="372" t="s">
        <v>322</v>
      </c>
      <c r="C33" s="552" t="s">
        <v>516</v>
      </c>
      <c r="D33" s="757">
        <f>VLOOKUP(B33,Locatieoverzicht!$A$14:$E$21,5,FALSE)</f>
        <v>1</v>
      </c>
      <c r="E33" s="608" t="s">
        <v>551</v>
      </c>
      <c r="F33" s="549" t="s">
        <v>347</v>
      </c>
      <c r="G33" s="550" t="s">
        <v>402</v>
      </c>
      <c r="H33" s="374" t="str">
        <f t="shared" si="8"/>
        <v>Administratieve ruimten</v>
      </c>
      <c r="I33" s="375" t="s">
        <v>613</v>
      </c>
      <c r="J33" s="561">
        <v>25.2</v>
      </c>
      <c r="K33" s="612">
        <v>1040</v>
      </c>
      <c r="L33" s="376">
        <f t="shared" si="9"/>
        <v>40</v>
      </c>
      <c r="M33" s="377">
        <f t="shared" si="6"/>
        <v>0</v>
      </c>
      <c r="N33" s="377">
        <f t="shared" si="7"/>
        <v>0</v>
      </c>
      <c r="O33" s="377">
        <f t="shared" si="10"/>
        <v>0</v>
      </c>
      <c r="P33" s="377">
        <f t="shared" si="11"/>
        <v>0</v>
      </c>
      <c r="Q33" s="755">
        <v>1</v>
      </c>
      <c r="R33" s="378" t="str">
        <f t="shared" si="12"/>
        <v>B</v>
      </c>
      <c r="S33" s="379"/>
      <c r="T33" s="379"/>
      <c r="U33" s="756">
        <f t="shared" si="13"/>
        <v>1008</v>
      </c>
    </row>
    <row r="34" spans="1:21" ht="14.1" customHeight="1">
      <c r="A34" s="559">
        <v>34</v>
      </c>
      <c r="B34" s="372" t="s">
        <v>322</v>
      </c>
      <c r="C34" s="552" t="s">
        <v>516</v>
      </c>
      <c r="D34" s="757">
        <f>VLOOKUP(B34,Locatieoverzicht!$A$14:$E$21,5,FALSE)</f>
        <v>1</v>
      </c>
      <c r="E34" s="608" t="s">
        <v>551</v>
      </c>
      <c r="F34" s="549" t="s">
        <v>348</v>
      </c>
      <c r="G34" s="550" t="s">
        <v>403</v>
      </c>
      <c r="H34" s="374" t="str">
        <f t="shared" si="8"/>
        <v>Personeelsruimten</v>
      </c>
      <c r="I34" s="375" t="s">
        <v>613</v>
      </c>
      <c r="J34" s="561">
        <v>49.9</v>
      </c>
      <c r="K34" s="612">
        <v>12200</v>
      </c>
      <c r="L34" s="376">
        <f t="shared" si="9"/>
        <v>200</v>
      </c>
      <c r="M34" s="377">
        <f t="shared" si="6"/>
        <v>0</v>
      </c>
      <c r="N34" s="377">
        <f t="shared" si="7"/>
        <v>0</v>
      </c>
      <c r="O34" s="377">
        <f t="shared" si="10"/>
        <v>0</v>
      </c>
      <c r="P34" s="377">
        <f t="shared" si="11"/>
        <v>0</v>
      </c>
      <c r="Q34" s="755">
        <v>1</v>
      </c>
      <c r="R34" s="378" t="str">
        <f t="shared" si="12"/>
        <v>V</v>
      </c>
      <c r="S34" s="379"/>
      <c r="T34" s="379"/>
      <c r="U34" s="756">
        <f t="shared" si="13"/>
        <v>9980</v>
      </c>
    </row>
    <row r="35" spans="1:21" ht="14.1" customHeight="1">
      <c r="A35" s="559">
        <v>35</v>
      </c>
      <c r="B35" s="372" t="s">
        <v>322</v>
      </c>
      <c r="C35" s="552" t="s">
        <v>516</v>
      </c>
      <c r="D35" s="757">
        <f>VLOOKUP(B35,Locatieoverzicht!$A$14:$E$21,5,FALSE)</f>
        <v>1</v>
      </c>
      <c r="E35" s="608" t="s">
        <v>551</v>
      </c>
      <c r="F35" s="549" t="s">
        <v>349</v>
      </c>
      <c r="G35" s="550" t="s">
        <v>398</v>
      </c>
      <c r="H35" s="374" t="str">
        <f t="shared" si="8"/>
        <v>Gangen en hallen</v>
      </c>
      <c r="I35" s="375" t="s">
        <v>612</v>
      </c>
      <c r="J35" s="561">
        <v>15.3</v>
      </c>
      <c r="K35" s="612">
        <v>3200</v>
      </c>
      <c r="L35" s="376">
        <f t="shared" si="9"/>
        <v>200</v>
      </c>
      <c r="M35" s="377">
        <f t="shared" si="6"/>
        <v>0</v>
      </c>
      <c r="N35" s="377">
        <f t="shared" si="7"/>
        <v>0</v>
      </c>
      <c r="O35" s="377">
        <f t="shared" si="10"/>
        <v>0</v>
      </c>
      <c r="P35" s="377">
        <f t="shared" si="11"/>
        <v>0</v>
      </c>
      <c r="Q35" s="755">
        <v>1</v>
      </c>
      <c r="R35" s="378" t="str">
        <f t="shared" si="12"/>
        <v>V</v>
      </c>
      <c r="S35" s="379"/>
      <c r="T35" s="379"/>
      <c r="U35" s="756">
        <f t="shared" si="13"/>
        <v>3060</v>
      </c>
    </row>
    <row r="36" spans="1:21" ht="14.1" customHeight="1">
      <c r="A36" s="559">
        <v>36</v>
      </c>
      <c r="B36" s="372" t="s">
        <v>322</v>
      </c>
      <c r="C36" s="552" t="s">
        <v>516</v>
      </c>
      <c r="D36" s="757">
        <f>VLOOKUP(B36,Locatieoverzicht!$A$14:$E$21,5,FALSE)</f>
        <v>1</v>
      </c>
      <c r="E36" s="608" t="s">
        <v>551</v>
      </c>
      <c r="F36" s="549" t="s">
        <v>350</v>
      </c>
      <c r="G36" s="550" t="s">
        <v>398</v>
      </c>
      <c r="H36" s="374" t="str">
        <f t="shared" si="8"/>
        <v>Gangen en hallen</v>
      </c>
      <c r="I36" s="375" t="s">
        <v>612</v>
      </c>
      <c r="J36" s="561">
        <v>44.1</v>
      </c>
      <c r="K36" s="612">
        <v>3200</v>
      </c>
      <c r="L36" s="376">
        <f t="shared" si="9"/>
        <v>200</v>
      </c>
      <c r="M36" s="377">
        <f t="shared" si="6"/>
        <v>0</v>
      </c>
      <c r="N36" s="377">
        <f t="shared" si="7"/>
        <v>0</v>
      </c>
      <c r="O36" s="377">
        <f t="shared" si="10"/>
        <v>0</v>
      </c>
      <c r="P36" s="377">
        <f t="shared" si="11"/>
        <v>0</v>
      </c>
      <c r="Q36" s="755">
        <v>1</v>
      </c>
      <c r="R36" s="378" t="str">
        <f t="shared" si="12"/>
        <v>V</v>
      </c>
      <c r="S36" s="379"/>
      <c r="T36" s="379"/>
      <c r="U36" s="756">
        <f t="shared" si="13"/>
        <v>8820</v>
      </c>
    </row>
    <row r="37" spans="1:21" ht="14.1" customHeight="1">
      <c r="A37" s="559">
        <v>37</v>
      </c>
      <c r="B37" s="372" t="s">
        <v>322</v>
      </c>
      <c r="C37" s="552" t="s">
        <v>516</v>
      </c>
      <c r="D37" s="757">
        <f>VLOOKUP(B37,Locatieoverzicht!$A$14:$E$21,5,FALSE)</f>
        <v>1</v>
      </c>
      <c r="E37" s="608" t="s">
        <v>551</v>
      </c>
      <c r="F37" s="549" t="s">
        <v>351</v>
      </c>
      <c r="G37" s="550" t="s">
        <v>326</v>
      </c>
      <c r="H37" s="374" t="str">
        <f t="shared" si="8"/>
        <v>Niet van toepassing</v>
      </c>
      <c r="I37" s="375" t="s">
        <v>619</v>
      </c>
      <c r="J37" s="561">
        <v>18.3</v>
      </c>
      <c r="K37" s="612" t="s">
        <v>239</v>
      </c>
      <c r="L37" s="376">
        <f t="shared" si="9"/>
        <v>0</v>
      </c>
      <c r="M37" s="377">
        <f t="shared" si="6"/>
        <v>0</v>
      </c>
      <c r="N37" s="377">
        <f t="shared" si="7"/>
        <v>0</v>
      </c>
      <c r="O37" s="377">
        <f t="shared" si="10"/>
        <v>0</v>
      </c>
      <c r="P37" s="377">
        <f t="shared" si="11"/>
        <v>0</v>
      </c>
      <c r="Q37" s="755">
        <v>1</v>
      </c>
      <c r="R37" s="378">
        <f t="shared" si="12"/>
        <v>0</v>
      </c>
      <c r="S37" s="379"/>
      <c r="T37" s="379"/>
      <c r="U37" s="756">
        <f t="shared" si="13"/>
        <v>0</v>
      </c>
    </row>
    <row r="38" spans="1:21" ht="14.1" customHeight="1">
      <c r="A38" s="559">
        <v>38</v>
      </c>
      <c r="B38" s="372" t="s">
        <v>322</v>
      </c>
      <c r="C38" s="552" t="s">
        <v>516</v>
      </c>
      <c r="D38" s="757">
        <f>VLOOKUP(B38,Locatieoverzicht!$A$14:$E$21,5,FALSE)</f>
        <v>1</v>
      </c>
      <c r="E38" s="608" t="s">
        <v>551</v>
      </c>
      <c r="F38" s="549" t="s">
        <v>352</v>
      </c>
      <c r="G38" s="550" t="s">
        <v>404</v>
      </c>
      <c r="H38" s="374" t="str">
        <f t="shared" si="8"/>
        <v>Gangen en hallen</v>
      </c>
      <c r="I38" s="375"/>
      <c r="J38" s="561">
        <v>5.3</v>
      </c>
      <c r="K38" s="612">
        <v>3200</v>
      </c>
      <c r="L38" s="376">
        <f t="shared" si="9"/>
        <v>200</v>
      </c>
      <c r="M38" s="377">
        <f t="shared" si="6"/>
        <v>0</v>
      </c>
      <c r="N38" s="377">
        <f t="shared" si="7"/>
        <v>0</v>
      </c>
      <c r="O38" s="377">
        <f t="shared" si="10"/>
        <v>0</v>
      </c>
      <c r="P38" s="377">
        <f t="shared" si="11"/>
        <v>0</v>
      </c>
      <c r="Q38" s="755">
        <v>1</v>
      </c>
      <c r="R38" s="378" t="str">
        <f t="shared" si="12"/>
        <v>V</v>
      </c>
      <c r="S38" s="379"/>
      <c r="T38" s="379"/>
      <c r="U38" s="756">
        <f t="shared" si="13"/>
        <v>1060</v>
      </c>
    </row>
    <row r="39" spans="1:21" ht="14.1" customHeight="1">
      <c r="A39" s="559">
        <v>39</v>
      </c>
      <c r="B39" s="372" t="s">
        <v>322</v>
      </c>
      <c r="C39" s="552" t="s">
        <v>516</v>
      </c>
      <c r="D39" s="757">
        <f>VLOOKUP(B39,Locatieoverzicht!$A$14:$E$21,5,FALSE)</f>
        <v>1</v>
      </c>
      <c r="E39" s="608" t="s">
        <v>551</v>
      </c>
      <c r="F39" s="549" t="s">
        <v>353</v>
      </c>
      <c r="G39" s="550" t="s">
        <v>400</v>
      </c>
      <c r="H39" s="374" t="str">
        <f t="shared" si="8"/>
        <v>Sanitaire ruimten</v>
      </c>
      <c r="I39" s="375" t="s">
        <v>614</v>
      </c>
      <c r="J39" s="561">
        <v>9.6999999999999993</v>
      </c>
      <c r="K39" s="612">
        <v>2200</v>
      </c>
      <c r="L39" s="376">
        <f t="shared" si="9"/>
        <v>200</v>
      </c>
      <c r="M39" s="377">
        <f t="shared" si="6"/>
        <v>0</v>
      </c>
      <c r="N39" s="377">
        <f t="shared" si="7"/>
        <v>0</v>
      </c>
      <c r="O39" s="377">
        <f t="shared" si="10"/>
        <v>0</v>
      </c>
      <c r="P39" s="377">
        <f t="shared" si="11"/>
        <v>0</v>
      </c>
      <c r="Q39" s="755">
        <v>1</v>
      </c>
      <c r="R39" s="378" t="str">
        <f t="shared" si="12"/>
        <v>S</v>
      </c>
      <c r="S39" s="379"/>
      <c r="T39" s="379"/>
      <c r="U39" s="756">
        <f t="shared" si="13"/>
        <v>1939.9999999999998</v>
      </c>
    </row>
    <row r="40" spans="1:21" ht="14.1" customHeight="1">
      <c r="A40" s="559">
        <v>40</v>
      </c>
      <c r="B40" s="372" t="s">
        <v>322</v>
      </c>
      <c r="C40" s="552" t="s">
        <v>516</v>
      </c>
      <c r="D40" s="757">
        <f>VLOOKUP(B40,Locatieoverzicht!$A$14:$E$21,5,FALSE)</f>
        <v>1</v>
      </c>
      <c r="E40" s="608" t="s">
        <v>551</v>
      </c>
      <c r="F40" s="549" t="s">
        <v>354</v>
      </c>
      <c r="G40" s="550" t="s">
        <v>326</v>
      </c>
      <c r="H40" s="374" t="str">
        <f t="shared" si="8"/>
        <v>Niet van toepassing</v>
      </c>
      <c r="I40" s="375"/>
      <c r="J40" s="561">
        <v>1.1599999999999999</v>
      </c>
      <c r="K40" s="612" t="s">
        <v>239</v>
      </c>
      <c r="L40" s="376">
        <f t="shared" si="9"/>
        <v>0</v>
      </c>
      <c r="M40" s="377">
        <f t="shared" si="6"/>
        <v>0</v>
      </c>
      <c r="N40" s="377">
        <f t="shared" si="7"/>
        <v>0</v>
      </c>
      <c r="O40" s="377">
        <f t="shared" si="10"/>
        <v>0</v>
      </c>
      <c r="P40" s="377">
        <f t="shared" si="11"/>
        <v>0</v>
      </c>
      <c r="Q40" s="755">
        <v>1</v>
      </c>
      <c r="R40" s="378">
        <f t="shared" si="12"/>
        <v>0</v>
      </c>
      <c r="S40" s="379"/>
      <c r="T40" s="379"/>
      <c r="U40" s="756">
        <f t="shared" si="13"/>
        <v>0</v>
      </c>
    </row>
    <row r="41" spans="1:21" ht="14.1" customHeight="1">
      <c r="A41" s="559">
        <v>41</v>
      </c>
      <c r="B41" s="372" t="s">
        <v>322</v>
      </c>
      <c r="C41" s="552" t="s">
        <v>516</v>
      </c>
      <c r="D41" s="757">
        <f>VLOOKUP(B41,Locatieoverzicht!$A$14:$E$21,5,FALSE)</f>
        <v>1</v>
      </c>
      <c r="E41" s="608" t="s">
        <v>551</v>
      </c>
      <c r="F41" s="602" t="s">
        <v>355</v>
      </c>
      <c r="G41" s="550" t="s">
        <v>405</v>
      </c>
      <c r="H41" s="374" t="str">
        <f t="shared" si="8"/>
        <v>Niet van toepassing</v>
      </c>
      <c r="I41" s="375"/>
      <c r="J41" s="561">
        <v>4.5999999999999996</v>
      </c>
      <c r="K41" s="612" t="s">
        <v>239</v>
      </c>
      <c r="L41" s="376">
        <f t="shared" si="9"/>
        <v>0</v>
      </c>
      <c r="M41" s="377">
        <f t="shared" si="6"/>
        <v>0</v>
      </c>
      <c r="N41" s="377">
        <f t="shared" si="7"/>
        <v>0</v>
      </c>
      <c r="O41" s="377">
        <f t="shared" si="10"/>
        <v>0</v>
      </c>
      <c r="P41" s="377">
        <f t="shared" si="11"/>
        <v>0</v>
      </c>
      <c r="Q41" s="755">
        <v>1</v>
      </c>
      <c r="R41" s="378">
        <f t="shared" si="12"/>
        <v>0</v>
      </c>
      <c r="S41" s="379"/>
      <c r="T41" s="379"/>
      <c r="U41" s="756">
        <f t="shared" si="13"/>
        <v>0</v>
      </c>
    </row>
    <row r="42" spans="1:21" ht="14.1" customHeight="1">
      <c r="A42" s="559">
        <v>42</v>
      </c>
      <c r="B42" s="372" t="s">
        <v>322</v>
      </c>
      <c r="C42" s="552" t="s">
        <v>516</v>
      </c>
      <c r="D42" s="757">
        <f>VLOOKUP(B42,Locatieoverzicht!$A$14:$E$21,5,FALSE)</f>
        <v>1</v>
      </c>
      <c r="E42" s="608" t="s">
        <v>551</v>
      </c>
      <c r="F42" s="549" t="s">
        <v>356</v>
      </c>
      <c r="G42" s="550" t="s">
        <v>400</v>
      </c>
      <c r="H42" s="374" t="str">
        <f t="shared" si="8"/>
        <v>Sanitaire ruimten</v>
      </c>
      <c r="I42" s="375" t="s">
        <v>614</v>
      </c>
      <c r="J42" s="561">
        <v>5.8</v>
      </c>
      <c r="K42" s="612">
        <v>2200</v>
      </c>
      <c r="L42" s="376">
        <f t="shared" si="9"/>
        <v>200</v>
      </c>
      <c r="M42" s="377">
        <f t="shared" si="6"/>
        <v>0</v>
      </c>
      <c r="N42" s="377">
        <f t="shared" si="7"/>
        <v>0</v>
      </c>
      <c r="O42" s="377">
        <f t="shared" si="10"/>
        <v>0</v>
      </c>
      <c r="P42" s="377">
        <f t="shared" si="11"/>
        <v>0</v>
      </c>
      <c r="Q42" s="755">
        <v>1</v>
      </c>
      <c r="R42" s="378" t="str">
        <f t="shared" si="12"/>
        <v>S</v>
      </c>
      <c r="S42" s="379"/>
      <c r="T42" s="379"/>
      <c r="U42" s="756">
        <f t="shared" si="13"/>
        <v>1160</v>
      </c>
    </row>
    <row r="43" spans="1:21" ht="14.1" customHeight="1">
      <c r="A43" s="559">
        <v>43</v>
      </c>
      <c r="B43" s="372" t="s">
        <v>322</v>
      </c>
      <c r="C43" s="552" t="s">
        <v>516</v>
      </c>
      <c r="D43" s="757">
        <f>VLOOKUP(B43,Locatieoverzicht!$A$14:$E$21,5,FALSE)</f>
        <v>1</v>
      </c>
      <c r="E43" s="608" t="s">
        <v>551</v>
      </c>
      <c r="F43" s="549" t="s">
        <v>357</v>
      </c>
      <c r="G43" s="550" t="s">
        <v>326</v>
      </c>
      <c r="H43" s="374" t="str">
        <f t="shared" si="8"/>
        <v>Niet van toepassing</v>
      </c>
      <c r="I43" s="375" t="s">
        <v>618</v>
      </c>
      <c r="J43" s="561">
        <v>5</v>
      </c>
      <c r="K43" s="612" t="s">
        <v>239</v>
      </c>
      <c r="L43" s="376">
        <f t="shared" si="9"/>
        <v>0</v>
      </c>
      <c r="M43" s="377">
        <f t="shared" si="6"/>
        <v>0</v>
      </c>
      <c r="N43" s="377">
        <f t="shared" si="7"/>
        <v>0</v>
      </c>
      <c r="O43" s="377">
        <f t="shared" si="10"/>
        <v>0</v>
      </c>
      <c r="P43" s="377">
        <f t="shared" si="11"/>
        <v>0</v>
      </c>
      <c r="Q43" s="755">
        <v>1</v>
      </c>
      <c r="R43" s="378">
        <f t="shared" si="12"/>
        <v>0</v>
      </c>
      <c r="S43" s="379"/>
      <c r="T43" s="379"/>
      <c r="U43" s="756">
        <f t="shared" si="13"/>
        <v>0</v>
      </c>
    </row>
    <row r="44" spans="1:21" ht="14.1" customHeight="1">
      <c r="A44" s="559">
        <v>44</v>
      </c>
      <c r="B44" s="372" t="s">
        <v>322</v>
      </c>
      <c r="C44" s="552" t="s">
        <v>516</v>
      </c>
      <c r="D44" s="757">
        <f>VLOOKUP(B44,Locatieoverzicht!$A$14:$E$21,5,FALSE)</f>
        <v>1</v>
      </c>
      <c r="E44" s="608" t="s">
        <v>551</v>
      </c>
      <c r="F44" s="549" t="s">
        <v>358</v>
      </c>
      <c r="G44" s="550" t="s">
        <v>406</v>
      </c>
      <c r="H44" s="374" t="str">
        <f t="shared" si="8"/>
        <v>Niet van toepassing</v>
      </c>
      <c r="I44" s="375" t="s">
        <v>614</v>
      </c>
      <c r="J44" s="561">
        <v>13.6</v>
      </c>
      <c r="K44" s="612" t="s">
        <v>239</v>
      </c>
      <c r="L44" s="376">
        <f t="shared" si="9"/>
        <v>0</v>
      </c>
      <c r="M44" s="377">
        <f t="shared" si="6"/>
        <v>0</v>
      </c>
      <c r="N44" s="377">
        <f t="shared" si="7"/>
        <v>0</v>
      </c>
      <c r="O44" s="377">
        <f t="shared" si="10"/>
        <v>0</v>
      </c>
      <c r="P44" s="377">
        <f t="shared" si="11"/>
        <v>0</v>
      </c>
      <c r="Q44" s="755">
        <v>1</v>
      </c>
      <c r="R44" s="378">
        <f t="shared" si="12"/>
        <v>0</v>
      </c>
      <c r="S44" s="379"/>
      <c r="T44" s="379"/>
      <c r="U44" s="756">
        <f t="shared" si="13"/>
        <v>0</v>
      </c>
    </row>
    <row r="45" spans="1:21" ht="14.1" customHeight="1">
      <c r="A45" s="559">
        <v>45</v>
      </c>
      <c r="B45" s="372" t="s">
        <v>322</v>
      </c>
      <c r="C45" s="552" t="s">
        <v>516</v>
      </c>
      <c r="D45" s="757">
        <f>VLOOKUP(B45,Locatieoverzicht!$A$14:$E$21,5,FALSE)</f>
        <v>1</v>
      </c>
      <c r="E45" s="608" t="s">
        <v>551</v>
      </c>
      <c r="F45" s="549" t="s">
        <v>359</v>
      </c>
      <c r="G45" s="550" t="s">
        <v>398</v>
      </c>
      <c r="H45" s="374" t="str">
        <f t="shared" si="8"/>
        <v>Gangen en hallen</v>
      </c>
      <c r="I45" s="375"/>
      <c r="J45" s="561">
        <v>2.2999999999999998</v>
      </c>
      <c r="K45" s="612">
        <v>3200</v>
      </c>
      <c r="L45" s="376">
        <f t="shared" si="9"/>
        <v>200</v>
      </c>
      <c r="M45" s="377">
        <f t="shared" si="6"/>
        <v>0</v>
      </c>
      <c r="N45" s="377">
        <f t="shared" si="7"/>
        <v>0</v>
      </c>
      <c r="O45" s="377">
        <f t="shared" si="10"/>
        <v>0</v>
      </c>
      <c r="P45" s="377">
        <f t="shared" si="11"/>
        <v>0</v>
      </c>
      <c r="Q45" s="755">
        <v>1</v>
      </c>
      <c r="R45" s="378" t="str">
        <f t="shared" si="12"/>
        <v>V</v>
      </c>
      <c r="S45" s="379"/>
      <c r="T45" s="379"/>
      <c r="U45" s="756">
        <f t="shared" si="13"/>
        <v>459.99999999999994</v>
      </c>
    </row>
    <row r="46" spans="1:21" ht="14.1" customHeight="1">
      <c r="A46" s="559">
        <v>46</v>
      </c>
      <c r="B46" s="372" t="s">
        <v>322</v>
      </c>
      <c r="C46" s="552" t="s">
        <v>516</v>
      </c>
      <c r="D46" s="757">
        <f>VLOOKUP(B46,Locatieoverzicht!$A$14:$E$21,5,FALSE)</f>
        <v>1</v>
      </c>
      <c r="E46" s="608" t="s">
        <v>551</v>
      </c>
      <c r="F46" s="549" t="s">
        <v>360</v>
      </c>
      <c r="G46" s="550" t="s">
        <v>407</v>
      </c>
      <c r="H46" s="374" t="str">
        <f t="shared" si="8"/>
        <v>Aula/kantine</v>
      </c>
      <c r="I46" s="375" t="s">
        <v>612</v>
      </c>
      <c r="J46" s="561">
        <v>249.1</v>
      </c>
      <c r="K46" s="612">
        <v>7200</v>
      </c>
      <c r="L46" s="376">
        <f t="shared" si="9"/>
        <v>200</v>
      </c>
      <c r="M46" s="377">
        <f t="shared" si="6"/>
        <v>0</v>
      </c>
      <c r="N46" s="377">
        <f t="shared" si="7"/>
        <v>0</v>
      </c>
      <c r="O46" s="377">
        <f t="shared" si="10"/>
        <v>0</v>
      </c>
      <c r="P46" s="377">
        <f t="shared" si="11"/>
        <v>0</v>
      </c>
      <c r="Q46" s="755">
        <v>1</v>
      </c>
      <c r="R46" s="378" t="str">
        <f t="shared" si="12"/>
        <v>V</v>
      </c>
      <c r="S46" s="379"/>
      <c r="T46" s="379"/>
      <c r="U46" s="756">
        <f t="shared" si="13"/>
        <v>49820</v>
      </c>
    </row>
    <row r="47" spans="1:21" s="83" customFormat="1" ht="14.1" customHeight="1">
      <c r="A47" s="559">
        <v>47</v>
      </c>
      <c r="B47" s="372" t="s">
        <v>322</v>
      </c>
      <c r="C47" s="552" t="s">
        <v>516</v>
      </c>
      <c r="D47" s="757">
        <f>VLOOKUP(B47,Locatieoverzicht!$A$14:$E$21,5,FALSE)</f>
        <v>1</v>
      </c>
      <c r="E47" s="608" t="s">
        <v>551</v>
      </c>
      <c r="F47" s="549" t="s">
        <v>361</v>
      </c>
      <c r="G47" s="550" t="s">
        <v>401</v>
      </c>
      <c r="H47" s="374" t="str">
        <f t="shared" si="8"/>
        <v>Leslokaal regulier</v>
      </c>
      <c r="I47" s="375" t="s">
        <v>619</v>
      </c>
      <c r="J47" s="561">
        <v>124.65</v>
      </c>
      <c r="K47" s="612">
        <v>8040</v>
      </c>
      <c r="L47" s="376">
        <f t="shared" si="9"/>
        <v>40</v>
      </c>
      <c r="M47" s="377">
        <f t="shared" si="6"/>
        <v>0</v>
      </c>
      <c r="N47" s="377">
        <f t="shared" si="7"/>
        <v>0</v>
      </c>
      <c r="O47" s="377">
        <f t="shared" si="10"/>
        <v>0</v>
      </c>
      <c r="P47" s="377">
        <f t="shared" si="11"/>
        <v>0</v>
      </c>
      <c r="Q47" s="755">
        <v>1</v>
      </c>
      <c r="R47" s="378" t="str">
        <f t="shared" si="12"/>
        <v>L</v>
      </c>
      <c r="S47" s="379"/>
      <c r="T47" s="379"/>
      <c r="U47" s="756">
        <f t="shared" si="13"/>
        <v>4986</v>
      </c>
    </row>
    <row r="48" spans="1:21" ht="14.1" customHeight="1">
      <c r="A48" s="559">
        <v>48</v>
      </c>
      <c r="B48" s="372" t="s">
        <v>322</v>
      </c>
      <c r="C48" s="552" t="s">
        <v>516</v>
      </c>
      <c r="D48" s="757">
        <f>VLOOKUP(B48,Locatieoverzicht!$A$14:$E$21,5,FALSE)</f>
        <v>1</v>
      </c>
      <c r="E48" s="608" t="s">
        <v>551</v>
      </c>
      <c r="F48" s="549" t="s">
        <v>362</v>
      </c>
      <c r="G48" s="550" t="s">
        <v>326</v>
      </c>
      <c r="H48" s="374" t="str">
        <f t="shared" si="8"/>
        <v>Niet van toepassing</v>
      </c>
      <c r="I48" s="375" t="s">
        <v>617</v>
      </c>
      <c r="J48" s="561">
        <v>5.5</v>
      </c>
      <c r="K48" s="612" t="s">
        <v>239</v>
      </c>
      <c r="L48" s="376">
        <f t="shared" si="9"/>
        <v>0</v>
      </c>
      <c r="M48" s="377">
        <f t="shared" si="6"/>
        <v>0</v>
      </c>
      <c r="N48" s="377">
        <f t="shared" si="7"/>
        <v>0</v>
      </c>
      <c r="O48" s="377">
        <f t="shared" si="10"/>
        <v>0</v>
      </c>
      <c r="P48" s="377">
        <f t="shared" si="11"/>
        <v>0</v>
      </c>
      <c r="Q48" s="755">
        <v>1</v>
      </c>
      <c r="R48" s="378">
        <f t="shared" si="12"/>
        <v>0</v>
      </c>
      <c r="S48" s="379"/>
      <c r="T48" s="379"/>
      <c r="U48" s="756">
        <f t="shared" si="13"/>
        <v>0</v>
      </c>
    </row>
    <row r="49" spans="1:21" ht="14.1" customHeight="1">
      <c r="A49" s="559">
        <v>49</v>
      </c>
      <c r="B49" s="372" t="s">
        <v>322</v>
      </c>
      <c r="C49" s="552" t="s">
        <v>516</v>
      </c>
      <c r="D49" s="757">
        <f>VLOOKUP(B49,Locatieoverzicht!$A$14:$E$21,5,FALSE)</f>
        <v>1</v>
      </c>
      <c r="E49" s="608" t="s">
        <v>551</v>
      </c>
      <c r="F49" s="549" t="s">
        <v>363</v>
      </c>
      <c r="G49" s="550" t="s">
        <v>398</v>
      </c>
      <c r="H49" s="374" t="str">
        <f t="shared" si="8"/>
        <v>Gangen en hallen</v>
      </c>
      <c r="I49" s="375" t="s">
        <v>612</v>
      </c>
      <c r="J49" s="561">
        <v>84.4</v>
      </c>
      <c r="K49" s="612">
        <v>3200</v>
      </c>
      <c r="L49" s="376">
        <f t="shared" si="9"/>
        <v>200</v>
      </c>
      <c r="M49" s="377">
        <f t="shared" si="6"/>
        <v>0</v>
      </c>
      <c r="N49" s="377">
        <f t="shared" si="7"/>
        <v>0</v>
      </c>
      <c r="O49" s="377">
        <f t="shared" si="10"/>
        <v>0</v>
      </c>
      <c r="P49" s="377">
        <f t="shared" si="11"/>
        <v>0</v>
      </c>
      <c r="Q49" s="755">
        <v>1</v>
      </c>
      <c r="R49" s="378" t="str">
        <f t="shared" si="12"/>
        <v>V</v>
      </c>
      <c r="S49" s="379"/>
      <c r="T49" s="379"/>
      <c r="U49" s="756">
        <f t="shared" si="13"/>
        <v>16880</v>
      </c>
    </row>
    <row r="50" spans="1:21" ht="14.1" customHeight="1">
      <c r="A50" s="559">
        <v>50</v>
      </c>
      <c r="B50" s="372" t="s">
        <v>322</v>
      </c>
      <c r="C50" s="552" t="s">
        <v>516</v>
      </c>
      <c r="D50" s="757">
        <f>VLOOKUP(B50,Locatieoverzicht!$A$14:$E$21,5,FALSE)</f>
        <v>1</v>
      </c>
      <c r="E50" s="608" t="s">
        <v>551</v>
      </c>
      <c r="F50" s="549" t="s">
        <v>364</v>
      </c>
      <c r="G50" s="550" t="s">
        <v>402</v>
      </c>
      <c r="H50" s="374" t="str">
        <f t="shared" si="8"/>
        <v>Administratieve ruimten</v>
      </c>
      <c r="I50" s="375" t="s">
        <v>612</v>
      </c>
      <c r="J50" s="561">
        <v>20.5</v>
      </c>
      <c r="K50" s="612">
        <v>1040</v>
      </c>
      <c r="L50" s="376">
        <f t="shared" si="9"/>
        <v>40</v>
      </c>
      <c r="M50" s="377">
        <f t="shared" si="6"/>
        <v>0</v>
      </c>
      <c r="N50" s="377">
        <f t="shared" si="7"/>
        <v>0</v>
      </c>
      <c r="O50" s="377">
        <f t="shared" si="10"/>
        <v>0</v>
      </c>
      <c r="P50" s="377">
        <f t="shared" si="11"/>
        <v>0</v>
      </c>
      <c r="Q50" s="755">
        <v>1</v>
      </c>
      <c r="R50" s="378" t="str">
        <f t="shared" si="12"/>
        <v>B</v>
      </c>
      <c r="S50" s="379"/>
      <c r="T50" s="379"/>
      <c r="U50" s="756">
        <f t="shared" si="13"/>
        <v>820</v>
      </c>
    </row>
    <row r="51" spans="1:21" ht="14.1" customHeight="1">
      <c r="A51" s="559">
        <v>51</v>
      </c>
      <c r="B51" s="372" t="s">
        <v>322</v>
      </c>
      <c r="C51" s="552" t="s">
        <v>516</v>
      </c>
      <c r="D51" s="757">
        <f>VLOOKUP(B51,Locatieoverzicht!$A$14:$E$21,5,FALSE)</f>
        <v>1</v>
      </c>
      <c r="E51" s="608" t="s">
        <v>551</v>
      </c>
      <c r="F51" s="549" t="s">
        <v>365</v>
      </c>
      <c r="G51" s="550" t="s">
        <v>402</v>
      </c>
      <c r="H51" s="374" t="str">
        <f t="shared" si="8"/>
        <v>Administratieve ruimten</v>
      </c>
      <c r="I51" s="375" t="s">
        <v>612</v>
      </c>
      <c r="J51" s="561">
        <v>19.600000000000001</v>
      </c>
      <c r="K51" s="612">
        <v>1040</v>
      </c>
      <c r="L51" s="376">
        <f t="shared" si="9"/>
        <v>40</v>
      </c>
      <c r="M51" s="377">
        <f t="shared" si="6"/>
        <v>0</v>
      </c>
      <c r="N51" s="377">
        <f t="shared" si="7"/>
        <v>0</v>
      </c>
      <c r="O51" s="377">
        <f t="shared" si="10"/>
        <v>0</v>
      </c>
      <c r="P51" s="377">
        <f t="shared" si="11"/>
        <v>0</v>
      </c>
      <c r="Q51" s="755">
        <v>1</v>
      </c>
      <c r="R51" s="378" t="str">
        <f t="shared" si="12"/>
        <v>B</v>
      </c>
      <c r="S51" s="379"/>
      <c r="T51" s="379"/>
      <c r="U51" s="756">
        <f t="shared" si="13"/>
        <v>784</v>
      </c>
    </row>
    <row r="52" spans="1:21" ht="14.1" customHeight="1">
      <c r="A52" s="559">
        <v>52</v>
      </c>
      <c r="B52" s="372" t="s">
        <v>322</v>
      </c>
      <c r="C52" s="552" t="s">
        <v>516</v>
      </c>
      <c r="D52" s="757">
        <f>VLOOKUP(B52,Locatieoverzicht!$A$14:$E$21,5,FALSE)</f>
        <v>1</v>
      </c>
      <c r="E52" s="608" t="s">
        <v>551</v>
      </c>
      <c r="F52" s="549" t="s">
        <v>366</v>
      </c>
      <c r="G52" s="550" t="s">
        <v>401</v>
      </c>
      <c r="H52" s="374" t="str">
        <f t="shared" si="8"/>
        <v>Leslokaal regulier</v>
      </c>
      <c r="I52" s="375" t="s">
        <v>612</v>
      </c>
      <c r="J52" s="561">
        <v>49.5</v>
      </c>
      <c r="K52" s="612">
        <v>8040</v>
      </c>
      <c r="L52" s="376">
        <f t="shared" si="9"/>
        <v>40</v>
      </c>
      <c r="M52" s="377">
        <f t="shared" si="6"/>
        <v>0</v>
      </c>
      <c r="N52" s="377">
        <f t="shared" si="7"/>
        <v>0</v>
      </c>
      <c r="O52" s="377">
        <f t="shared" si="10"/>
        <v>0</v>
      </c>
      <c r="P52" s="377">
        <f t="shared" si="11"/>
        <v>0</v>
      </c>
      <c r="Q52" s="755">
        <v>1</v>
      </c>
      <c r="R52" s="378" t="str">
        <f t="shared" si="12"/>
        <v>L</v>
      </c>
      <c r="S52" s="379"/>
      <c r="T52" s="379"/>
      <c r="U52" s="756">
        <f t="shared" si="13"/>
        <v>1980</v>
      </c>
    </row>
    <row r="53" spans="1:21" ht="14.1" customHeight="1">
      <c r="A53" s="559">
        <v>53</v>
      </c>
      <c r="B53" s="372" t="s">
        <v>322</v>
      </c>
      <c r="C53" s="552" t="s">
        <v>516</v>
      </c>
      <c r="D53" s="757">
        <f>VLOOKUP(B53,Locatieoverzicht!$A$14:$E$21,5,FALSE)</f>
        <v>1</v>
      </c>
      <c r="E53" s="608" t="s">
        <v>551</v>
      </c>
      <c r="F53" s="549" t="s">
        <v>367</v>
      </c>
      <c r="G53" s="550" t="s">
        <v>401</v>
      </c>
      <c r="H53" s="374" t="str">
        <f t="shared" si="8"/>
        <v>Leslokaal regulier</v>
      </c>
      <c r="I53" s="375" t="s">
        <v>612</v>
      </c>
      <c r="J53" s="561">
        <v>71.8</v>
      </c>
      <c r="K53" s="612">
        <v>8040</v>
      </c>
      <c r="L53" s="376">
        <f t="shared" si="9"/>
        <v>40</v>
      </c>
      <c r="M53" s="377">
        <f t="shared" si="6"/>
        <v>0</v>
      </c>
      <c r="N53" s="377">
        <f t="shared" si="7"/>
        <v>0</v>
      </c>
      <c r="O53" s="377">
        <f t="shared" si="10"/>
        <v>0</v>
      </c>
      <c r="P53" s="377">
        <f t="shared" si="11"/>
        <v>0</v>
      </c>
      <c r="Q53" s="755">
        <v>1</v>
      </c>
      <c r="R53" s="378" t="str">
        <f t="shared" si="12"/>
        <v>L</v>
      </c>
      <c r="S53" s="379"/>
      <c r="T53" s="379"/>
      <c r="U53" s="756">
        <f t="shared" si="13"/>
        <v>2872</v>
      </c>
    </row>
    <row r="54" spans="1:21" ht="14.1" customHeight="1">
      <c r="A54" s="559">
        <v>54</v>
      </c>
      <c r="B54" s="372" t="s">
        <v>322</v>
      </c>
      <c r="C54" s="552" t="s">
        <v>516</v>
      </c>
      <c r="D54" s="757">
        <f>VLOOKUP(B54,Locatieoverzicht!$A$14:$E$21,5,FALSE)</f>
        <v>1</v>
      </c>
      <c r="E54" s="608" t="s">
        <v>551</v>
      </c>
      <c r="F54" s="549" t="s">
        <v>368</v>
      </c>
      <c r="G54" s="550" t="s">
        <v>400</v>
      </c>
      <c r="H54" s="374" t="str">
        <f t="shared" si="8"/>
        <v>Sanitaire ruimten</v>
      </c>
      <c r="I54" s="375" t="s">
        <v>617</v>
      </c>
      <c r="J54" s="561">
        <v>7.3</v>
      </c>
      <c r="K54" s="612">
        <v>2200</v>
      </c>
      <c r="L54" s="376">
        <f t="shared" si="9"/>
        <v>200</v>
      </c>
      <c r="M54" s="377">
        <f t="shared" si="6"/>
        <v>0</v>
      </c>
      <c r="N54" s="377">
        <f t="shared" si="7"/>
        <v>0</v>
      </c>
      <c r="O54" s="377">
        <f t="shared" si="10"/>
        <v>0</v>
      </c>
      <c r="P54" s="377">
        <f t="shared" si="11"/>
        <v>0</v>
      </c>
      <c r="Q54" s="755">
        <v>1</v>
      </c>
      <c r="R54" s="378" t="str">
        <f t="shared" si="12"/>
        <v>S</v>
      </c>
      <c r="S54" s="379"/>
      <c r="T54" s="379"/>
      <c r="U54" s="756">
        <f t="shared" si="13"/>
        <v>1460</v>
      </c>
    </row>
    <row r="55" spans="1:21" ht="14.1" customHeight="1">
      <c r="A55" s="559">
        <v>55</v>
      </c>
      <c r="B55" s="372" t="s">
        <v>322</v>
      </c>
      <c r="C55" s="552" t="s">
        <v>516</v>
      </c>
      <c r="D55" s="757">
        <f>VLOOKUP(B55,Locatieoverzicht!$A$14:$E$21,5,FALSE)</f>
        <v>1</v>
      </c>
      <c r="E55" s="608" t="s">
        <v>551</v>
      </c>
      <c r="F55" s="549" t="s">
        <v>369</v>
      </c>
      <c r="G55" s="550" t="s">
        <v>400</v>
      </c>
      <c r="H55" s="374" t="str">
        <f t="shared" si="8"/>
        <v>Sanitaire ruimten</v>
      </c>
      <c r="I55" s="375" t="s">
        <v>617</v>
      </c>
      <c r="J55" s="561">
        <v>5.2</v>
      </c>
      <c r="K55" s="612">
        <v>2200</v>
      </c>
      <c r="L55" s="376">
        <f t="shared" si="9"/>
        <v>200</v>
      </c>
      <c r="M55" s="377">
        <f t="shared" si="6"/>
        <v>0</v>
      </c>
      <c r="N55" s="377">
        <f t="shared" si="7"/>
        <v>0</v>
      </c>
      <c r="O55" s="377">
        <f t="shared" si="10"/>
        <v>0</v>
      </c>
      <c r="P55" s="377">
        <f t="shared" si="11"/>
        <v>0</v>
      </c>
      <c r="Q55" s="755">
        <v>1</v>
      </c>
      <c r="R55" s="378" t="str">
        <f t="shared" si="12"/>
        <v>S</v>
      </c>
      <c r="S55" s="379"/>
      <c r="T55" s="379"/>
      <c r="U55" s="756">
        <f t="shared" si="13"/>
        <v>1040</v>
      </c>
    </row>
    <row r="56" spans="1:21" ht="14.1" customHeight="1">
      <c r="A56" s="559">
        <v>56</v>
      </c>
      <c r="B56" s="372" t="s">
        <v>322</v>
      </c>
      <c r="C56" s="552" t="s">
        <v>516</v>
      </c>
      <c r="D56" s="757">
        <f>VLOOKUP(B56,Locatieoverzicht!$A$14:$E$21,5,FALSE)</f>
        <v>1</v>
      </c>
      <c r="E56" s="608" t="s">
        <v>551</v>
      </c>
      <c r="F56" s="549" t="s">
        <v>370</v>
      </c>
      <c r="G56" s="550" t="s">
        <v>401</v>
      </c>
      <c r="H56" s="374" t="str">
        <f t="shared" si="8"/>
        <v>Leslokaal regulier</v>
      </c>
      <c r="I56" s="375" t="s">
        <v>619</v>
      </c>
      <c r="J56" s="561">
        <v>73.099999999999994</v>
      </c>
      <c r="K56" s="612">
        <v>8040</v>
      </c>
      <c r="L56" s="376">
        <f t="shared" si="9"/>
        <v>40</v>
      </c>
      <c r="M56" s="377">
        <f t="shared" si="6"/>
        <v>0</v>
      </c>
      <c r="N56" s="377">
        <f t="shared" si="7"/>
        <v>0</v>
      </c>
      <c r="O56" s="377">
        <f t="shared" si="10"/>
        <v>0</v>
      </c>
      <c r="P56" s="377">
        <f t="shared" si="11"/>
        <v>0</v>
      </c>
      <c r="Q56" s="755">
        <v>1</v>
      </c>
      <c r="R56" s="378" t="str">
        <f t="shared" si="12"/>
        <v>L</v>
      </c>
      <c r="S56" s="379"/>
      <c r="T56" s="379"/>
      <c r="U56" s="756">
        <f t="shared" si="13"/>
        <v>2924</v>
      </c>
    </row>
    <row r="57" spans="1:21" ht="14.1" customHeight="1">
      <c r="A57" s="559">
        <v>57</v>
      </c>
      <c r="B57" s="372" t="s">
        <v>322</v>
      </c>
      <c r="C57" s="552" t="s">
        <v>516</v>
      </c>
      <c r="D57" s="757">
        <f>VLOOKUP(B57,Locatieoverzicht!$A$14:$E$21,5,FALSE)</f>
        <v>1</v>
      </c>
      <c r="E57" s="608" t="s">
        <v>551</v>
      </c>
      <c r="F57" s="549" t="s">
        <v>371</v>
      </c>
      <c r="G57" s="550" t="s">
        <v>400</v>
      </c>
      <c r="H57" s="374" t="str">
        <f t="shared" si="8"/>
        <v>Sanitaire ruimten</v>
      </c>
      <c r="I57" s="375"/>
      <c r="J57" s="561">
        <v>5.3</v>
      </c>
      <c r="K57" s="612">
        <v>2200</v>
      </c>
      <c r="L57" s="376">
        <f t="shared" si="9"/>
        <v>200</v>
      </c>
      <c r="M57" s="377">
        <f t="shared" si="6"/>
        <v>0</v>
      </c>
      <c r="N57" s="377">
        <f t="shared" si="7"/>
        <v>0</v>
      </c>
      <c r="O57" s="377">
        <f t="shared" si="10"/>
        <v>0</v>
      </c>
      <c r="P57" s="377">
        <f t="shared" si="11"/>
        <v>0</v>
      </c>
      <c r="Q57" s="755">
        <v>1</v>
      </c>
      <c r="R57" s="378" t="str">
        <f t="shared" si="12"/>
        <v>S</v>
      </c>
      <c r="S57" s="379"/>
      <c r="T57" s="379"/>
      <c r="U57" s="756">
        <f t="shared" si="13"/>
        <v>1060</v>
      </c>
    </row>
    <row r="58" spans="1:21" ht="14.1" customHeight="1">
      <c r="A58" s="559">
        <v>58</v>
      </c>
      <c r="B58" s="372" t="s">
        <v>322</v>
      </c>
      <c r="C58" s="552" t="s">
        <v>516</v>
      </c>
      <c r="D58" s="757">
        <f>VLOOKUP(B58,Locatieoverzicht!$A$14:$E$21,5,FALSE)</f>
        <v>1</v>
      </c>
      <c r="E58" s="608" t="s">
        <v>551</v>
      </c>
      <c r="F58" s="549" t="s">
        <v>372</v>
      </c>
      <c r="G58" s="550" t="s">
        <v>401</v>
      </c>
      <c r="H58" s="374" t="str">
        <f t="shared" si="8"/>
        <v>Leslokaal regulier</v>
      </c>
      <c r="I58" s="375" t="s">
        <v>619</v>
      </c>
      <c r="J58" s="561">
        <v>72.8</v>
      </c>
      <c r="K58" s="612">
        <v>8040</v>
      </c>
      <c r="L58" s="376">
        <f t="shared" si="9"/>
        <v>40</v>
      </c>
      <c r="M58" s="377">
        <f t="shared" si="6"/>
        <v>0</v>
      </c>
      <c r="N58" s="377">
        <f t="shared" si="7"/>
        <v>0</v>
      </c>
      <c r="O58" s="377">
        <f t="shared" si="10"/>
        <v>0</v>
      </c>
      <c r="P58" s="377">
        <f t="shared" si="11"/>
        <v>0</v>
      </c>
      <c r="Q58" s="755">
        <v>1</v>
      </c>
      <c r="R58" s="378" t="str">
        <f t="shared" si="12"/>
        <v>L</v>
      </c>
      <c r="S58" s="379"/>
      <c r="T58" s="379"/>
      <c r="U58" s="756">
        <f t="shared" si="13"/>
        <v>2912</v>
      </c>
    </row>
    <row r="59" spans="1:21" ht="14.1" customHeight="1">
      <c r="A59" s="559">
        <v>59</v>
      </c>
      <c r="B59" s="372" t="s">
        <v>322</v>
      </c>
      <c r="C59" s="552" t="s">
        <v>516</v>
      </c>
      <c r="D59" s="757">
        <f>VLOOKUP(B59,Locatieoverzicht!$A$14:$E$21,5,FALSE)</f>
        <v>1</v>
      </c>
      <c r="E59" s="608" t="s">
        <v>551</v>
      </c>
      <c r="F59" s="549" t="s">
        <v>373</v>
      </c>
      <c r="G59" s="550" t="s">
        <v>401</v>
      </c>
      <c r="H59" s="374" t="str">
        <f t="shared" si="8"/>
        <v>Leslokaal regulier</v>
      </c>
      <c r="I59" s="375" t="s">
        <v>612</v>
      </c>
      <c r="J59" s="561">
        <v>73.400000000000006</v>
      </c>
      <c r="K59" s="612">
        <v>8040</v>
      </c>
      <c r="L59" s="376">
        <f t="shared" si="9"/>
        <v>40</v>
      </c>
      <c r="M59" s="377">
        <f t="shared" si="6"/>
        <v>0</v>
      </c>
      <c r="N59" s="377">
        <f t="shared" si="7"/>
        <v>0</v>
      </c>
      <c r="O59" s="377">
        <f t="shared" si="10"/>
        <v>0</v>
      </c>
      <c r="P59" s="377">
        <f t="shared" si="11"/>
        <v>0</v>
      </c>
      <c r="Q59" s="755">
        <v>1</v>
      </c>
      <c r="R59" s="378" t="str">
        <f t="shared" si="12"/>
        <v>L</v>
      </c>
      <c r="S59" s="379"/>
      <c r="T59" s="379"/>
      <c r="U59" s="756">
        <f t="shared" si="13"/>
        <v>2936</v>
      </c>
    </row>
    <row r="60" spans="1:21" ht="14.1" customHeight="1">
      <c r="A60" s="559">
        <v>60</v>
      </c>
      <c r="B60" s="372" t="s">
        <v>322</v>
      </c>
      <c r="C60" s="552" t="s">
        <v>516</v>
      </c>
      <c r="D60" s="757">
        <f>VLOOKUP(B60,Locatieoverzicht!$A$14:$E$21,5,FALSE)</f>
        <v>1</v>
      </c>
      <c r="E60" s="608" t="s">
        <v>551</v>
      </c>
      <c r="F60" s="549" t="s">
        <v>374</v>
      </c>
      <c r="G60" s="550" t="s">
        <v>402</v>
      </c>
      <c r="H60" s="374" t="str">
        <f t="shared" si="8"/>
        <v>Administratieve ruimten</v>
      </c>
      <c r="I60" s="375" t="s">
        <v>619</v>
      </c>
      <c r="J60" s="561">
        <v>26.8</v>
      </c>
      <c r="K60" s="612">
        <v>1040</v>
      </c>
      <c r="L60" s="376">
        <f t="shared" si="9"/>
        <v>40</v>
      </c>
      <c r="M60" s="377">
        <f t="shared" si="6"/>
        <v>0</v>
      </c>
      <c r="N60" s="377">
        <f t="shared" si="7"/>
        <v>0</v>
      </c>
      <c r="O60" s="377">
        <f t="shared" si="10"/>
        <v>0</v>
      </c>
      <c r="P60" s="377">
        <f t="shared" si="11"/>
        <v>0</v>
      </c>
      <c r="Q60" s="755">
        <v>1</v>
      </c>
      <c r="R60" s="378" t="str">
        <f t="shared" si="12"/>
        <v>B</v>
      </c>
      <c r="S60" s="379"/>
      <c r="T60" s="379"/>
      <c r="U60" s="756">
        <f t="shared" si="13"/>
        <v>1072</v>
      </c>
    </row>
    <row r="61" spans="1:21" ht="14.1" customHeight="1">
      <c r="A61" s="559">
        <v>61</v>
      </c>
      <c r="B61" s="372" t="s">
        <v>322</v>
      </c>
      <c r="C61" s="552" t="s">
        <v>516</v>
      </c>
      <c r="D61" s="757">
        <f>VLOOKUP(B61,Locatieoverzicht!$A$14:$E$21,5,FALSE)</f>
        <v>1</v>
      </c>
      <c r="E61" s="608" t="s">
        <v>551</v>
      </c>
      <c r="F61" s="549" t="s">
        <v>375</v>
      </c>
      <c r="G61" s="550" t="s">
        <v>326</v>
      </c>
      <c r="H61" s="374" t="str">
        <f t="shared" si="8"/>
        <v>Niet van toepassing</v>
      </c>
      <c r="I61" s="375"/>
      <c r="J61" s="561">
        <v>6.8</v>
      </c>
      <c r="K61" s="612" t="s">
        <v>239</v>
      </c>
      <c r="L61" s="376">
        <f t="shared" si="9"/>
        <v>0</v>
      </c>
      <c r="M61" s="377">
        <f t="shared" si="6"/>
        <v>0</v>
      </c>
      <c r="N61" s="377">
        <f t="shared" si="7"/>
        <v>0</v>
      </c>
      <c r="O61" s="377">
        <f t="shared" si="10"/>
        <v>0</v>
      </c>
      <c r="P61" s="377">
        <f t="shared" si="11"/>
        <v>0</v>
      </c>
      <c r="Q61" s="755">
        <v>1</v>
      </c>
      <c r="R61" s="378">
        <f t="shared" si="12"/>
        <v>0</v>
      </c>
      <c r="S61" s="379"/>
      <c r="T61" s="379"/>
      <c r="U61" s="756">
        <f t="shared" si="13"/>
        <v>0</v>
      </c>
    </row>
    <row r="62" spans="1:21" ht="14.1" customHeight="1">
      <c r="A62" s="559">
        <v>62</v>
      </c>
      <c r="B62" s="372" t="s">
        <v>322</v>
      </c>
      <c r="C62" s="552" t="s">
        <v>516</v>
      </c>
      <c r="D62" s="757">
        <f>VLOOKUP(B62,Locatieoverzicht!$A$14:$E$21,5,FALSE)</f>
        <v>1</v>
      </c>
      <c r="E62" s="608" t="s">
        <v>551</v>
      </c>
      <c r="F62" s="549" t="s">
        <v>376</v>
      </c>
      <c r="G62" s="550" t="s">
        <v>405</v>
      </c>
      <c r="H62" s="374" t="str">
        <f t="shared" si="8"/>
        <v>Niet van toepassing</v>
      </c>
      <c r="I62" s="375" t="s">
        <v>618</v>
      </c>
      <c r="J62" s="561">
        <v>7.4</v>
      </c>
      <c r="K62" s="612" t="s">
        <v>239</v>
      </c>
      <c r="L62" s="376">
        <f t="shared" si="9"/>
        <v>0</v>
      </c>
      <c r="M62" s="377">
        <f t="shared" si="6"/>
        <v>0</v>
      </c>
      <c r="N62" s="377">
        <f t="shared" si="7"/>
        <v>0</v>
      </c>
      <c r="O62" s="377">
        <f t="shared" si="10"/>
        <v>0</v>
      </c>
      <c r="P62" s="377">
        <f t="shared" si="11"/>
        <v>0</v>
      </c>
      <c r="Q62" s="755">
        <v>1</v>
      </c>
      <c r="R62" s="378">
        <f t="shared" si="12"/>
        <v>0</v>
      </c>
      <c r="S62" s="379"/>
      <c r="T62" s="379"/>
      <c r="U62" s="756">
        <f t="shared" si="13"/>
        <v>0</v>
      </c>
    </row>
    <row r="63" spans="1:21" ht="14.1" customHeight="1">
      <c r="A63" s="559">
        <v>63</v>
      </c>
      <c r="B63" s="372" t="s">
        <v>322</v>
      </c>
      <c r="C63" s="552" t="s">
        <v>516</v>
      </c>
      <c r="D63" s="757">
        <f>VLOOKUP(B63,Locatieoverzicht!$A$14:$E$21,5,FALSE)</f>
        <v>1</v>
      </c>
      <c r="E63" s="608" t="s">
        <v>551</v>
      </c>
      <c r="F63" s="549" t="s">
        <v>377</v>
      </c>
      <c r="G63" s="550" t="s">
        <v>326</v>
      </c>
      <c r="H63" s="374" t="str">
        <f t="shared" si="8"/>
        <v>Niet van toepassing</v>
      </c>
      <c r="I63" s="375" t="s">
        <v>614</v>
      </c>
      <c r="J63" s="561">
        <v>12.2</v>
      </c>
      <c r="K63" s="612" t="s">
        <v>239</v>
      </c>
      <c r="L63" s="376">
        <f t="shared" si="9"/>
        <v>0</v>
      </c>
      <c r="M63" s="377">
        <f t="shared" si="6"/>
        <v>0</v>
      </c>
      <c r="N63" s="377">
        <f t="shared" si="7"/>
        <v>0</v>
      </c>
      <c r="O63" s="377">
        <f t="shared" si="10"/>
        <v>0</v>
      </c>
      <c r="P63" s="377">
        <f t="shared" si="11"/>
        <v>0</v>
      </c>
      <c r="Q63" s="755">
        <v>1</v>
      </c>
      <c r="R63" s="378">
        <f t="shared" si="12"/>
        <v>0</v>
      </c>
      <c r="S63" s="379"/>
      <c r="T63" s="379"/>
      <c r="U63" s="756">
        <f t="shared" si="13"/>
        <v>0</v>
      </c>
    </row>
    <row r="64" spans="1:21" ht="14.1" customHeight="1">
      <c r="A64" s="559">
        <v>64</v>
      </c>
      <c r="B64" s="372" t="s">
        <v>322</v>
      </c>
      <c r="C64" s="552" t="s">
        <v>516</v>
      </c>
      <c r="D64" s="757">
        <f>VLOOKUP(B64,Locatieoverzicht!$A$14:$E$21,5,FALSE)</f>
        <v>1</v>
      </c>
      <c r="E64" s="608" t="s">
        <v>551</v>
      </c>
      <c r="F64" s="549" t="s">
        <v>378</v>
      </c>
      <c r="G64" s="550" t="s">
        <v>326</v>
      </c>
      <c r="H64" s="374" t="str">
        <f t="shared" si="8"/>
        <v>Niet van toepassing</v>
      </c>
      <c r="I64" s="375"/>
      <c r="J64" s="561">
        <v>13.9</v>
      </c>
      <c r="K64" s="612" t="s">
        <v>239</v>
      </c>
      <c r="L64" s="376">
        <f t="shared" si="9"/>
        <v>0</v>
      </c>
      <c r="M64" s="377">
        <f t="shared" si="6"/>
        <v>0</v>
      </c>
      <c r="N64" s="377">
        <f t="shared" si="7"/>
        <v>0</v>
      </c>
      <c r="O64" s="377">
        <f t="shared" si="10"/>
        <v>0</v>
      </c>
      <c r="P64" s="377">
        <f t="shared" si="11"/>
        <v>0</v>
      </c>
      <c r="Q64" s="755">
        <v>1</v>
      </c>
      <c r="R64" s="378">
        <f t="shared" si="12"/>
        <v>0</v>
      </c>
      <c r="S64" s="379"/>
      <c r="T64" s="379"/>
      <c r="U64" s="756">
        <f t="shared" si="13"/>
        <v>0</v>
      </c>
    </row>
    <row r="65" spans="1:21" ht="14.1" customHeight="1">
      <c r="A65" s="559">
        <v>65</v>
      </c>
      <c r="B65" s="372" t="s">
        <v>322</v>
      </c>
      <c r="C65" s="552" t="s">
        <v>516</v>
      </c>
      <c r="D65" s="757">
        <f>VLOOKUP(B65,Locatieoverzicht!$A$14:$E$21,5,FALSE)</f>
        <v>1</v>
      </c>
      <c r="E65" s="608" t="s">
        <v>551</v>
      </c>
      <c r="F65" s="549" t="s">
        <v>379</v>
      </c>
      <c r="G65" s="550" t="s">
        <v>398</v>
      </c>
      <c r="H65" s="374" t="str">
        <f t="shared" si="8"/>
        <v>Gangen en hallen</v>
      </c>
      <c r="I65" s="375"/>
      <c r="J65" s="561">
        <v>87.8</v>
      </c>
      <c r="K65" s="612">
        <v>3200</v>
      </c>
      <c r="L65" s="376">
        <f t="shared" si="9"/>
        <v>200</v>
      </c>
      <c r="M65" s="377">
        <f t="shared" si="6"/>
        <v>0</v>
      </c>
      <c r="N65" s="377">
        <f t="shared" si="7"/>
        <v>0</v>
      </c>
      <c r="O65" s="377">
        <f t="shared" si="10"/>
        <v>0</v>
      </c>
      <c r="P65" s="377">
        <f t="shared" si="11"/>
        <v>0</v>
      </c>
      <c r="Q65" s="755">
        <v>1</v>
      </c>
      <c r="R65" s="378" t="str">
        <f t="shared" si="12"/>
        <v>V</v>
      </c>
      <c r="S65" s="379"/>
      <c r="T65" s="379"/>
      <c r="U65" s="756">
        <f t="shared" si="13"/>
        <v>17560</v>
      </c>
    </row>
    <row r="66" spans="1:21" ht="14.1" customHeight="1">
      <c r="A66" s="559">
        <v>66</v>
      </c>
      <c r="B66" s="372" t="s">
        <v>322</v>
      </c>
      <c r="C66" s="552" t="s">
        <v>516</v>
      </c>
      <c r="D66" s="757">
        <f>VLOOKUP(B66,Locatieoverzicht!$A$14:$E$21,5,FALSE)</f>
        <v>1</v>
      </c>
      <c r="E66" s="608" t="s">
        <v>551</v>
      </c>
      <c r="F66" s="549" t="s">
        <v>380</v>
      </c>
      <c r="G66" s="550" t="s">
        <v>402</v>
      </c>
      <c r="H66" s="374" t="str">
        <f t="shared" si="8"/>
        <v>Administratieve ruimten</v>
      </c>
      <c r="I66" s="375" t="s">
        <v>612</v>
      </c>
      <c r="J66" s="561">
        <v>14.3</v>
      </c>
      <c r="K66" s="612">
        <v>1040</v>
      </c>
      <c r="L66" s="376">
        <f t="shared" si="9"/>
        <v>40</v>
      </c>
      <c r="M66" s="377">
        <f t="shared" si="6"/>
        <v>0</v>
      </c>
      <c r="N66" s="377">
        <f t="shared" si="7"/>
        <v>0</v>
      </c>
      <c r="O66" s="377">
        <f t="shared" si="10"/>
        <v>0</v>
      </c>
      <c r="P66" s="377">
        <f t="shared" si="11"/>
        <v>0</v>
      </c>
      <c r="Q66" s="755">
        <v>1</v>
      </c>
      <c r="R66" s="378" t="str">
        <f t="shared" si="12"/>
        <v>B</v>
      </c>
      <c r="S66" s="379"/>
      <c r="T66" s="379"/>
      <c r="U66" s="756">
        <f t="shared" si="13"/>
        <v>572</v>
      </c>
    </row>
    <row r="67" spans="1:21" ht="14.1" customHeight="1">
      <c r="A67" s="559">
        <v>67</v>
      </c>
      <c r="B67" s="372" t="s">
        <v>322</v>
      </c>
      <c r="C67" s="552" t="s">
        <v>516</v>
      </c>
      <c r="D67" s="757">
        <f>VLOOKUP(B67,Locatieoverzicht!$A$14:$E$21,5,FALSE)</f>
        <v>1</v>
      </c>
      <c r="E67" s="373">
        <v>1</v>
      </c>
      <c r="F67" s="549" t="s">
        <v>381</v>
      </c>
      <c r="G67" s="550" t="s">
        <v>398</v>
      </c>
      <c r="H67" s="374" t="str">
        <f t="shared" si="8"/>
        <v>Gangen en hallen</v>
      </c>
      <c r="I67" s="375"/>
      <c r="J67" s="561">
        <v>31.2</v>
      </c>
      <c r="K67" s="612">
        <v>3200</v>
      </c>
      <c r="L67" s="376">
        <f t="shared" si="9"/>
        <v>200</v>
      </c>
      <c r="M67" s="377">
        <f t="shared" si="6"/>
        <v>0</v>
      </c>
      <c r="N67" s="377">
        <f t="shared" si="7"/>
        <v>0</v>
      </c>
      <c r="O67" s="377">
        <f t="shared" si="10"/>
        <v>0</v>
      </c>
      <c r="P67" s="377">
        <f t="shared" si="11"/>
        <v>0</v>
      </c>
      <c r="Q67" s="755">
        <v>1</v>
      </c>
      <c r="R67" s="378" t="str">
        <f t="shared" si="12"/>
        <v>V</v>
      </c>
      <c r="S67" s="379"/>
      <c r="T67" s="379"/>
      <c r="U67" s="756">
        <f t="shared" si="13"/>
        <v>6240</v>
      </c>
    </row>
    <row r="68" spans="1:21" ht="14.1" customHeight="1">
      <c r="A68" s="559">
        <v>68</v>
      </c>
      <c r="B68" s="372" t="s">
        <v>322</v>
      </c>
      <c r="C68" s="552" t="s">
        <v>516</v>
      </c>
      <c r="D68" s="757">
        <f>VLOOKUP(B68,Locatieoverzicht!$A$14:$E$21,5,FALSE)</f>
        <v>1</v>
      </c>
      <c r="E68" s="373">
        <v>1</v>
      </c>
      <c r="F68" s="549" t="s">
        <v>382</v>
      </c>
      <c r="G68" s="550" t="s">
        <v>401</v>
      </c>
      <c r="H68" s="374" t="str">
        <f t="shared" si="8"/>
        <v>Leslokaal regulier</v>
      </c>
      <c r="I68" s="375"/>
      <c r="J68" s="561">
        <v>72.5</v>
      </c>
      <c r="K68" s="612">
        <v>8040</v>
      </c>
      <c r="L68" s="376">
        <f t="shared" si="9"/>
        <v>40</v>
      </c>
      <c r="M68" s="377">
        <f t="shared" si="6"/>
        <v>0</v>
      </c>
      <c r="N68" s="377">
        <f t="shared" si="7"/>
        <v>0</v>
      </c>
      <c r="O68" s="377">
        <f t="shared" si="10"/>
        <v>0</v>
      </c>
      <c r="P68" s="377">
        <f t="shared" si="11"/>
        <v>0</v>
      </c>
      <c r="Q68" s="755">
        <v>1</v>
      </c>
      <c r="R68" s="378" t="str">
        <f t="shared" si="12"/>
        <v>L</v>
      </c>
      <c r="S68" s="379"/>
      <c r="T68" s="379"/>
      <c r="U68" s="756">
        <f t="shared" si="13"/>
        <v>2900</v>
      </c>
    </row>
    <row r="69" spans="1:21" ht="14.1" customHeight="1">
      <c r="A69" s="559">
        <v>69</v>
      </c>
      <c r="B69" s="372" t="s">
        <v>322</v>
      </c>
      <c r="C69" s="552" t="s">
        <v>516</v>
      </c>
      <c r="D69" s="757">
        <f>VLOOKUP(B69,Locatieoverzicht!$A$14:$E$21,5,FALSE)</f>
        <v>1</v>
      </c>
      <c r="E69" s="373">
        <v>1</v>
      </c>
      <c r="F69" s="549" t="s">
        <v>383</v>
      </c>
      <c r="G69" s="550" t="s">
        <v>401</v>
      </c>
      <c r="H69" s="374" t="str">
        <f t="shared" si="8"/>
        <v>Leslokaal regulier</v>
      </c>
      <c r="I69" s="375"/>
      <c r="J69" s="561">
        <v>72.5</v>
      </c>
      <c r="K69" s="612">
        <v>8040</v>
      </c>
      <c r="L69" s="376">
        <f t="shared" si="9"/>
        <v>40</v>
      </c>
      <c r="M69" s="377">
        <f t="shared" si="6"/>
        <v>0</v>
      </c>
      <c r="N69" s="377">
        <f t="shared" si="7"/>
        <v>0</v>
      </c>
      <c r="O69" s="377">
        <f t="shared" si="10"/>
        <v>0</v>
      </c>
      <c r="P69" s="377">
        <f t="shared" si="11"/>
        <v>0</v>
      </c>
      <c r="Q69" s="755">
        <v>1</v>
      </c>
      <c r="R69" s="378" t="str">
        <f t="shared" si="12"/>
        <v>L</v>
      </c>
      <c r="S69" s="379"/>
      <c r="T69" s="379"/>
      <c r="U69" s="756">
        <f t="shared" si="13"/>
        <v>2900</v>
      </c>
    </row>
    <row r="70" spans="1:21" ht="14.1" customHeight="1">
      <c r="A70" s="559">
        <v>70</v>
      </c>
      <c r="B70" s="372" t="s">
        <v>322</v>
      </c>
      <c r="C70" s="552" t="s">
        <v>516</v>
      </c>
      <c r="D70" s="757">
        <f>VLOOKUP(B70,Locatieoverzicht!$A$14:$E$21,5,FALSE)</f>
        <v>1</v>
      </c>
      <c r="E70" s="373">
        <v>1</v>
      </c>
      <c r="F70" s="549" t="s">
        <v>384</v>
      </c>
      <c r="G70" s="550" t="s">
        <v>400</v>
      </c>
      <c r="H70" s="374" t="str">
        <f t="shared" si="8"/>
        <v>Sanitaire ruimten</v>
      </c>
      <c r="I70" s="375"/>
      <c r="J70" s="561">
        <v>5.3</v>
      </c>
      <c r="K70" s="612">
        <v>2200</v>
      </c>
      <c r="L70" s="376">
        <f t="shared" si="9"/>
        <v>200</v>
      </c>
      <c r="M70" s="377">
        <f t="shared" si="6"/>
        <v>0</v>
      </c>
      <c r="N70" s="377">
        <f t="shared" si="7"/>
        <v>0</v>
      </c>
      <c r="O70" s="377">
        <f t="shared" si="10"/>
        <v>0</v>
      </c>
      <c r="P70" s="377">
        <f t="shared" si="11"/>
        <v>0</v>
      </c>
      <c r="Q70" s="755">
        <v>1</v>
      </c>
      <c r="R70" s="378" t="str">
        <f t="shared" si="12"/>
        <v>S</v>
      </c>
      <c r="S70" s="379"/>
      <c r="T70" s="379"/>
      <c r="U70" s="756">
        <f t="shared" si="13"/>
        <v>1060</v>
      </c>
    </row>
    <row r="71" spans="1:21" ht="14.1" customHeight="1">
      <c r="A71" s="559">
        <v>71</v>
      </c>
      <c r="B71" s="372" t="s">
        <v>322</v>
      </c>
      <c r="C71" s="552" t="s">
        <v>516</v>
      </c>
      <c r="D71" s="757">
        <f>VLOOKUP(B71,Locatieoverzicht!$A$14:$E$21,5,FALSE)</f>
        <v>1</v>
      </c>
      <c r="E71" s="373">
        <v>1</v>
      </c>
      <c r="F71" s="549" t="s">
        <v>385</v>
      </c>
      <c r="G71" s="550" t="s">
        <v>401</v>
      </c>
      <c r="H71" s="374" t="str">
        <f t="shared" si="8"/>
        <v>Leslokaal regulier</v>
      </c>
      <c r="I71" s="375"/>
      <c r="J71" s="561">
        <v>72.5</v>
      </c>
      <c r="K71" s="612">
        <v>8040</v>
      </c>
      <c r="L71" s="376">
        <f t="shared" si="9"/>
        <v>40</v>
      </c>
      <c r="M71" s="377">
        <f t="shared" si="6"/>
        <v>0</v>
      </c>
      <c r="N71" s="377">
        <f t="shared" si="7"/>
        <v>0</v>
      </c>
      <c r="O71" s="377">
        <f t="shared" si="10"/>
        <v>0</v>
      </c>
      <c r="P71" s="377">
        <f t="shared" si="11"/>
        <v>0</v>
      </c>
      <c r="Q71" s="755">
        <v>1</v>
      </c>
      <c r="R71" s="378" t="str">
        <f t="shared" si="12"/>
        <v>L</v>
      </c>
      <c r="S71" s="379"/>
      <c r="T71" s="379"/>
      <c r="U71" s="756">
        <f t="shared" si="13"/>
        <v>2900</v>
      </c>
    </row>
    <row r="72" spans="1:21" ht="14.1" customHeight="1">
      <c r="A72" s="559">
        <v>72</v>
      </c>
      <c r="B72" s="372" t="s">
        <v>322</v>
      </c>
      <c r="C72" s="552" t="s">
        <v>516</v>
      </c>
      <c r="D72" s="757">
        <f>VLOOKUP(B72,Locatieoverzicht!$A$14:$E$21,5,FALSE)</f>
        <v>1</v>
      </c>
      <c r="E72" s="373">
        <v>1</v>
      </c>
      <c r="F72" s="549" t="s">
        <v>386</v>
      </c>
      <c r="G72" s="550" t="s">
        <v>400</v>
      </c>
      <c r="H72" s="374" t="str">
        <f t="shared" si="8"/>
        <v>Sanitaire ruimten</v>
      </c>
      <c r="I72" s="375"/>
      <c r="J72" s="561">
        <v>5.3</v>
      </c>
      <c r="K72" s="612">
        <v>2200</v>
      </c>
      <c r="L72" s="376">
        <f t="shared" si="9"/>
        <v>200</v>
      </c>
      <c r="M72" s="377">
        <f t="shared" si="6"/>
        <v>0</v>
      </c>
      <c r="N72" s="377">
        <f t="shared" si="7"/>
        <v>0</v>
      </c>
      <c r="O72" s="377">
        <f t="shared" si="10"/>
        <v>0</v>
      </c>
      <c r="P72" s="377">
        <f t="shared" si="11"/>
        <v>0</v>
      </c>
      <c r="Q72" s="755">
        <v>1</v>
      </c>
      <c r="R72" s="378" t="str">
        <f t="shared" si="12"/>
        <v>S</v>
      </c>
      <c r="S72" s="379"/>
      <c r="T72" s="379"/>
      <c r="U72" s="756">
        <f t="shared" si="13"/>
        <v>1060</v>
      </c>
    </row>
    <row r="73" spans="1:21" ht="14.1" customHeight="1">
      <c r="A73" s="559">
        <v>73</v>
      </c>
      <c r="B73" s="372" t="s">
        <v>322</v>
      </c>
      <c r="C73" s="552" t="s">
        <v>516</v>
      </c>
      <c r="D73" s="757">
        <f>VLOOKUP(B73,Locatieoverzicht!$A$14:$E$21,5,FALSE)</f>
        <v>1</v>
      </c>
      <c r="E73" s="373">
        <v>1</v>
      </c>
      <c r="F73" s="549" t="s">
        <v>387</v>
      </c>
      <c r="G73" s="550" t="s">
        <v>400</v>
      </c>
      <c r="H73" s="374" t="str">
        <f t="shared" si="8"/>
        <v>Sanitaire ruimten</v>
      </c>
      <c r="I73" s="375"/>
      <c r="J73" s="561">
        <v>5.3</v>
      </c>
      <c r="K73" s="612">
        <v>2200</v>
      </c>
      <c r="L73" s="376">
        <f t="shared" si="9"/>
        <v>200</v>
      </c>
      <c r="M73" s="377">
        <f t="shared" si="6"/>
        <v>0</v>
      </c>
      <c r="N73" s="377">
        <f t="shared" si="7"/>
        <v>0</v>
      </c>
      <c r="O73" s="377">
        <f t="shared" si="10"/>
        <v>0</v>
      </c>
      <c r="P73" s="377">
        <f t="shared" si="11"/>
        <v>0</v>
      </c>
      <c r="Q73" s="755">
        <v>1</v>
      </c>
      <c r="R73" s="378" t="str">
        <f t="shared" si="12"/>
        <v>S</v>
      </c>
      <c r="S73" s="379"/>
      <c r="T73" s="379"/>
      <c r="U73" s="756">
        <f t="shared" si="13"/>
        <v>1060</v>
      </c>
    </row>
    <row r="74" spans="1:21" ht="14.1" customHeight="1">
      <c r="A74" s="559">
        <v>74</v>
      </c>
      <c r="B74" s="372" t="s">
        <v>322</v>
      </c>
      <c r="C74" s="552" t="s">
        <v>516</v>
      </c>
      <c r="D74" s="757">
        <f>VLOOKUP(B74,Locatieoverzicht!$A$14:$E$21,5,FALSE)</f>
        <v>1</v>
      </c>
      <c r="E74" s="373">
        <v>1</v>
      </c>
      <c r="F74" s="549" t="s">
        <v>388</v>
      </c>
      <c r="G74" s="550" t="s">
        <v>398</v>
      </c>
      <c r="H74" s="374" t="str">
        <f t="shared" si="8"/>
        <v>Gangen en hallen</v>
      </c>
      <c r="I74" s="375"/>
      <c r="J74" s="561">
        <v>4.9000000000000004</v>
      </c>
      <c r="K74" s="612">
        <v>3200</v>
      </c>
      <c r="L74" s="376">
        <f t="shared" si="9"/>
        <v>200</v>
      </c>
      <c r="M74" s="377">
        <f t="shared" si="6"/>
        <v>0</v>
      </c>
      <c r="N74" s="377">
        <f t="shared" si="7"/>
        <v>0</v>
      </c>
      <c r="O74" s="377">
        <f t="shared" si="10"/>
        <v>0</v>
      </c>
      <c r="P74" s="377">
        <f t="shared" si="11"/>
        <v>0</v>
      </c>
      <c r="Q74" s="755">
        <v>1</v>
      </c>
      <c r="R74" s="378" t="str">
        <f t="shared" si="12"/>
        <v>V</v>
      </c>
      <c r="S74" s="379"/>
      <c r="T74" s="379"/>
      <c r="U74" s="756">
        <f t="shared" si="13"/>
        <v>980.00000000000011</v>
      </c>
    </row>
    <row r="75" spans="1:21" ht="14.1" customHeight="1">
      <c r="A75" s="559">
        <v>75</v>
      </c>
      <c r="B75" s="372" t="s">
        <v>322</v>
      </c>
      <c r="C75" s="552" t="s">
        <v>516</v>
      </c>
      <c r="D75" s="757">
        <f>VLOOKUP(B75,Locatieoverzicht!$A$14:$E$21,5,FALSE)</f>
        <v>1</v>
      </c>
      <c r="E75" s="373">
        <v>1</v>
      </c>
      <c r="F75" s="549" t="s">
        <v>389</v>
      </c>
      <c r="G75" s="550" t="s">
        <v>402</v>
      </c>
      <c r="H75" s="374" t="str">
        <f t="shared" si="8"/>
        <v>Administratieve ruimten</v>
      </c>
      <c r="I75" s="375"/>
      <c r="J75" s="561">
        <v>10.199999999999999</v>
      </c>
      <c r="K75" s="612">
        <v>1040</v>
      </c>
      <c r="L75" s="376">
        <f t="shared" si="9"/>
        <v>40</v>
      </c>
      <c r="M75" s="377">
        <f t="shared" ref="M75:M138" si="14">O75*J75*Q75</f>
        <v>0</v>
      </c>
      <c r="N75" s="377">
        <f t="shared" ref="N75:N138" si="15">P75*J75*Q75</f>
        <v>0</v>
      </c>
      <c r="O75" s="377">
        <f t="shared" si="10"/>
        <v>0</v>
      </c>
      <c r="P75" s="377">
        <f t="shared" si="11"/>
        <v>0</v>
      </c>
      <c r="Q75" s="755">
        <v>1</v>
      </c>
      <c r="R75" s="378" t="str">
        <f t="shared" si="12"/>
        <v>B</v>
      </c>
      <c r="S75" s="379"/>
      <c r="T75" s="379"/>
      <c r="U75" s="756">
        <f t="shared" si="13"/>
        <v>408</v>
      </c>
    </row>
    <row r="76" spans="1:21" ht="14.1" customHeight="1">
      <c r="A76" s="559">
        <v>76</v>
      </c>
      <c r="B76" s="372" t="s">
        <v>322</v>
      </c>
      <c r="C76" s="552" t="s">
        <v>516</v>
      </c>
      <c r="D76" s="757">
        <f>VLOOKUP(B76,Locatieoverzicht!$A$14:$E$21,5,FALSE)</f>
        <v>1</v>
      </c>
      <c r="E76" s="373">
        <v>1</v>
      </c>
      <c r="F76" s="549" t="s">
        <v>390</v>
      </c>
      <c r="G76" s="550" t="s">
        <v>398</v>
      </c>
      <c r="H76" s="374" t="str">
        <f t="shared" ref="H76:H83" si="16">IF($K76="",0,VLOOKUP($K76,Kengetal,3,FALSE))</f>
        <v>Gangen en hallen</v>
      </c>
      <c r="I76" s="375"/>
      <c r="J76" s="561">
        <v>28.1</v>
      </c>
      <c r="K76" s="612">
        <v>3200</v>
      </c>
      <c r="L76" s="376">
        <f t="shared" ref="L76:L83" si="17">SUM(IF(K76="",0,VLOOKUP(K76,Kengetal,2)))</f>
        <v>200</v>
      </c>
      <c r="M76" s="377">
        <f t="shared" si="14"/>
        <v>0</v>
      </c>
      <c r="N76" s="377">
        <f t="shared" si="15"/>
        <v>0</v>
      </c>
      <c r="O76" s="377">
        <f t="shared" ref="O76:O83" si="18">IF($K76="",0,VLOOKUP($K76,Kengetal,5,FALSE))</f>
        <v>0</v>
      </c>
      <c r="P76" s="377">
        <f t="shared" ref="P76:P83" si="19">IF($K76="",0,VLOOKUP($K76,Kengetal,6,FALSE))</f>
        <v>0</v>
      </c>
      <c r="Q76" s="755">
        <v>1</v>
      </c>
      <c r="R76" s="378" t="str">
        <f t="shared" ref="R76:R83" si="20">IF(K76="","",VLOOKUP(K76,Kengetal,11,FALSE))</f>
        <v>V</v>
      </c>
      <c r="S76" s="379"/>
      <c r="T76" s="379"/>
      <c r="U76" s="756">
        <f t="shared" ref="U76:U83" si="21">J76*L76</f>
        <v>5620</v>
      </c>
    </row>
    <row r="77" spans="1:21" ht="14.1" customHeight="1">
      <c r="A77" s="559">
        <v>77</v>
      </c>
      <c r="B77" s="372" t="s">
        <v>322</v>
      </c>
      <c r="C77" s="552" t="s">
        <v>516</v>
      </c>
      <c r="D77" s="757">
        <f>VLOOKUP(B77,Locatieoverzicht!$A$14:$E$21,5,FALSE)</f>
        <v>1</v>
      </c>
      <c r="E77" s="373">
        <v>1</v>
      </c>
      <c r="F77" s="549" t="s">
        <v>391</v>
      </c>
      <c r="G77" s="550" t="s">
        <v>326</v>
      </c>
      <c r="H77" s="374" t="str">
        <f t="shared" si="16"/>
        <v>Niet van toepassing</v>
      </c>
      <c r="I77" s="375"/>
      <c r="J77" s="561">
        <v>10.1</v>
      </c>
      <c r="K77" s="612" t="s">
        <v>239</v>
      </c>
      <c r="L77" s="376">
        <f t="shared" si="17"/>
        <v>0</v>
      </c>
      <c r="M77" s="377">
        <f t="shared" si="14"/>
        <v>0</v>
      </c>
      <c r="N77" s="377">
        <f t="shared" si="15"/>
        <v>0</v>
      </c>
      <c r="O77" s="377">
        <f t="shared" si="18"/>
        <v>0</v>
      </c>
      <c r="P77" s="377">
        <f t="shared" si="19"/>
        <v>0</v>
      </c>
      <c r="Q77" s="755">
        <v>1</v>
      </c>
      <c r="R77" s="378">
        <f t="shared" si="20"/>
        <v>0</v>
      </c>
      <c r="S77" s="379"/>
      <c r="T77" s="379"/>
      <c r="U77" s="756">
        <f t="shared" si="21"/>
        <v>0</v>
      </c>
    </row>
    <row r="78" spans="1:21" ht="14.1" customHeight="1">
      <c r="A78" s="559">
        <v>78</v>
      </c>
      <c r="B78" s="372" t="s">
        <v>322</v>
      </c>
      <c r="C78" s="552" t="s">
        <v>516</v>
      </c>
      <c r="D78" s="757">
        <f>VLOOKUP(B78,Locatieoverzicht!$A$14:$E$21,5,FALSE)</f>
        <v>1</v>
      </c>
      <c r="E78" s="373">
        <v>1</v>
      </c>
      <c r="F78" s="549" t="s">
        <v>392</v>
      </c>
      <c r="G78" s="550" t="s">
        <v>400</v>
      </c>
      <c r="H78" s="374" t="str">
        <f t="shared" si="16"/>
        <v>Sanitaire ruimten</v>
      </c>
      <c r="I78" s="375"/>
      <c r="J78" s="561">
        <v>1.1000000000000001</v>
      </c>
      <c r="K78" s="612">
        <v>2200</v>
      </c>
      <c r="L78" s="376">
        <f t="shared" si="17"/>
        <v>200</v>
      </c>
      <c r="M78" s="377">
        <f t="shared" si="14"/>
        <v>0</v>
      </c>
      <c r="N78" s="377">
        <f t="shared" si="15"/>
        <v>0</v>
      </c>
      <c r="O78" s="377">
        <f t="shared" si="18"/>
        <v>0</v>
      </c>
      <c r="P78" s="377">
        <f t="shared" si="19"/>
        <v>0</v>
      </c>
      <c r="Q78" s="755">
        <v>1</v>
      </c>
      <c r="R78" s="378" t="str">
        <f t="shared" si="20"/>
        <v>S</v>
      </c>
      <c r="S78" s="379"/>
      <c r="T78" s="379"/>
      <c r="U78" s="756">
        <f t="shared" si="21"/>
        <v>220.00000000000003</v>
      </c>
    </row>
    <row r="79" spans="1:21" ht="14.1" customHeight="1">
      <c r="A79" s="559">
        <v>79</v>
      </c>
      <c r="B79" s="372" t="s">
        <v>322</v>
      </c>
      <c r="C79" s="552" t="s">
        <v>516</v>
      </c>
      <c r="D79" s="757">
        <f>VLOOKUP(B79,Locatieoverzicht!$A$14:$E$21,5,FALSE)</f>
        <v>1</v>
      </c>
      <c r="E79" s="373">
        <v>1</v>
      </c>
      <c r="F79" s="549" t="s">
        <v>393</v>
      </c>
      <c r="G79" s="550" t="s">
        <v>398</v>
      </c>
      <c r="H79" s="374" t="str">
        <f t="shared" si="16"/>
        <v>Gangen en hallen</v>
      </c>
      <c r="I79" s="375"/>
      <c r="J79" s="561">
        <v>31</v>
      </c>
      <c r="K79" s="612">
        <v>3200</v>
      </c>
      <c r="L79" s="376">
        <f t="shared" si="17"/>
        <v>200</v>
      </c>
      <c r="M79" s="377">
        <f t="shared" si="14"/>
        <v>0</v>
      </c>
      <c r="N79" s="377">
        <f t="shared" si="15"/>
        <v>0</v>
      </c>
      <c r="O79" s="377">
        <f t="shared" si="18"/>
        <v>0</v>
      </c>
      <c r="P79" s="377">
        <f t="shared" si="19"/>
        <v>0</v>
      </c>
      <c r="Q79" s="755">
        <v>1</v>
      </c>
      <c r="R79" s="378" t="str">
        <f t="shared" si="20"/>
        <v>V</v>
      </c>
      <c r="S79" s="379"/>
      <c r="T79" s="379"/>
      <c r="U79" s="756">
        <f t="shared" si="21"/>
        <v>6200</v>
      </c>
    </row>
    <row r="80" spans="1:21" ht="14.1" customHeight="1">
      <c r="A80" s="559">
        <v>80</v>
      </c>
      <c r="B80" s="372" t="s">
        <v>322</v>
      </c>
      <c r="C80" s="552" t="s">
        <v>516</v>
      </c>
      <c r="D80" s="757">
        <f>VLOOKUP(B80,Locatieoverzicht!$A$14:$E$21,5,FALSE)</f>
        <v>1</v>
      </c>
      <c r="E80" s="373">
        <v>1</v>
      </c>
      <c r="F80" s="549" t="s">
        <v>394</v>
      </c>
      <c r="G80" s="550" t="s">
        <v>326</v>
      </c>
      <c r="H80" s="374" t="str">
        <f t="shared" si="16"/>
        <v>Niet van toepassing</v>
      </c>
      <c r="I80" s="375"/>
      <c r="J80" s="561">
        <v>0.92</v>
      </c>
      <c r="K80" s="612" t="s">
        <v>239</v>
      </c>
      <c r="L80" s="376">
        <f t="shared" si="17"/>
        <v>0</v>
      </c>
      <c r="M80" s="377">
        <f t="shared" si="14"/>
        <v>0</v>
      </c>
      <c r="N80" s="377">
        <f t="shared" si="15"/>
        <v>0</v>
      </c>
      <c r="O80" s="377">
        <f t="shared" si="18"/>
        <v>0</v>
      </c>
      <c r="P80" s="377">
        <f t="shared" si="19"/>
        <v>0</v>
      </c>
      <c r="Q80" s="755">
        <v>1</v>
      </c>
      <c r="R80" s="378">
        <f t="shared" si="20"/>
        <v>0</v>
      </c>
      <c r="S80" s="379"/>
      <c r="T80" s="379"/>
      <c r="U80" s="756">
        <f t="shared" si="21"/>
        <v>0</v>
      </c>
    </row>
    <row r="81" spans="1:21" ht="14.1" customHeight="1">
      <c r="A81" s="559">
        <v>81</v>
      </c>
      <c r="B81" s="372" t="s">
        <v>322</v>
      </c>
      <c r="C81" s="552" t="s">
        <v>516</v>
      </c>
      <c r="D81" s="757">
        <f>VLOOKUP(B81,Locatieoverzicht!$A$14:$E$21,5,FALSE)</f>
        <v>1</v>
      </c>
      <c r="E81" s="373">
        <v>1</v>
      </c>
      <c r="F81" s="549" t="s">
        <v>395</v>
      </c>
      <c r="G81" s="550" t="s">
        <v>326</v>
      </c>
      <c r="H81" s="374" t="str">
        <f t="shared" si="16"/>
        <v>Niet van toepassing</v>
      </c>
      <c r="I81" s="375"/>
      <c r="J81" s="561">
        <v>0.92</v>
      </c>
      <c r="K81" s="612" t="s">
        <v>239</v>
      </c>
      <c r="L81" s="376">
        <f t="shared" si="17"/>
        <v>0</v>
      </c>
      <c r="M81" s="377">
        <f t="shared" si="14"/>
        <v>0</v>
      </c>
      <c r="N81" s="377">
        <f t="shared" si="15"/>
        <v>0</v>
      </c>
      <c r="O81" s="377">
        <f t="shared" si="18"/>
        <v>0</v>
      </c>
      <c r="P81" s="377">
        <f t="shared" si="19"/>
        <v>0</v>
      </c>
      <c r="Q81" s="755">
        <v>1</v>
      </c>
      <c r="R81" s="378">
        <f t="shared" si="20"/>
        <v>0</v>
      </c>
      <c r="S81" s="379"/>
      <c r="T81" s="379"/>
      <c r="U81" s="756">
        <f t="shared" si="21"/>
        <v>0</v>
      </c>
    </row>
    <row r="82" spans="1:21" ht="14.1" customHeight="1">
      <c r="A82" s="559">
        <v>82</v>
      </c>
      <c r="B82" s="372" t="s">
        <v>322</v>
      </c>
      <c r="C82" s="552" t="s">
        <v>516</v>
      </c>
      <c r="D82" s="757">
        <f>VLOOKUP(B82,Locatieoverzicht!$A$14:$E$21,5,FALSE)</f>
        <v>1</v>
      </c>
      <c r="E82" s="373">
        <v>1</v>
      </c>
      <c r="F82" s="549" t="s">
        <v>396</v>
      </c>
      <c r="G82" s="550" t="s">
        <v>400</v>
      </c>
      <c r="H82" s="374" t="str">
        <f t="shared" si="16"/>
        <v>Sanitaire ruimten</v>
      </c>
      <c r="I82" s="375"/>
      <c r="J82" s="561">
        <v>1.1499999999999999</v>
      </c>
      <c r="K82" s="612">
        <v>2200</v>
      </c>
      <c r="L82" s="376">
        <f t="shared" si="17"/>
        <v>200</v>
      </c>
      <c r="M82" s="377">
        <f t="shared" si="14"/>
        <v>0</v>
      </c>
      <c r="N82" s="377">
        <f t="shared" si="15"/>
        <v>0</v>
      </c>
      <c r="O82" s="377">
        <f t="shared" si="18"/>
        <v>0</v>
      </c>
      <c r="P82" s="377">
        <f t="shared" si="19"/>
        <v>0</v>
      </c>
      <c r="Q82" s="755">
        <v>1</v>
      </c>
      <c r="R82" s="378" t="str">
        <f t="shared" si="20"/>
        <v>S</v>
      </c>
      <c r="S82" s="379"/>
      <c r="T82" s="379"/>
      <c r="U82" s="756">
        <f t="shared" si="21"/>
        <v>229.99999999999997</v>
      </c>
    </row>
    <row r="83" spans="1:21" ht="14.1" customHeight="1">
      <c r="A83" s="559">
        <v>83</v>
      </c>
      <c r="B83" s="372" t="s">
        <v>322</v>
      </c>
      <c r="C83" s="552" t="s">
        <v>516</v>
      </c>
      <c r="D83" s="757">
        <f>VLOOKUP(B83,Locatieoverzicht!$A$14:$E$21,5,FALSE)</f>
        <v>1</v>
      </c>
      <c r="E83" s="603">
        <v>1</v>
      </c>
      <c r="F83" s="602" t="s">
        <v>397</v>
      </c>
      <c r="G83" s="550" t="s">
        <v>405</v>
      </c>
      <c r="H83" s="374" t="str">
        <f t="shared" si="16"/>
        <v>Niet van toepassing</v>
      </c>
      <c r="I83" s="375"/>
      <c r="J83" s="561">
        <v>8.4</v>
      </c>
      <c r="K83" s="612" t="s">
        <v>239</v>
      </c>
      <c r="L83" s="376">
        <f t="shared" si="17"/>
        <v>0</v>
      </c>
      <c r="M83" s="377">
        <f t="shared" si="14"/>
        <v>0</v>
      </c>
      <c r="N83" s="377">
        <f t="shared" si="15"/>
        <v>0</v>
      </c>
      <c r="O83" s="377">
        <f t="shared" si="18"/>
        <v>0</v>
      </c>
      <c r="P83" s="377">
        <f t="shared" si="19"/>
        <v>0</v>
      </c>
      <c r="Q83" s="755">
        <v>1</v>
      </c>
      <c r="R83" s="378">
        <f t="shared" si="20"/>
        <v>0</v>
      </c>
      <c r="S83" s="379"/>
      <c r="T83" s="379"/>
      <c r="U83" s="756">
        <f t="shared" si="21"/>
        <v>0</v>
      </c>
    </row>
    <row r="84" spans="1:21" ht="14.1" customHeight="1">
      <c r="A84" s="559">
        <v>84</v>
      </c>
      <c r="B84" s="551" t="s">
        <v>523</v>
      </c>
      <c r="C84" s="552" t="s">
        <v>524</v>
      </c>
      <c r="D84" s="757">
        <f>VLOOKUP(B84,Locatieoverzicht!$A$14:$E$21,5,FALSE)</f>
        <v>1</v>
      </c>
      <c r="E84" s="380">
        <v>-1</v>
      </c>
      <c r="F84" s="556" t="s">
        <v>324</v>
      </c>
      <c r="G84" s="555" t="s">
        <v>522</v>
      </c>
      <c r="H84" s="374" t="str">
        <f t="shared" ref="H84:H121" si="22">IF($K84="",0,VLOOKUP($K84,Kengetal,3,FALSE))</f>
        <v>Niet van toepassing</v>
      </c>
      <c r="I84" s="375" t="s">
        <v>616</v>
      </c>
      <c r="J84" s="561">
        <v>11.25</v>
      </c>
      <c r="K84" s="612" t="s">
        <v>239</v>
      </c>
      <c r="L84" s="376">
        <f t="shared" ref="L84:L121" si="23">SUM(IF(K84="",0,VLOOKUP(K84,Kengetal,2)))</f>
        <v>0</v>
      </c>
      <c r="M84" s="377">
        <f t="shared" si="14"/>
        <v>0</v>
      </c>
      <c r="N84" s="377">
        <f t="shared" si="15"/>
        <v>0</v>
      </c>
      <c r="O84" s="377">
        <f t="shared" ref="O84:O121" si="24">IF($K84="",0,VLOOKUP($K84,Kengetal,5,FALSE))</f>
        <v>0</v>
      </c>
      <c r="P84" s="377">
        <f t="shared" ref="P84:P121" si="25">IF($K84="",0,VLOOKUP($K84,Kengetal,6,FALSE))</f>
        <v>0</v>
      </c>
      <c r="Q84" s="755">
        <v>1</v>
      </c>
      <c r="R84" s="378">
        <f t="shared" ref="R84:R119" si="26">IF(K84="","",VLOOKUP(K84,Kengetal,11,FALSE))</f>
        <v>0</v>
      </c>
      <c r="S84" s="379"/>
      <c r="T84" s="379"/>
      <c r="U84" s="756">
        <f t="shared" ref="U84:U119" si="27">J84*L84</f>
        <v>0</v>
      </c>
    </row>
    <row r="85" spans="1:21" ht="14.1" customHeight="1">
      <c r="A85" s="559">
        <v>85</v>
      </c>
      <c r="B85" s="551" t="s">
        <v>523</v>
      </c>
      <c r="C85" s="552" t="s">
        <v>524</v>
      </c>
      <c r="D85" s="757">
        <f>VLOOKUP(B85,Locatieoverzicht!$A$14:$E$21,5,FALSE)</f>
        <v>1</v>
      </c>
      <c r="E85" s="380">
        <v>-1</v>
      </c>
      <c r="F85" s="556" t="s">
        <v>557</v>
      </c>
      <c r="G85" s="555" t="s">
        <v>550</v>
      </c>
      <c r="H85" s="374" t="str">
        <f t="shared" si="22"/>
        <v>Trappenhuizen</v>
      </c>
      <c r="I85" s="375" t="s">
        <v>616</v>
      </c>
      <c r="J85" s="561">
        <v>3.75</v>
      </c>
      <c r="K85" s="612">
        <v>5200</v>
      </c>
      <c r="L85" s="376">
        <f t="shared" si="23"/>
        <v>200</v>
      </c>
      <c r="M85" s="377">
        <f t="shared" si="14"/>
        <v>0</v>
      </c>
      <c r="N85" s="377">
        <f t="shared" si="15"/>
        <v>0</v>
      </c>
      <c r="O85" s="377">
        <f t="shared" si="24"/>
        <v>0</v>
      </c>
      <c r="P85" s="377">
        <f t="shared" si="25"/>
        <v>0</v>
      </c>
      <c r="Q85" s="755">
        <v>1</v>
      </c>
      <c r="R85" s="378" t="str">
        <f t="shared" si="26"/>
        <v>V</v>
      </c>
      <c r="S85" s="379"/>
      <c r="T85" s="379"/>
      <c r="U85" s="756">
        <f t="shared" si="27"/>
        <v>750</v>
      </c>
    </row>
    <row r="86" spans="1:21" ht="14.1" customHeight="1">
      <c r="A86" s="559">
        <v>86</v>
      </c>
      <c r="B86" s="551" t="s">
        <v>523</v>
      </c>
      <c r="C86" s="552" t="s">
        <v>524</v>
      </c>
      <c r="D86" s="757">
        <f>VLOOKUP(B86,Locatieoverzicht!$A$14:$E$21,5,FALSE)</f>
        <v>1</v>
      </c>
      <c r="E86" s="604">
        <v>-1</v>
      </c>
      <c r="F86" s="556" t="s">
        <v>325</v>
      </c>
      <c r="G86" s="555" t="s">
        <v>405</v>
      </c>
      <c r="H86" s="374" t="str">
        <f t="shared" si="22"/>
        <v>Niet van toepassing</v>
      </c>
      <c r="I86" s="375" t="s">
        <v>616</v>
      </c>
      <c r="J86" s="561">
        <v>14</v>
      </c>
      <c r="K86" s="612" t="s">
        <v>239</v>
      </c>
      <c r="L86" s="376">
        <f t="shared" si="23"/>
        <v>0</v>
      </c>
      <c r="M86" s="377">
        <f t="shared" si="14"/>
        <v>0</v>
      </c>
      <c r="N86" s="377">
        <f t="shared" si="15"/>
        <v>0</v>
      </c>
      <c r="O86" s="377">
        <f t="shared" si="24"/>
        <v>0</v>
      </c>
      <c r="P86" s="377">
        <f t="shared" si="25"/>
        <v>0</v>
      </c>
      <c r="Q86" s="755">
        <v>1</v>
      </c>
      <c r="R86" s="378">
        <f t="shared" si="26"/>
        <v>0</v>
      </c>
      <c r="S86" s="379"/>
      <c r="T86" s="379"/>
      <c r="U86" s="756">
        <f t="shared" si="27"/>
        <v>0</v>
      </c>
    </row>
    <row r="87" spans="1:21" ht="14.1" customHeight="1">
      <c r="A87" s="559">
        <v>87</v>
      </c>
      <c r="B87" s="551" t="s">
        <v>523</v>
      </c>
      <c r="C87" s="552" t="s">
        <v>524</v>
      </c>
      <c r="D87" s="757">
        <f>VLOOKUP(B87,Locatieoverzicht!$A$14:$E$21,5,FALSE)</f>
        <v>1</v>
      </c>
      <c r="E87" s="380">
        <v>0</v>
      </c>
      <c r="F87" s="556" t="s">
        <v>327</v>
      </c>
      <c r="G87" s="555" t="s">
        <v>398</v>
      </c>
      <c r="H87" s="374" t="str">
        <f t="shared" si="22"/>
        <v>Gangen en hallen</v>
      </c>
      <c r="I87" s="375" t="s">
        <v>614</v>
      </c>
      <c r="J87" s="561">
        <v>22</v>
      </c>
      <c r="K87" s="612">
        <v>3200</v>
      </c>
      <c r="L87" s="376">
        <f t="shared" si="23"/>
        <v>200</v>
      </c>
      <c r="M87" s="377">
        <f t="shared" si="14"/>
        <v>0</v>
      </c>
      <c r="N87" s="377">
        <f t="shared" si="15"/>
        <v>0</v>
      </c>
      <c r="O87" s="377">
        <f t="shared" si="24"/>
        <v>0</v>
      </c>
      <c r="P87" s="377">
        <f t="shared" si="25"/>
        <v>0</v>
      </c>
      <c r="Q87" s="755">
        <v>1</v>
      </c>
      <c r="R87" s="378" t="str">
        <f t="shared" si="26"/>
        <v>V</v>
      </c>
      <c r="S87" s="379"/>
      <c r="T87" s="379"/>
      <c r="U87" s="756">
        <f t="shared" si="27"/>
        <v>4400</v>
      </c>
    </row>
    <row r="88" spans="1:21" ht="14.1" customHeight="1">
      <c r="A88" s="559">
        <v>88</v>
      </c>
      <c r="B88" s="551" t="s">
        <v>523</v>
      </c>
      <c r="C88" s="552" t="s">
        <v>524</v>
      </c>
      <c r="D88" s="757">
        <f>VLOOKUP(B88,Locatieoverzicht!$A$14:$E$21,5,FALSE)</f>
        <v>1</v>
      </c>
      <c r="E88" s="380">
        <v>0</v>
      </c>
      <c r="F88" s="556" t="s">
        <v>328</v>
      </c>
      <c r="G88" s="555" t="s">
        <v>400</v>
      </c>
      <c r="H88" s="374" t="str">
        <f t="shared" si="22"/>
        <v>Sanitaire ruimten</v>
      </c>
      <c r="I88" s="375" t="s">
        <v>614</v>
      </c>
      <c r="J88" s="561">
        <v>1</v>
      </c>
      <c r="K88" s="612">
        <v>2200</v>
      </c>
      <c r="L88" s="376">
        <f t="shared" si="23"/>
        <v>200</v>
      </c>
      <c r="M88" s="377">
        <f t="shared" si="14"/>
        <v>0</v>
      </c>
      <c r="N88" s="377">
        <f t="shared" si="15"/>
        <v>0</v>
      </c>
      <c r="O88" s="377">
        <f t="shared" si="24"/>
        <v>0</v>
      </c>
      <c r="P88" s="377">
        <f t="shared" si="25"/>
        <v>0</v>
      </c>
      <c r="Q88" s="755">
        <v>1</v>
      </c>
      <c r="R88" s="378" t="str">
        <f t="shared" si="26"/>
        <v>S</v>
      </c>
      <c r="S88" s="379"/>
      <c r="T88" s="379"/>
      <c r="U88" s="756">
        <f t="shared" si="27"/>
        <v>200</v>
      </c>
    </row>
    <row r="89" spans="1:21" ht="14.1" customHeight="1">
      <c r="A89" s="559">
        <v>89</v>
      </c>
      <c r="B89" s="551" t="s">
        <v>523</v>
      </c>
      <c r="C89" s="552" t="s">
        <v>524</v>
      </c>
      <c r="D89" s="757">
        <f>VLOOKUP(B89,Locatieoverzicht!$A$14:$E$21,5,FALSE)</f>
        <v>1</v>
      </c>
      <c r="E89" s="380">
        <v>0</v>
      </c>
      <c r="F89" s="556" t="s">
        <v>329</v>
      </c>
      <c r="G89" s="555" t="s">
        <v>398</v>
      </c>
      <c r="H89" s="374" t="str">
        <f t="shared" si="22"/>
        <v>Gangen en hallen</v>
      </c>
      <c r="I89" s="375" t="s">
        <v>614</v>
      </c>
      <c r="J89" s="561">
        <v>12.6</v>
      </c>
      <c r="K89" s="612">
        <v>3200</v>
      </c>
      <c r="L89" s="376">
        <f t="shared" si="23"/>
        <v>200</v>
      </c>
      <c r="M89" s="377">
        <f t="shared" si="14"/>
        <v>0</v>
      </c>
      <c r="N89" s="377">
        <f t="shared" si="15"/>
        <v>0</v>
      </c>
      <c r="O89" s="377">
        <f t="shared" si="24"/>
        <v>0</v>
      </c>
      <c r="P89" s="377">
        <f t="shared" si="25"/>
        <v>0</v>
      </c>
      <c r="Q89" s="755">
        <v>1</v>
      </c>
      <c r="R89" s="378" t="str">
        <f t="shared" si="26"/>
        <v>V</v>
      </c>
      <c r="S89" s="379"/>
      <c r="T89" s="379"/>
      <c r="U89" s="756">
        <f t="shared" si="27"/>
        <v>2520</v>
      </c>
    </row>
    <row r="90" spans="1:21" ht="14.1" customHeight="1">
      <c r="A90" s="559">
        <v>90</v>
      </c>
      <c r="B90" s="551" t="s">
        <v>523</v>
      </c>
      <c r="C90" s="552" t="s">
        <v>524</v>
      </c>
      <c r="D90" s="757">
        <f>VLOOKUP(B90,Locatieoverzicht!$A$14:$E$21,5,FALSE)</f>
        <v>1</v>
      </c>
      <c r="E90" s="380">
        <v>0</v>
      </c>
      <c r="F90" s="556" t="s">
        <v>560</v>
      </c>
      <c r="G90" s="555" t="s">
        <v>550</v>
      </c>
      <c r="H90" s="374" t="str">
        <f t="shared" si="22"/>
        <v>Trappenhuizen</v>
      </c>
      <c r="I90" s="375" t="s">
        <v>614</v>
      </c>
      <c r="J90" s="561">
        <v>5.1428571428571432</v>
      </c>
      <c r="K90" s="612">
        <v>5200</v>
      </c>
      <c r="L90" s="376">
        <f t="shared" si="23"/>
        <v>200</v>
      </c>
      <c r="M90" s="377">
        <f t="shared" si="14"/>
        <v>0</v>
      </c>
      <c r="N90" s="377">
        <f t="shared" si="15"/>
        <v>0</v>
      </c>
      <c r="O90" s="377">
        <f t="shared" si="24"/>
        <v>0</v>
      </c>
      <c r="P90" s="377">
        <f t="shared" si="25"/>
        <v>0</v>
      </c>
      <c r="Q90" s="755">
        <v>1</v>
      </c>
      <c r="R90" s="378" t="str">
        <f t="shared" si="26"/>
        <v>V</v>
      </c>
      <c r="S90" s="379"/>
      <c r="T90" s="379"/>
      <c r="U90" s="756">
        <f t="shared" si="27"/>
        <v>1028.5714285714287</v>
      </c>
    </row>
    <row r="91" spans="1:21" ht="14.1" customHeight="1">
      <c r="A91" s="559">
        <v>91</v>
      </c>
      <c r="B91" s="551" t="s">
        <v>523</v>
      </c>
      <c r="C91" s="552" t="s">
        <v>524</v>
      </c>
      <c r="D91" s="757">
        <f>VLOOKUP(B91,Locatieoverzicht!$A$14:$E$21,5,FALSE)</f>
        <v>1</v>
      </c>
      <c r="E91" s="604">
        <v>0</v>
      </c>
      <c r="F91" s="556" t="s">
        <v>330</v>
      </c>
      <c r="G91" s="555" t="s">
        <v>405</v>
      </c>
      <c r="H91" s="374" t="str">
        <f t="shared" si="22"/>
        <v>Niet van toepassing</v>
      </c>
      <c r="I91" s="375" t="s">
        <v>614</v>
      </c>
      <c r="J91" s="561">
        <v>10</v>
      </c>
      <c r="K91" s="612" t="s">
        <v>239</v>
      </c>
      <c r="L91" s="376">
        <f t="shared" si="23"/>
        <v>0</v>
      </c>
      <c r="M91" s="377">
        <f t="shared" si="14"/>
        <v>0</v>
      </c>
      <c r="N91" s="377">
        <f t="shared" si="15"/>
        <v>0</v>
      </c>
      <c r="O91" s="377">
        <f t="shared" si="24"/>
        <v>0</v>
      </c>
      <c r="P91" s="377">
        <f t="shared" si="25"/>
        <v>0</v>
      </c>
      <c r="Q91" s="755">
        <v>1</v>
      </c>
      <c r="R91" s="378">
        <f t="shared" si="26"/>
        <v>0</v>
      </c>
      <c r="S91" s="379"/>
      <c r="T91" s="379"/>
      <c r="U91" s="756">
        <f t="shared" si="27"/>
        <v>0</v>
      </c>
    </row>
    <row r="92" spans="1:21" ht="14.1" customHeight="1">
      <c r="A92" s="559">
        <v>92</v>
      </c>
      <c r="B92" s="551" t="s">
        <v>523</v>
      </c>
      <c r="C92" s="552" t="s">
        <v>524</v>
      </c>
      <c r="D92" s="757">
        <f>VLOOKUP(B92,Locatieoverzicht!$A$14:$E$21,5,FALSE)</f>
        <v>1</v>
      </c>
      <c r="E92" s="380">
        <v>0</v>
      </c>
      <c r="F92" s="556" t="s">
        <v>331</v>
      </c>
      <c r="G92" s="555" t="s">
        <v>522</v>
      </c>
      <c r="H92" s="374" t="str">
        <f t="shared" si="22"/>
        <v>Niet van toepassing</v>
      </c>
      <c r="I92" s="375" t="s">
        <v>614</v>
      </c>
      <c r="J92" s="561">
        <v>7</v>
      </c>
      <c r="K92" s="612" t="s">
        <v>239</v>
      </c>
      <c r="L92" s="376">
        <f t="shared" si="23"/>
        <v>0</v>
      </c>
      <c r="M92" s="377">
        <f t="shared" si="14"/>
        <v>0</v>
      </c>
      <c r="N92" s="377">
        <f t="shared" si="15"/>
        <v>0</v>
      </c>
      <c r="O92" s="377">
        <f t="shared" si="24"/>
        <v>0</v>
      </c>
      <c r="P92" s="377">
        <f t="shared" si="25"/>
        <v>0</v>
      </c>
      <c r="Q92" s="755">
        <v>1</v>
      </c>
      <c r="R92" s="378">
        <f t="shared" si="26"/>
        <v>0</v>
      </c>
      <c r="S92" s="379"/>
      <c r="T92" s="379"/>
      <c r="U92" s="756">
        <f t="shared" si="27"/>
        <v>0</v>
      </c>
    </row>
    <row r="93" spans="1:21" ht="14.1" customHeight="1">
      <c r="A93" s="559">
        <v>93</v>
      </c>
      <c r="B93" s="551" t="s">
        <v>523</v>
      </c>
      <c r="C93" s="552" t="s">
        <v>524</v>
      </c>
      <c r="D93" s="757">
        <f>VLOOKUP(B93,Locatieoverzicht!$A$14:$E$21,5,FALSE)</f>
        <v>1</v>
      </c>
      <c r="E93" s="380">
        <v>0</v>
      </c>
      <c r="F93" s="556" t="s">
        <v>332</v>
      </c>
      <c r="G93" s="555" t="s">
        <v>522</v>
      </c>
      <c r="H93" s="374" t="str">
        <f t="shared" si="22"/>
        <v>Niet van toepassing</v>
      </c>
      <c r="I93" s="375" t="s">
        <v>614</v>
      </c>
      <c r="J93" s="561">
        <v>2</v>
      </c>
      <c r="K93" s="612" t="s">
        <v>239</v>
      </c>
      <c r="L93" s="376">
        <f t="shared" si="23"/>
        <v>0</v>
      </c>
      <c r="M93" s="377">
        <f t="shared" si="14"/>
        <v>0</v>
      </c>
      <c r="N93" s="377">
        <f t="shared" si="15"/>
        <v>0</v>
      </c>
      <c r="O93" s="377">
        <f t="shared" si="24"/>
        <v>0</v>
      </c>
      <c r="P93" s="377">
        <f t="shared" si="25"/>
        <v>0</v>
      </c>
      <c r="Q93" s="755">
        <v>1</v>
      </c>
      <c r="R93" s="378">
        <f t="shared" si="26"/>
        <v>0</v>
      </c>
      <c r="S93" s="379"/>
      <c r="T93" s="379"/>
      <c r="U93" s="756">
        <f t="shared" si="27"/>
        <v>0</v>
      </c>
    </row>
    <row r="94" spans="1:21" ht="14.1" customHeight="1">
      <c r="A94" s="559">
        <v>94</v>
      </c>
      <c r="B94" s="551" t="s">
        <v>523</v>
      </c>
      <c r="C94" s="552" t="s">
        <v>524</v>
      </c>
      <c r="D94" s="757">
        <f>VLOOKUP(B94,Locatieoverzicht!$A$14:$E$21,5,FALSE)</f>
        <v>1</v>
      </c>
      <c r="E94" s="380">
        <v>0</v>
      </c>
      <c r="F94" s="556" t="s">
        <v>333</v>
      </c>
      <c r="G94" s="555" t="s">
        <v>398</v>
      </c>
      <c r="H94" s="374" t="str">
        <f t="shared" si="22"/>
        <v>Gangen en hallen</v>
      </c>
      <c r="I94" s="375" t="s">
        <v>614</v>
      </c>
      <c r="J94" s="561">
        <v>2</v>
      </c>
      <c r="K94" s="612">
        <v>3200</v>
      </c>
      <c r="L94" s="376">
        <f t="shared" si="23"/>
        <v>200</v>
      </c>
      <c r="M94" s="377">
        <f t="shared" si="14"/>
        <v>0</v>
      </c>
      <c r="N94" s="377">
        <f t="shared" si="15"/>
        <v>0</v>
      </c>
      <c r="O94" s="377">
        <f t="shared" si="24"/>
        <v>0</v>
      </c>
      <c r="P94" s="377">
        <f t="shared" si="25"/>
        <v>0</v>
      </c>
      <c r="Q94" s="755">
        <v>1</v>
      </c>
      <c r="R94" s="378" t="str">
        <f t="shared" si="26"/>
        <v>V</v>
      </c>
      <c r="S94" s="379"/>
      <c r="T94" s="379"/>
      <c r="U94" s="756">
        <f t="shared" si="27"/>
        <v>400</v>
      </c>
    </row>
    <row r="95" spans="1:21" ht="14.1" customHeight="1">
      <c r="A95" s="559">
        <v>95</v>
      </c>
      <c r="B95" s="551" t="s">
        <v>523</v>
      </c>
      <c r="C95" s="552" t="s">
        <v>524</v>
      </c>
      <c r="D95" s="757">
        <f>VLOOKUP(B95,Locatieoverzicht!$A$14:$E$21,5,FALSE)</f>
        <v>1</v>
      </c>
      <c r="E95" s="380">
        <v>0</v>
      </c>
      <c r="F95" s="556" t="s">
        <v>334</v>
      </c>
      <c r="G95" s="555" t="s">
        <v>402</v>
      </c>
      <c r="H95" s="374" t="str">
        <f t="shared" si="22"/>
        <v>Administratieve ruimten</v>
      </c>
      <c r="I95" s="375" t="s">
        <v>612</v>
      </c>
      <c r="J95" s="561">
        <v>12</v>
      </c>
      <c r="K95" s="612">
        <v>1040</v>
      </c>
      <c r="L95" s="376">
        <f t="shared" si="23"/>
        <v>40</v>
      </c>
      <c r="M95" s="377">
        <f t="shared" si="14"/>
        <v>0</v>
      </c>
      <c r="N95" s="377">
        <f t="shared" si="15"/>
        <v>0</v>
      </c>
      <c r="O95" s="377">
        <f t="shared" si="24"/>
        <v>0</v>
      </c>
      <c r="P95" s="377">
        <f t="shared" si="25"/>
        <v>0</v>
      </c>
      <c r="Q95" s="755">
        <v>1</v>
      </c>
      <c r="R95" s="378" t="str">
        <f t="shared" si="26"/>
        <v>B</v>
      </c>
      <c r="S95" s="379"/>
      <c r="T95" s="379"/>
      <c r="U95" s="756">
        <f t="shared" si="27"/>
        <v>480</v>
      </c>
    </row>
    <row r="96" spans="1:21" ht="14.1" customHeight="1">
      <c r="A96" s="559">
        <v>96</v>
      </c>
      <c r="B96" s="551" t="s">
        <v>523</v>
      </c>
      <c r="C96" s="552" t="s">
        <v>524</v>
      </c>
      <c r="D96" s="757">
        <f>VLOOKUP(B96,Locatieoverzicht!$A$14:$E$21,5,FALSE)</f>
        <v>1</v>
      </c>
      <c r="E96" s="380">
        <v>0</v>
      </c>
      <c r="F96" s="556" t="s">
        <v>335</v>
      </c>
      <c r="G96" s="555" t="s">
        <v>522</v>
      </c>
      <c r="H96" s="374" t="str">
        <f t="shared" si="22"/>
        <v>Niet van toepassing</v>
      </c>
      <c r="I96" s="375" t="s">
        <v>612</v>
      </c>
      <c r="J96" s="561">
        <v>5</v>
      </c>
      <c r="K96" s="612" t="s">
        <v>239</v>
      </c>
      <c r="L96" s="376">
        <f t="shared" si="23"/>
        <v>0</v>
      </c>
      <c r="M96" s="377">
        <f t="shared" si="14"/>
        <v>0</v>
      </c>
      <c r="N96" s="377">
        <f t="shared" si="15"/>
        <v>0</v>
      </c>
      <c r="O96" s="377">
        <f t="shared" si="24"/>
        <v>0</v>
      </c>
      <c r="P96" s="377">
        <f t="shared" si="25"/>
        <v>0</v>
      </c>
      <c r="Q96" s="755">
        <v>1</v>
      </c>
      <c r="R96" s="378">
        <f t="shared" si="26"/>
        <v>0</v>
      </c>
      <c r="S96" s="379"/>
      <c r="T96" s="379"/>
      <c r="U96" s="756">
        <f t="shared" si="27"/>
        <v>0</v>
      </c>
    </row>
    <row r="97" spans="1:21" ht="14.1" customHeight="1">
      <c r="A97" s="559">
        <v>97</v>
      </c>
      <c r="B97" s="551" t="s">
        <v>523</v>
      </c>
      <c r="C97" s="552" t="s">
        <v>524</v>
      </c>
      <c r="D97" s="757">
        <f>VLOOKUP(B97,Locatieoverzicht!$A$14:$E$21,5,FALSE)</f>
        <v>1</v>
      </c>
      <c r="E97" s="380">
        <v>0</v>
      </c>
      <c r="F97" s="556" t="s">
        <v>336</v>
      </c>
      <c r="G97" s="555" t="s">
        <v>402</v>
      </c>
      <c r="H97" s="374" t="str">
        <f t="shared" si="22"/>
        <v>Administratieve ruimten</v>
      </c>
      <c r="I97" s="375" t="s">
        <v>612</v>
      </c>
      <c r="J97" s="561">
        <v>13</v>
      </c>
      <c r="K97" s="612">
        <v>1040</v>
      </c>
      <c r="L97" s="376">
        <f t="shared" si="23"/>
        <v>40</v>
      </c>
      <c r="M97" s="377">
        <f t="shared" si="14"/>
        <v>0</v>
      </c>
      <c r="N97" s="377">
        <f t="shared" si="15"/>
        <v>0</v>
      </c>
      <c r="O97" s="377">
        <f t="shared" si="24"/>
        <v>0</v>
      </c>
      <c r="P97" s="377">
        <f t="shared" si="25"/>
        <v>0</v>
      </c>
      <c r="Q97" s="755">
        <v>1</v>
      </c>
      <c r="R97" s="378" t="str">
        <f t="shared" si="26"/>
        <v>B</v>
      </c>
      <c r="S97" s="379"/>
      <c r="T97" s="379"/>
      <c r="U97" s="756">
        <f t="shared" si="27"/>
        <v>520</v>
      </c>
    </row>
    <row r="98" spans="1:21" ht="14.1" customHeight="1">
      <c r="A98" s="559">
        <v>98</v>
      </c>
      <c r="B98" s="551" t="s">
        <v>523</v>
      </c>
      <c r="C98" s="552" t="s">
        <v>524</v>
      </c>
      <c r="D98" s="757">
        <f>VLOOKUP(B98,Locatieoverzicht!$A$14:$E$21,5,FALSE)</f>
        <v>1</v>
      </c>
      <c r="E98" s="380">
        <v>0</v>
      </c>
      <c r="F98" s="556" t="s">
        <v>337</v>
      </c>
      <c r="G98" s="555" t="s">
        <v>522</v>
      </c>
      <c r="H98" s="374" t="str">
        <f t="shared" si="22"/>
        <v>Niet van toepassing</v>
      </c>
      <c r="I98" s="375" t="s">
        <v>614</v>
      </c>
      <c r="J98" s="561">
        <v>25</v>
      </c>
      <c r="K98" s="612" t="s">
        <v>239</v>
      </c>
      <c r="L98" s="376">
        <f t="shared" si="23"/>
        <v>0</v>
      </c>
      <c r="M98" s="377">
        <f t="shared" si="14"/>
        <v>0</v>
      </c>
      <c r="N98" s="377">
        <f t="shared" si="15"/>
        <v>0</v>
      </c>
      <c r="O98" s="377">
        <f t="shared" si="24"/>
        <v>0</v>
      </c>
      <c r="P98" s="377">
        <f t="shared" si="25"/>
        <v>0</v>
      </c>
      <c r="Q98" s="755">
        <v>1</v>
      </c>
      <c r="R98" s="378">
        <f t="shared" si="26"/>
        <v>0</v>
      </c>
      <c r="S98" s="379"/>
      <c r="T98" s="379"/>
      <c r="U98" s="756">
        <f t="shared" si="27"/>
        <v>0</v>
      </c>
    </row>
    <row r="99" spans="1:21" ht="14.1" customHeight="1">
      <c r="A99" s="559">
        <v>99</v>
      </c>
      <c r="B99" s="551" t="s">
        <v>523</v>
      </c>
      <c r="C99" s="552" t="s">
        <v>524</v>
      </c>
      <c r="D99" s="757">
        <f>VLOOKUP(B99,Locatieoverzicht!$A$14:$E$21,5,FALSE)</f>
        <v>1</v>
      </c>
      <c r="E99" s="380">
        <v>0</v>
      </c>
      <c r="F99" s="556" t="s">
        <v>338</v>
      </c>
      <c r="G99" s="555" t="s">
        <v>398</v>
      </c>
      <c r="H99" s="374" t="str">
        <f t="shared" si="22"/>
        <v>Gangen en hallen</v>
      </c>
      <c r="I99" s="375" t="s">
        <v>614</v>
      </c>
      <c r="J99" s="561">
        <v>76.37</v>
      </c>
      <c r="K99" s="612">
        <v>3200</v>
      </c>
      <c r="L99" s="376">
        <f t="shared" si="23"/>
        <v>200</v>
      </c>
      <c r="M99" s="377">
        <f t="shared" si="14"/>
        <v>0</v>
      </c>
      <c r="N99" s="377">
        <f t="shared" si="15"/>
        <v>0</v>
      </c>
      <c r="O99" s="377">
        <f t="shared" si="24"/>
        <v>0</v>
      </c>
      <c r="P99" s="377">
        <f t="shared" si="25"/>
        <v>0</v>
      </c>
      <c r="Q99" s="755">
        <v>1</v>
      </c>
      <c r="R99" s="378" t="str">
        <f t="shared" si="26"/>
        <v>V</v>
      </c>
      <c r="S99" s="379"/>
      <c r="T99" s="379"/>
      <c r="U99" s="756">
        <f t="shared" si="27"/>
        <v>15274</v>
      </c>
    </row>
    <row r="100" spans="1:21" ht="14.1" customHeight="1">
      <c r="A100" s="559">
        <v>100</v>
      </c>
      <c r="B100" s="551" t="s">
        <v>523</v>
      </c>
      <c r="C100" s="552" t="s">
        <v>524</v>
      </c>
      <c r="D100" s="757">
        <f>VLOOKUP(B100,Locatieoverzicht!$A$14:$E$21,5,FALSE)</f>
        <v>1</v>
      </c>
      <c r="E100" s="380">
        <v>0</v>
      </c>
      <c r="F100" s="556" t="s">
        <v>559</v>
      </c>
      <c r="G100" s="555" t="s">
        <v>550</v>
      </c>
      <c r="H100" s="374" t="str">
        <f t="shared" si="22"/>
        <v>Trappenhuizen</v>
      </c>
      <c r="I100" s="375" t="s">
        <v>614</v>
      </c>
      <c r="J100" s="561">
        <v>1.625</v>
      </c>
      <c r="K100" s="612">
        <v>5200</v>
      </c>
      <c r="L100" s="376">
        <f t="shared" si="23"/>
        <v>200</v>
      </c>
      <c r="M100" s="377">
        <f t="shared" si="14"/>
        <v>0</v>
      </c>
      <c r="N100" s="377">
        <f t="shared" si="15"/>
        <v>0</v>
      </c>
      <c r="O100" s="377">
        <f t="shared" si="24"/>
        <v>0</v>
      </c>
      <c r="P100" s="377">
        <f t="shared" si="25"/>
        <v>0</v>
      </c>
      <c r="Q100" s="755">
        <v>1</v>
      </c>
      <c r="R100" s="378" t="str">
        <f t="shared" si="26"/>
        <v>V</v>
      </c>
      <c r="S100" s="379"/>
      <c r="T100" s="379"/>
      <c r="U100" s="756">
        <f t="shared" si="27"/>
        <v>325</v>
      </c>
    </row>
    <row r="101" spans="1:21" ht="14.1" customHeight="1">
      <c r="A101" s="559">
        <v>101</v>
      </c>
      <c r="B101" s="551" t="s">
        <v>523</v>
      </c>
      <c r="C101" s="552" t="s">
        <v>524</v>
      </c>
      <c r="D101" s="757">
        <f>VLOOKUP(B101,Locatieoverzicht!$A$14:$E$21,5,FALSE)</f>
        <v>1</v>
      </c>
      <c r="E101" s="380">
        <v>0</v>
      </c>
      <c r="F101" s="556" t="s">
        <v>339</v>
      </c>
      <c r="G101" s="555" t="s">
        <v>401</v>
      </c>
      <c r="H101" s="374" t="str">
        <f t="shared" si="22"/>
        <v>Leslokaal regulier</v>
      </c>
      <c r="I101" s="375" t="s">
        <v>614</v>
      </c>
      <c r="J101" s="561">
        <v>66</v>
      </c>
      <c r="K101" s="612">
        <v>8040</v>
      </c>
      <c r="L101" s="376">
        <f t="shared" si="23"/>
        <v>40</v>
      </c>
      <c r="M101" s="377">
        <f t="shared" si="14"/>
        <v>0</v>
      </c>
      <c r="N101" s="377">
        <f t="shared" si="15"/>
        <v>0</v>
      </c>
      <c r="O101" s="377">
        <f t="shared" si="24"/>
        <v>0</v>
      </c>
      <c r="P101" s="377">
        <f t="shared" si="25"/>
        <v>0</v>
      </c>
      <c r="Q101" s="755">
        <v>1</v>
      </c>
      <c r="R101" s="378" t="str">
        <f t="shared" si="26"/>
        <v>L</v>
      </c>
      <c r="S101" s="379"/>
      <c r="T101" s="379"/>
      <c r="U101" s="756">
        <f t="shared" si="27"/>
        <v>2640</v>
      </c>
    </row>
    <row r="102" spans="1:21" ht="14.1" customHeight="1">
      <c r="A102" s="559">
        <v>102</v>
      </c>
      <c r="B102" s="551" t="s">
        <v>523</v>
      </c>
      <c r="C102" s="552" t="s">
        <v>524</v>
      </c>
      <c r="D102" s="757">
        <f>VLOOKUP(B102,Locatieoverzicht!$A$14:$E$21,5,FALSE)</f>
        <v>1</v>
      </c>
      <c r="E102" s="380">
        <v>0</v>
      </c>
      <c r="F102" s="556" t="s">
        <v>340</v>
      </c>
      <c r="G102" s="557" t="s">
        <v>496</v>
      </c>
      <c r="H102" s="374" t="str">
        <f t="shared" si="22"/>
        <v>Vergader-/spreekruimten</v>
      </c>
      <c r="I102" s="375" t="s">
        <v>614</v>
      </c>
      <c r="J102" s="561">
        <v>26</v>
      </c>
      <c r="K102" s="612">
        <v>15200</v>
      </c>
      <c r="L102" s="376">
        <f t="shared" si="23"/>
        <v>200</v>
      </c>
      <c r="M102" s="377">
        <f t="shared" si="14"/>
        <v>0</v>
      </c>
      <c r="N102" s="377">
        <f t="shared" si="15"/>
        <v>0</v>
      </c>
      <c r="O102" s="377">
        <f t="shared" si="24"/>
        <v>0</v>
      </c>
      <c r="P102" s="377">
        <f t="shared" si="25"/>
        <v>0</v>
      </c>
      <c r="Q102" s="755">
        <v>1</v>
      </c>
      <c r="R102" s="378" t="str">
        <f t="shared" si="26"/>
        <v>B</v>
      </c>
      <c r="S102" s="379"/>
      <c r="T102" s="379"/>
      <c r="U102" s="756">
        <f t="shared" si="27"/>
        <v>5200</v>
      </c>
    </row>
    <row r="103" spans="1:21" ht="14.1" customHeight="1">
      <c r="A103" s="559">
        <v>103</v>
      </c>
      <c r="B103" s="551" t="s">
        <v>523</v>
      </c>
      <c r="C103" s="552" t="s">
        <v>524</v>
      </c>
      <c r="D103" s="757">
        <f>VLOOKUP(B103,Locatieoverzicht!$A$14:$E$21,5,FALSE)</f>
        <v>1</v>
      </c>
      <c r="E103" s="380">
        <v>0</v>
      </c>
      <c r="F103" s="556" t="s">
        <v>341</v>
      </c>
      <c r="G103" s="555" t="s">
        <v>402</v>
      </c>
      <c r="H103" s="374" t="str">
        <f t="shared" si="22"/>
        <v>Administratieve ruimten</v>
      </c>
      <c r="I103" s="375" t="s">
        <v>613</v>
      </c>
      <c r="J103" s="561">
        <v>12</v>
      </c>
      <c r="K103" s="612">
        <v>1040</v>
      </c>
      <c r="L103" s="376">
        <f t="shared" si="23"/>
        <v>40</v>
      </c>
      <c r="M103" s="377">
        <f t="shared" si="14"/>
        <v>0</v>
      </c>
      <c r="N103" s="377">
        <f t="shared" si="15"/>
        <v>0</v>
      </c>
      <c r="O103" s="377">
        <f t="shared" si="24"/>
        <v>0</v>
      </c>
      <c r="P103" s="377">
        <f t="shared" si="25"/>
        <v>0</v>
      </c>
      <c r="Q103" s="755">
        <v>1</v>
      </c>
      <c r="R103" s="378" t="str">
        <f t="shared" si="26"/>
        <v>B</v>
      </c>
      <c r="S103" s="379"/>
      <c r="T103" s="379"/>
      <c r="U103" s="756">
        <f t="shared" si="27"/>
        <v>480</v>
      </c>
    </row>
    <row r="104" spans="1:21" ht="14.1" customHeight="1">
      <c r="A104" s="559">
        <v>104</v>
      </c>
      <c r="B104" s="551" t="s">
        <v>523</v>
      </c>
      <c r="C104" s="552" t="s">
        <v>524</v>
      </c>
      <c r="D104" s="757">
        <f>VLOOKUP(B104,Locatieoverzicht!$A$14:$E$21,5,FALSE)</f>
        <v>1</v>
      </c>
      <c r="E104" s="380">
        <v>0</v>
      </c>
      <c r="F104" s="556" t="s">
        <v>342</v>
      </c>
      <c r="G104" s="555" t="s">
        <v>400</v>
      </c>
      <c r="H104" s="374" t="str">
        <f t="shared" si="22"/>
        <v>Sanitaire ruimten</v>
      </c>
      <c r="I104" s="375" t="s">
        <v>614</v>
      </c>
      <c r="J104" s="561">
        <v>12</v>
      </c>
      <c r="K104" s="612">
        <v>2200</v>
      </c>
      <c r="L104" s="376">
        <f t="shared" si="23"/>
        <v>200</v>
      </c>
      <c r="M104" s="377">
        <f t="shared" si="14"/>
        <v>0</v>
      </c>
      <c r="N104" s="377">
        <f t="shared" si="15"/>
        <v>0</v>
      </c>
      <c r="O104" s="377">
        <f t="shared" si="24"/>
        <v>0</v>
      </c>
      <c r="P104" s="377">
        <f t="shared" si="25"/>
        <v>0</v>
      </c>
      <c r="Q104" s="755">
        <v>1</v>
      </c>
      <c r="R104" s="378" t="str">
        <f t="shared" si="26"/>
        <v>S</v>
      </c>
      <c r="S104" s="379"/>
      <c r="T104" s="379"/>
      <c r="U104" s="756">
        <f t="shared" si="27"/>
        <v>2400</v>
      </c>
    </row>
    <row r="105" spans="1:21" ht="14.1" customHeight="1">
      <c r="A105" s="559">
        <v>105</v>
      </c>
      <c r="B105" s="551" t="s">
        <v>523</v>
      </c>
      <c r="C105" s="552" t="s">
        <v>524</v>
      </c>
      <c r="D105" s="757">
        <f>VLOOKUP(B105,Locatieoverzicht!$A$14:$E$21,5,FALSE)</f>
        <v>1</v>
      </c>
      <c r="E105" s="380">
        <v>0</v>
      </c>
      <c r="F105" s="556" t="s">
        <v>343</v>
      </c>
      <c r="G105" s="555" t="s">
        <v>402</v>
      </c>
      <c r="H105" s="374" t="str">
        <f t="shared" si="22"/>
        <v>Administratieve ruimten</v>
      </c>
      <c r="I105" s="375" t="s">
        <v>613</v>
      </c>
      <c r="J105" s="561">
        <v>26</v>
      </c>
      <c r="K105" s="612">
        <v>1040</v>
      </c>
      <c r="L105" s="376">
        <f t="shared" si="23"/>
        <v>40</v>
      </c>
      <c r="M105" s="377">
        <f t="shared" si="14"/>
        <v>0</v>
      </c>
      <c r="N105" s="377">
        <f t="shared" si="15"/>
        <v>0</v>
      </c>
      <c r="O105" s="377">
        <f t="shared" si="24"/>
        <v>0</v>
      </c>
      <c r="P105" s="377">
        <f t="shared" si="25"/>
        <v>0</v>
      </c>
      <c r="Q105" s="755">
        <v>1</v>
      </c>
      <c r="R105" s="378" t="str">
        <f t="shared" si="26"/>
        <v>B</v>
      </c>
      <c r="S105" s="379"/>
      <c r="T105" s="379"/>
      <c r="U105" s="756">
        <f t="shared" si="27"/>
        <v>1040</v>
      </c>
    </row>
    <row r="106" spans="1:21" ht="14.1" customHeight="1">
      <c r="A106" s="559">
        <v>106</v>
      </c>
      <c r="B106" s="551" t="s">
        <v>523</v>
      </c>
      <c r="C106" s="552" t="s">
        <v>524</v>
      </c>
      <c r="D106" s="757">
        <f>VLOOKUP(B106,Locatieoverzicht!$A$14:$E$21,5,FALSE)</f>
        <v>1</v>
      </c>
      <c r="E106" s="380">
        <v>0</v>
      </c>
      <c r="F106" s="556" t="s">
        <v>344</v>
      </c>
      <c r="G106" s="555" t="s">
        <v>398</v>
      </c>
      <c r="H106" s="374" t="str">
        <f t="shared" si="22"/>
        <v>Gangen en hallen</v>
      </c>
      <c r="I106" s="375" t="s">
        <v>614</v>
      </c>
      <c r="J106" s="561">
        <v>15</v>
      </c>
      <c r="K106" s="612">
        <v>3200</v>
      </c>
      <c r="L106" s="376">
        <f t="shared" si="23"/>
        <v>200</v>
      </c>
      <c r="M106" s="377">
        <f t="shared" si="14"/>
        <v>0</v>
      </c>
      <c r="N106" s="377">
        <f t="shared" si="15"/>
        <v>0</v>
      </c>
      <c r="O106" s="377">
        <f t="shared" si="24"/>
        <v>0</v>
      </c>
      <c r="P106" s="377">
        <f t="shared" si="25"/>
        <v>0</v>
      </c>
      <c r="Q106" s="755">
        <v>1</v>
      </c>
      <c r="R106" s="378" t="str">
        <f t="shared" si="26"/>
        <v>V</v>
      </c>
      <c r="S106" s="379"/>
      <c r="T106" s="379"/>
      <c r="U106" s="756">
        <f t="shared" si="27"/>
        <v>3000</v>
      </c>
    </row>
    <row r="107" spans="1:21" ht="14.1" customHeight="1">
      <c r="A107" s="559">
        <v>107</v>
      </c>
      <c r="B107" s="551" t="s">
        <v>523</v>
      </c>
      <c r="C107" s="552" t="s">
        <v>524</v>
      </c>
      <c r="D107" s="757">
        <f>VLOOKUP(B107,Locatieoverzicht!$A$14:$E$21,5,FALSE)</f>
        <v>1</v>
      </c>
      <c r="E107" s="380">
        <v>0</v>
      </c>
      <c r="F107" s="556" t="s">
        <v>345</v>
      </c>
      <c r="G107" s="555" t="s">
        <v>406</v>
      </c>
      <c r="H107" s="374" t="str">
        <f t="shared" si="22"/>
        <v>Pantry/koffiecorner</v>
      </c>
      <c r="I107" s="375" t="s">
        <v>612</v>
      </c>
      <c r="J107" s="561">
        <v>6</v>
      </c>
      <c r="K107" s="612">
        <v>6200</v>
      </c>
      <c r="L107" s="376">
        <f t="shared" si="23"/>
        <v>200</v>
      </c>
      <c r="M107" s="377">
        <f t="shared" si="14"/>
        <v>0</v>
      </c>
      <c r="N107" s="377">
        <f t="shared" si="15"/>
        <v>0</v>
      </c>
      <c r="O107" s="377">
        <f t="shared" si="24"/>
        <v>0</v>
      </c>
      <c r="P107" s="377">
        <f t="shared" si="25"/>
        <v>0</v>
      </c>
      <c r="Q107" s="755">
        <v>1</v>
      </c>
      <c r="R107" s="378" t="str">
        <f t="shared" si="26"/>
        <v>V</v>
      </c>
      <c r="S107" s="379"/>
      <c r="T107" s="379"/>
      <c r="U107" s="756">
        <f t="shared" si="27"/>
        <v>1200</v>
      </c>
    </row>
    <row r="108" spans="1:21" ht="14.1" customHeight="1">
      <c r="A108" s="559">
        <v>108</v>
      </c>
      <c r="B108" s="551" t="s">
        <v>523</v>
      </c>
      <c r="C108" s="552" t="s">
        <v>524</v>
      </c>
      <c r="D108" s="757">
        <f>VLOOKUP(B108,Locatieoverzicht!$A$14:$E$21,5,FALSE)</f>
        <v>1</v>
      </c>
      <c r="E108" s="380">
        <v>0</v>
      </c>
      <c r="F108" s="556" t="s">
        <v>346</v>
      </c>
      <c r="G108" s="555" t="s">
        <v>403</v>
      </c>
      <c r="H108" s="374" t="str">
        <f t="shared" si="22"/>
        <v>Personeelsruimten</v>
      </c>
      <c r="I108" s="375" t="s">
        <v>613</v>
      </c>
      <c r="J108" s="561">
        <v>44</v>
      </c>
      <c r="K108" s="612">
        <v>12200</v>
      </c>
      <c r="L108" s="376">
        <f t="shared" si="23"/>
        <v>200</v>
      </c>
      <c r="M108" s="377">
        <f t="shared" si="14"/>
        <v>0</v>
      </c>
      <c r="N108" s="377">
        <f t="shared" si="15"/>
        <v>0</v>
      </c>
      <c r="O108" s="377">
        <f t="shared" si="24"/>
        <v>0</v>
      </c>
      <c r="P108" s="377">
        <f t="shared" si="25"/>
        <v>0</v>
      </c>
      <c r="Q108" s="755">
        <v>1</v>
      </c>
      <c r="R108" s="378" t="str">
        <f t="shared" si="26"/>
        <v>V</v>
      </c>
      <c r="S108" s="379"/>
      <c r="T108" s="379"/>
      <c r="U108" s="756">
        <f t="shared" si="27"/>
        <v>8800</v>
      </c>
    </row>
    <row r="109" spans="1:21" ht="14.1" customHeight="1">
      <c r="A109" s="559">
        <v>109</v>
      </c>
      <c r="B109" s="551" t="s">
        <v>523</v>
      </c>
      <c r="C109" s="552" t="s">
        <v>524</v>
      </c>
      <c r="D109" s="757">
        <f>VLOOKUP(B109,Locatieoverzicht!$A$14:$E$21,5,FALSE)</f>
        <v>1</v>
      </c>
      <c r="E109" s="380">
        <v>0</v>
      </c>
      <c r="F109" s="556" t="s">
        <v>347</v>
      </c>
      <c r="G109" s="555" t="s">
        <v>402</v>
      </c>
      <c r="H109" s="374" t="str">
        <f t="shared" si="22"/>
        <v>Administratieve ruimten</v>
      </c>
      <c r="I109" s="375" t="s">
        <v>615</v>
      </c>
      <c r="J109" s="561">
        <v>18</v>
      </c>
      <c r="K109" s="612">
        <v>1040</v>
      </c>
      <c r="L109" s="376">
        <f t="shared" si="23"/>
        <v>40</v>
      </c>
      <c r="M109" s="377">
        <f t="shared" si="14"/>
        <v>0</v>
      </c>
      <c r="N109" s="377">
        <f t="shared" si="15"/>
        <v>0</v>
      </c>
      <c r="O109" s="377">
        <f t="shared" si="24"/>
        <v>0</v>
      </c>
      <c r="P109" s="377">
        <f t="shared" si="25"/>
        <v>0</v>
      </c>
      <c r="Q109" s="755">
        <v>1</v>
      </c>
      <c r="R109" s="378" t="str">
        <f t="shared" si="26"/>
        <v>B</v>
      </c>
      <c r="S109" s="379"/>
      <c r="T109" s="379"/>
      <c r="U109" s="756">
        <f t="shared" si="27"/>
        <v>720</v>
      </c>
    </row>
    <row r="110" spans="1:21" ht="14.1" customHeight="1">
      <c r="A110" s="559">
        <v>110</v>
      </c>
      <c r="B110" s="551" t="s">
        <v>523</v>
      </c>
      <c r="C110" s="552" t="s">
        <v>524</v>
      </c>
      <c r="D110" s="757">
        <f>VLOOKUP(B110,Locatieoverzicht!$A$14:$E$21,5,FALSE)</f>
        <v>1</v>
      </c>
      <c r="E110" s="380">
        <v>0</v>
      </c>
      <c r="F110" s="556" t="s">
        <v>348</v>
      </c>
      <c r="G110" s="555" t="s">
        <v>402</v>
      </c>
      <c r="H110" s="374" t="str">
        <f t="shared" si="22"/>
        <v>Administratieve ruimten</v>
      </c>
      <c r="I110" s="375" t="s">
        <v>615</v>
      </c>
      <c r="J110" s="561">
        <v>13</v>
      </c>
      <c r="K110" s="612">
        <v>1040</v>
      </c>
      <c r="L110" s="376">
        <f t="shared" si="23"/>
        <v>40</v>
      </c>
      <c r="M110" s="377">
        <f t="shared" si="14"/>
        <v>0</v>
      </c>
      <c r="N110" s="377">
        <f t="shared" si="15"/>
        <v>0</v>
      </c>
      <c r="O110" s="377">
        <f t="shared" si="24"/>
        <v>0</v>
      </c>
      <c r="P110" s="377">
        <f t="shared" si="25"/>
        <v>0</v>
      </c>
      <c r="Q110" s="755">
        <v>1</v>
      </c>
      <c r="R110" s="378" t="str">
        <f t="shared" si="26"/>
        <v>B</v>
      </c>
      <c r="S110" s="379"/>
      <c r="T110" s="379"/>
      <c r="U110" s="756">
        <f t="shared" si="27"/>
        <v>520</v>
      </c>
    </row>
    <row r="111" spans="1:21" ht="14.1" customHeight="1">
      <c r="A111" s="559">
        <v>111</v>
      </c>
      <c r="B111" s="551" t="s">
        <v>523</v>
      </c>
      <c r="C111" s="552" t="s">
        <v>524</v>
      </c>
      <c r="D111" s="757">
        <f>VLOOKUP(B111,Locatieoverzicht!$A$14:$E$21,5,FALSE)</f>
        <v>1</v>
      </c>
      <c r="E111" s="380">
        <v>0</v>
      </c>
      <c r="F111" s="556" t="s">
        <v>349</v>
      </c>
      <c r="G111" s="555" t="s">
        <v>407</v>
      </c>
      <c r="H111" s="374" t="str">
        <f t="shared" si="22"/>
        <v>Aula/kantine</v>
      </c>
      <c r="I111" s="375" t="s">
        <v>612</v>
      </c>
      <c r="J111" s="561">
        <v>150</v>
      </c>
      <c r="K111" s="612">
        <v>7200</v>
      </c>
      <c r="L111" s="376">
        <f t="shared" si="23"/>
        <v>200</v>
      </c>
      <c r="M111" s="377">
        <f t="shared" si="14"/>
        <v>0</v>
      </c>
      <c r="N111" s="377">
        <f t="shared" si="15"/>
        <v>0</v>
      </c>
      <c r="O111" s="377">
        <f t="shared" si="24"/>
        <v>0</v>
      </c>
      <c r="P111" s="377">
        <f t="shared" si="25"/>
        <v>0</v>
      </c>
      <c r="Q111" s="755">
        <v>1</v>
      </c>
      <c r="R111" s="378" t="str">
        <f t="shared" si="26"/>
        <v>V</v>
      </c>
      <c r="S111" s="379"/>
      <c r="T111" s="379"/>
      <c r="U111" s="756">
        <f t="shared" si="27"/>
        <v>30000</v>
      </c>
    </row>
    <row r="112" spans="1:21" ht="14.1" customHeight="1">
      <c r="A112" s="559">
        <v>112</v>
      </c>
      <c r="B112" s="551" t="s">
        <v>523</v>
      </c>
      <c r="C112" s="552" t="s">
        <v>524</v>
      </c>
      <c r="D112" s="757">
        <f>VLOOKUP(B112,Locatieoverzicht!$A$14:$E$21,5,FALSE)</f>
        <v>1</v>
      </c>
      <c r="E112" s="380">
        <v>0</v>
      </c>
      <c r="F112" s="556" t="s">
        <v>350</v>
      </c>
      <c r="G112" s="555" t="s">
        <v>522</v>
      </c>
      <c r="H112" s="374" t="str">
        <f t="shared" si="22"/>
        <v>Niet van toepassing</v>
      </c>
      <c r="I112" s="375" t="s">
        <v>614</v>
      </c>
      <c r="J112" s="561">
        <v>6</v>
      </c>
      <c r="K112" s="612" t="s">
        <v>239</v>
      </c>
      <c r="L112" s="376">
        <f t="shared" si="23"/>
        <v>0</v>
      </c>
      <c r="M112" s="377">
        <f t="shared" si="14"/>
        <v>0</v>
      </c>
      <c r="N112" s="377">
        <f t="shared" si="15"/>
        <v>0</v>
      </c>
      <c r="O112" s="377">
        <f t="shared" si="24"/>
        <v>0</v>
      </c>
      <c r="P112" s="377">
        <f t="shared" si="25"/>
        <v>0</v>
      </c>
      <c r="Q112" s="755">
        <v>1</v>
      </c>
      <c r="R112" s="378">
        <f t="shared" si="26"/>
        <v>0</v>
      </c>
      <c r="S112" s="379"/>
      <c r="T112" s="379"/>
      <c r="U112" s="756">
        <f t="shared" si="27"/>
        <v>0</v>
      </c>
    </row>
    <row r="113" spans="1:21" ht="14.1" customHeight="1">
      <c r="A113" s="559">
        <v>113</v>
      </c>
      <c r="B113" s="551" t="s">
        <v>523</v>
      </c>
      <c r="C113" s="552" t="s">
        <v>524</v>
      </c>
      <c r="D113" s="757">
        <f>VLOOKUP(B113,Locatieoverzicht!$A$14:$E$21,5,FALSE)</f>
        <v>1</v>
      </c>
      <c r="E113" s="380">
        <v>0</v>
      </c>
      <c r="F113" s="556" t="s">
        <v>351</v>
      </c>
      <c r="G113" s="555" t="s">
        <v>565</v>
      </c>
      <c r="H113" s="374" t="str">
        <f t="shared" si="22"/>
        <v>Niet van toepassing</v>
      </c>
      <c r="I113" s="375" t="s">
        <v>614</v>
      </c>
      <c r="J113" s="561">
        <v>5</v>
      </c>
      <c r="K113" s="612" t="s">
        <v>239</v>
      </c>
      <c r="L113" s="376">
        <f t="shared" si="23"/>
        <v>0</v>
      </c>
      <c r="M113" s="377">
        <f t="shared" si="14"/>
        <v>0</v>
      </c>
      <c r="N113" s="377">
        <f t="shared" si="15"/>
        <v>0</v>
      </c>
      <c r="O113" s="377">
        <f t="shared" si="24"/>
        <v>0</v>
      </c>
      <c r="P113" s="377">
        <f t="shared" si="25"/>
        <v>0</v>
      </c>
      <c r="Q113" s="755">
        <v>1</v>
      </c>
      <c r="R113" s="378">
        <f t="shared" si="26"/>
        <v>0</v>
      </c>
      <c r="S113" s="379"/>
      <c r="T113" s="379"/>
      <c r="U113" s="756">
        <f t="shared" si="27"/>
        <v>0</v>
      </c>
    </row>
    <row r="114" spans="1:21" ht="14.1" customHeight="1">
      <c r="A114" s="559">
        <v>114</v>
      </c>
      <c r="B114" s="551" t="s">
        <v>523</v>
      </c>
      <c r="C114" s="552" t="s">
        <v>524</v>
      </c>
      <c r="D114" s="757">
        <f>VLOOKUP(B114,Locatieoverzicht!$A$14:$E$21,5,FALSE)</f>
        <v>1</v>
      </c>
      <c r="E114" s="380">
        <v>0</v>
      </c>
      <c r="F114" s="556" t="s">
        <v>352</v>
      </c>
      <c r="G114" s="555" t="s">
        <v>400</v>
      </c>
      <c r="H114" s="374" t="str">
        <f t="shared" si="22"/>
        <v>Sanitaire ruimten</v>
      </c>
      <c r="I114" s="375" t="s">
        <v>614</v>
      </c>
      <c r="J114" s="561">
        <v>3</v>
      </c>
      <c r="K114" s="612">
        <v>2200</v>
      </c>
      <c r="L114" s="376">
        <f t="shared" si="23"/>
        <v>200</v>
      </c>
      <c r="M114" s="377">
        <f t="shared" si="14"/>
        <v>0</v>
      </c>
      <c r="N114" s="377">
        <f t="shared" si="15"/>
        <v>0</v>
      </c>
      <c r="O114" s="377">
        <f t="shared" si="24"/>
        <v>0</v>
      </c>
      <c r="P114" s="377">
        <f t="shared" si="25"/>
        <v>0</v>
      </c>
      <c r="Q114" s="755">
        <v>1</v>
      </c>
      <c r="R114" s="378" t="str">
        <f t="shared" si="26"/>
        <v>S</v>
      </c>
      <c r="S114" s="379"/>
      <c r="T114" s="379"/>
      <c r="U114" s="756">
        <f t="shared" si="27"/>
        <v>600</v>
      </c>
    </row>
    <row r="115" spans="1:21" ht="14.1" customHeight="1">
      <c r="A115" s="559">
        <v>115</v>
      </c>
      <c r="B115" s="551" t="s">
        <v>523</v>
      </c>
      <c r="C115" s="552" t="s">
        <v>524</v>
      </c>
      <c r="D115" s="757">
        <f>VLOOKUP(B115,Locatieoverzicht!$A$14:$E$21,5,FALSE)</f>
        <v>1</v>
      </c>
      <c r="E115" s="380">
        <v>0</v>
      </c>
      <c r="F115" s="556" t="s">
        <v>353</v>
      </c>
      <c r="G115" s="555" t="s">
        <v>398</v>
      </c>
      <c r="H115" s="374" t="str">
        <f t="shared" si="22"/>
        <v>Gangen en hallen</v>
      </c>
      <c r="I115" s="375" t="s">
        <v>614</v>
      </c>
      <c r="J115" s="561">
        <v>45.91</v>
      </c>
      <c r="K115" s="612">
        <v>3200</v>
      </c>
      <c r="L115" s="376">
        <f t="shared" si="23"/>
        <v>200</v>
      </c>
      <c r="M115" s="377">
        <f t="shared" si="14"/>
        <v>0</v>
      </c>
      <c r="N115" s="377">
        <f t="shared" si="15"/>
        <v>0</v>
      </c>
      <c r="O115" s="377">
        <f t="shared" si="24"/>
        <v>0</v>
      </c>
      <c r="P115" s="377">
        <f t="shared" si="25"/>
        <v>0</v>
      </c>
      <c r="Q115" s="755">
        <v>1</v>
      </c>
      <c r="R115" s="378" t="str">
        <f t="shared" si="26"/>
        <v>V</v>
      </c>
      <c r="S115" s="379"/>
      <c r="T115" s="379"/>
      <c r="U115" s="756">
        <f t="shared" si="27"/>
        <v>9182</v>
      </c>
    </row>
    <row r="116" spans="1:21" ht="14.1" customHeight="1">
      <c r="A116" s="559">
        <v>116</v>
      </c>
      <c r="B116" s="551" t="s">
        <v>523</v>
      </c>
      <c r="C116" s="552" t="s">
        <v>524</v>
      </c>
      <c r="D116" s="757">
        <f>VLOOKUP(B116,Locatieoverzicht!$A$14:$E$21,5,FALSE)</f>
        <v>1</v>
      </c>
      <c r="E116" s="380"/>
      <c r="F116" s="556" t="s">
        <v>558</v>
      </c>
      <c r="G116" s="555" t="s">
        <v>550</v>
      </c>
      <c r="H116" s="374" t="str">
        <f t="shared" si="22"/>
        <v>Trappenhuizen</v>
      </c>
      <c r="I116" s="375" t="s">
        <v>614</v>
      </c>
      <c r="J116" s="561">
        <v>2.0869565217391304</v>
      </c>
      <c r="K116" s="612">
        <v>5200</v>
      </c>
      <c r="L116" s="376">
        <f t="shared" si="23"/>
        <v>200</v>
      </c>
      <c r="M116" s="377">
        <f t="shared" si="14"/>
        <v>0</v>
      </c>
      <c r="N116" s="377">
        <f t="shared" si="15"/>
        <v>0</v>
      </c>
      <c r="O116" s="377">
        <f t="shared" si="24"/>
        <v>0</v>
      </c>
      <c r="P116" s="377">
        <f t="shared" si="25"/>
        <v>0</v>
      </c>
      <c r="Q116" s="755">
        <v>1</v>
      </c>
      <c r="R116" s="378" t="str">
        <f t="shared" si="26"/>
        <v>V</v>
      </c>
      <c r="S116" s="379"/>
      <c r="T116" s="379"/>
      <c r="U116" s="756">
        <f t="shared" si="27"/>
        <v>417.39130434782606</v>
      </c>
    </row>
    <row r="117" spans="1:21" ht="14.1" customHeight="1">
      <c r="A117" s="559">
        <v>117</v>
      </c>
      <c r="B117" s="551" t="s">
        <v>523</v>
      </c>
      <c r="C117" s="552" t="s">
        <v>524</v>
      </c>
      <c r="D117" s="757">
        <f>VLOOKUP(B117,Locatieoverzicht!$A$14:$E$21,5,FALSE)</f>
        <v>1</v>
      </c>
      <c r="E117" s="380">
        <v>0</v>
      </c>
      <c r="F117" s="556" t="s">
        <v>354</v>
      </c>
      <c r="G117" s="555" t="s">
        <v>501</v>
      </c>
      <c r="H117" s="374" t="str">
        <f t="shared" si="22"/>
        <v>Gym lokaal</v>
      </c>
      <c r="I117" s="375" t="s">
        <v>616</v>
      </c>
      <c r="J117" s="561">
        <v>160</v>
      </c>
      <c r="K117" s="612">
        <v>10200</v>
      </c>
      <c r="L117" s="376">
        <f t="shared" si="23"/>
        <v>200</v>
      </c>
      <c r="M117" s="377">
        <f t="shared" si="14"/>
        <v>0</v>
      </c>
      <c r="N117" s="377">
        <f t="shared" si="15"/>
        <v>0</v>
      </c>
      <c r="O117" s="377">
        <f t="shared" si="24"/>
        <v>0</v>
      </c>
      <c r="P117" s="377">
        <f t="shared" si="25"/>
        <v>0</v>
      </c>
      <c r="Q117" s="755">
        <v>1</v>
      </c>
      <c r="R117" s="378" t="str">
        <f t="shared" si="26"/>
        <v>V</v>
      </c>
      <c r="S117" s="379"/>
      <c r="T117" s="379"/>
      <c r="U117" s="756">
        <f t="shared" si="27"/>
        <v>32000</v>
      </c>
    </row>
    <row r="118" spans="1:21" ht="14.1" customHeight="1">
      <c r="A118" s="559">
        <v>118</v>
      </c>
      <c r="B118" s="551" t="s">
        <v>523</v>
      </c>
      <c r="C118" s="552" t="s">
        <v>524</v>
      </c>
      <c r="D118" s="757">
        <f>VLOOKUP(B118,Locatieoverzicht!$A$14:$E$21,5,FALSE)</f>
        <v>1</v>
      </c>
      <c r="E118" s="380">
        <v>0</v>
      </c>
      <c r="F118" s="556" t="s">
        <v>355</v>
      </c>
      <c r="G118" s="555" t="s">
        <v>522</v>
      </c>
      <c r="H118" s="374" t="str">
        <f t="shared" si="22"/>
        <v>Niet van toepassing</v>
      </c>
      <c r="I118" s="375" t="s">
        <v>614</v>
      </c>
      <c r="J118" s="561">
        <v>22</v>
      </c>
      <c r="K118" s="612" t="s">
        <v>239</v>
      </c>
      <c r="L118" s="376">
        <f t="shared" si="23"/>
        <v>0</v>
      </c>
      <c r="M118" s="377">
        <f t="shared" si="14"/>
        <v>0</v>
      </c>
      <c r="N118" s="377">
        <f t="shared" si="15"/>
        <v>0</v>
      </c>
      <c r="O118" s="377">
        <f t="shared" si="24"/>
        <v>0</v>
      </c>
      <c r="P118" s="377">
        <f t="shared" si="25"/>
        <v>0</v>
      </c>
      <c r="Q118" s="755">
        <v>1</v>
      </c>
      <c r="R118" s="378">
        <f t="shared" si="26"/>
        <v>0</v>
      </c>
      <c r="S118" s="379"/>
      <c r="T118" s="379"/>
      <c r="U118" s="756">
        <f t="shared" si="27"/>
        <v>0</v>
      </c>
    </row>
    <row r="119" spans="1:21" ht="14.1" customHeight="1">
      <c r="A119" s="559">
        <v>119</v>
      </c>
      <c r="B119" s="551" t="s">
        <v>523</v>
      </c>
      <c r="C119" s="552" t="s">
        <v>524</v>
      </c>
      <c r="D119" s="757">
        <f>VLOOKUP(B119,Locatieoverzicht!$A$14:$E$21,5,FALSE)</f>
        <v>1</v>
      </c>
      <c r="E119" s="380">
        <v>0</v>
      </c>
      <c r="F119" s="556" t="s">
        <v>356</v>
      </c>
      <c r="G119" s="609" t="s">
        <v>596</v>
      </c>
      <c r="H119" s="374" t="str">
        <f t="shared" si="22"/>
        <v>Sanitaire ruimten</v>
      </c>
      <c r="I119" s="375" t="s">
        <v>614</v>
      </c>
      <c r="J119" s="561">
        <v>5</v>
      </c>
      <c r="K119" s="612">
        <v>2200</v>
      </c>
      <c r="L119" s="376">
        <f t="shared" si="23"/>
        <v>200</v>
      </c>
      <c r="M119" s="377">
        <f t="shared" si="14"/>
        <v>0</v>
      </c>
      <c r="N119" s="377">
        <f t="shared" si="15"/>
        <v>0</v>
      </c>
      <c r="O119" s="377">
        <f t="shared" si="24"/>
        <v>0</v>
      </c>
      <c r="P119" s="377">
        <f t="shared" si="25"/>
        <v>0</v>
      </c>
      <c r="Q119" s="755">
        <v>1</v>
      </c>
      <c r="R119" s="378" t="str">
        <f t="shared" si="26"/>
        <v>S</v>
      </c>
      <c r="S119" s="379"/>
      <c r="T119" s="379"/>
      <c r="U119" s="756">
        <f t="shared" si="27"/>
        <v>1000</v>
      </c>
    </row>
    <row r="120" spans="1:21" ht="14.1" customHeight="1">
      <c r="A120" s="559">
        <v>120</v>
      </c>
      <c r="B120" s="551" t="s">
        <v>523</v>
      </c>
      <c r="C120" s="552" t="s">
        <v>524</v>
      </c>
      <c r="D120" s="757">
        <f>VLOOKUP(B120,Locatieoverzicht!$A$14:$E$21,5,FALSE)</f>
        <v>1</v>
      </c>
      <c r="E120" s="380">
        <v>0</v>
      </c>
      <c r="F120" s="556" t="s">
        <v>357</v>
      </c>
      <c r="G120" s="609" t="s">
        <v>597</v>
      </c>
      <c r="H120" s="374" t="str">
        <f t="shared" si="22"/>
        <v>Kleedruimten</v>
      </c>
      <c r="I120" s="375" t="s">
        <v>614</v>
      </c>
      <c r="J120" s="561">
        <v>8</v>
      </c>
      <c r="K120" s="612">
        <v>11200</v>
      </c>
      <c r="L120" s="376">
        <f t="shared" si="23"/>
        <v>200</v>
      </c>
      <c r="M120" s="377">
        <f t="shared" si="14"/>
        <v>0</v>
      </c>
      <c r="N120" s="377">
        <f t="shared" si="15"/>
        <v>0</v>
      </c>
      <c r="O120" s="377">
        <f t="shared" si="24"/>
        <v>0</v>
      </c>
      <c r="P120" s="377">
        <f t="shared" si="25"/>
        <v>0</v>
      </c>
      <c r="Q120" s="755">
        <v>1</v>
      </c>
      <c r="R120" s="378" t="str">
        <f t="shared" ref="R120:R182" si="28">IF(K120="","",VLOOKUP(K120,Kengetal,11,FALSE))</f>
        <v>V</v>
      </c>
      <c r="S120" s="379"/>
      <c r="T120" s="379"/>
      <c r="U120" s="756">
        <f t="shared" ref="U120:U182" si="29">J120*L120</f>
        <v>1600</v>
      </c>
    </row>
    <row r="121" spans="1:21" ht="14.1" customHeight="1">
      <c r="A121" s="559">
        <v>121</v>
      </c>
      <c r="B121" s="551" t="s">
        <v>523</v>
      </c>
      <c r="C121" s="552" t="s">
        <v>524</v>
      </c>
      <c r="D121" s="757">
        <f>VLOOKUP(B121,Locatieoverzicht!$A$14:$E$21,5,FALSE)</f>
        <v>1</v>
      </c>
      <c r="E121" s="380">
        <v>0</v>
      </c>
      <c r="F121" s="556" t="s">
        <v>358</v>
      </c>
      <c r="G121" s="555" t="s">
        <v>398</v>
      </c>
      <c r="H121" s="374" t="str">
        <f t="shared" si="22"/>
        <v>Gangen en hallen</v>
      </c>
      <c r="I121" s="375" t="s">
        <v>614</v>
      </c>
      <c r="J121" s="561">
        <v>6</v>
      </c>
      <c r="K121" s="612">
        <v>3200</v>
      </c>
      <c r="L121" s="376">
        <f t="shared" si="23"/>
        <v>200</v>
      </c>
      <c r="M121" s="377">
        <f t="shared" si="14"/>
        <v>0</v>
      </c>
      <c r="N121" s="377">
        <f t="shared" si="15"/>
        <v>0</v>
      </c>
      <c r="O121" s="377">
        <f t="shared" si="24"/>
        <v>0</v>
      </c>
      <c r="P121" s="377">
        <f t="shared" si="25"/>
        <v>0</v>
      </c>
      <c r="Q121" s="755">
        <v>1</v>
      </c>
      <c r="R121" s="378" t="str">
        <f t="shared" si="28"/>
        <v>V</v>
      </c>
      <c r="S121" s="379"/>
      <c r="T121" s="379"/>
      <c r="U121" s="756">
        <f t="shared" si="29"/>
        <v>1200</v>
      </c>
    </row>
    <row r="122" spans="1:21" ht="14.1" customHeight="1">
      <c r="A122" s="559">
        <v>122</v>
      </c>
      <c r="B122" s="551" t="s">
        <v>523</v>
      </c>
      <c r="C122" s="552" t="s">
        <v>524</v>
      </c>
      <c r="D122" s="757">
        <f>VLOOKUP(B122,Locatieoverzicht!$A$14:$E$21,5,FALSE)</f>
        <v>1</v>
      </c>
      <c r="E122" s="380">
        <v>1</v>
      </c>
      <c r="F122" s="556" t="s">
        <v>525</v>
      </c>
      <c r="G122" s="555" t="s">
        <v>550</v>
      </c>
      <c r="H122" s="374" t="str">
        <f t="shared" ref="H122:H182" si="30">IF($K122="",0,VLOOKUP($K122,Kengetal,3,FALSE))</f>
        <v>Trappenhuizen</v>
      </c>
      <c r="I122" s="375" t="s">
        <v>614</v>
      </c>
      <c r="J122" s="561">
        <v>8</v>
      </c>
      <c r="K122" s="612">
        <v>5200</v>
      </c>
      <c r="L122" s="376">
        <f t="shared" ref="L122:L182" si="31">SUM(IF(K122="",0,VLOOKUP(K122,Kengetal,2)))</f>
        <v>200</v>
      </c>
      <c r="M122" s="377">
        <f t="shared" si="14"/>
        <v>0</v>
      </c>
      <c r="N122" s="377">
        <f t="shared" si="15"/>
        <v>0</v>
      </c>
      <c r="O122" s="377">
        <f t="shared" ref="O122:O182" si="32">IF($K122="",0,VLOOKUP($K122,Kengetal,5,FALSE))</f>
        <v>0</v>
      </c>
      <c r="P122" s="377">
        <f t="shared" ref="P122:P182" si="33">IF($K122="",0,VLOOKUP($K122,Kengetal,6,FALSE))</f>
        <v>0</v>
      </c>
      <c r="Q122" s="755">
        <v>1</v>
      </c>
      <c r="R122" s="378" t="str">
        <f t="shared" si="28"/>
        <v>V</v>
      </c>
      <c r="S122" s="379"/>
      <c r="T122" s="379"/>
      <c r="U122" s="756">
        <f t="shared" si="29"/>
        <v>1600</v>
      </c>
    </row>
    <row r="123" spans="1:21" ht="14.1" customHeight="1">
      <c r="A123" s="559">
        <v>123</v>
      </c>
      <c r="B123" s="551" t="s">
        <v>523</v>
      </c>
      <c r="C123" s="552" t="s">
        <v>524</v>
      </c>
      <c r="D123" s="757">
        <f>VLOOKUP(B123,Locatieoverzicht!$A$14:$E$21,5,FALSE)</f>
        <v>1</v>
      </c>
      <c r="E123" s="380">
        <v>1</v>
      </c>
      <c r="F123" s="556" t="s">
        <v>526</v>
      </c>
      <c r="G123" s="555" t="s">
        <v>522</v>
      </c>
      <c r="H123" s="374" t="str">
        <f t="shared" si="30"/>
        <v>Niet van toepassing</v>
      </c>
      <c r="I123" s="375" t="s">
        <v>614</v>
      </c>
      <c r="J123" s="561">
        <v>18</v>
      </c>
      <c r="K123" s="612" t="s">
        <v>239</v>
      </c>
      <c r="L123" s="376">
        <f t="shared" si="31"/>
        <v>0</v>
      </c>
      <c r="M123" s="377">
        <f t="shared" si="14"/>
        <v>0</v>
      </c>
      <c r="N123" s="377">
        <f t="shared" si="15"/>
        <v>0</v>
      </c>
      <c r="O123" s="377">
        <f t="shared" si="32"/>
        <v>0</v>
      </c>
      <c r="P123" s="377">
        <f t="shared" si="33"/>
        <v>0</v>
      </c>
      <c r="Q123" s="755">
        <v>1</v>
      </c>
      <c r="R123" s="378">
        <f t="shared" si="28"/>
        <v>0</v>
      </c>
      <c r="S123" s="379"/>
      <c r="T123" s="379"/>
      <c r="U123" s="756">
        <f t="shared" si="29"/>
        <v>0</v>
      </c>
    </row>
    <row r="124" spans="1:21" ht="14.1" customHeight="1">
      <c r="A124" s="559">
        <v>124</v>
      </c>
      <c r="B124" s="551" t="s">
        <v>523</v>
      </c>
      <c r="C124" s="552" t="s">
        <v>524</v>
      </c>
      <c r="D124" s="757">
        <f>VLOOKUP(B124,Locatieoverzicht!$A$14:$E$21,5,FALSE)</f>
        <v>1</v>
      </c>
      <c r="E124" s="380">
        <v>1</v>
      </c>
      <c r="F124" s="556" t="s">
        <v>408</v>
      </c>
      <c r="G124" s="555" t="s">
        <v>398</v>
      </c>
      <c r="H124" s="374" t="str">
        <f t="shared" si="30"/>
        <v>Gangen en hallen</v>
      </c>
      <c r="I124" s="375" t="s">
        <v>614</v>
      </c>
      <c r="J124" s="561">
        <v>22.7</v>
      </c>
      <c r="K124" s="612">
        <v>3200</v>
      </c>
      <c r="L124" s="376">
        <f t="shared" si="31"/>
        <v>200</v>
      </c>
      <c r="M124" s="377">
        <f t="shared" si="14"/>
        <v>0</v>
      </c>
      <c r="N124" s="377">
        <f t="shared" si="15"/>
        <v>0</v>
      </c>
      <c r="O124" s="377">
        <f t="shared" si="32"/>
        <v>0</v>
      </c>
      <c r="P124" s="377">
        <f t="shared" si="33"/>
        <v>0</v>
      </c>
      <c r="Q124" s="755">
        <v>1</v>
      </c>
      <c r="R124" s="378" t="str">
        <f t="shared" si="28"/>
        <v>V</v>
      </c>
      <c r="S124" s="379"/>
      <c r="T124" s="379"/>
      <c r="U124" s="756">
        <f t="shared" si="29"/>
        <v>4540</v>
      </c>
    </row>
    <row r="125" spans="1:21" ht="14.1" customHeight="1">
      <c r="A125" s="559">
        <v>125</v>
      </c>
      <c r="B125" s="551" t="s">
        <v>523</v>
      </c>
      <c r="C125" s="552" t="s">
        <v>524</v>
      </c>
      <c r="D125" s="757">
        <f>VLOOKUP(B125,Locatieoverzicht!$A$14:$E$21,5,FALSE)</f>
        <v>1</v>
      </c>
      <c r="E125" s="380">
        <v>1</v>
      </c>
      <c r="F125" s="556" t="s">
        <v>554</v>
      </c>
      <c r="G125" s="555" t="s">
        <v>550</v>
      </c>
      <c r="H125" s="374" t="str">
        <f t="shared" si="30"/>
        <v>Trappenhuizen</v>
      </c>
      <c r="I125" s="375" t="s">
        <v>614</v>
      </c>
      <c r="J125" s="561">
        <v>11.333333333333334</v>
      </c>
      <c r="K125" s="612">
        <v>5200</v>
      </c>
      <c r="L125" s="376">
        <f t="shared" si="31"/>
        <v>200</v>
      </c>
      <c r="M125" s="377">
        <f t="shared" si="14"/>
        <v>0</v>
      </c>
      <c r="N125" s="377">
        <f t="shared" si="15"/>
        <v>0</v>
      </c>
      <c r="O125" s="377">
        <f t="shared" si="32"/>
        <v>0</v>
      </c>
      <c r="P125" s="377">
        <f t="shared" si="33"/>
        <v>0</v>
      </c>
      <c r="Q125" s="755">
        <v>1</v>
      </c>
      <c r="R125" s="378" t="str">
        <f t="shared" si="28"/>
        <v>V</v>
      </c>
      <c r="S125" s="379"/>
      <c r="T125" s="379"/>
      <c r="U125" s="756">
        <f t="shared" si="29"/>
        <v>2266.666666666667</v>
      </c>
    </row>
    <row r="126" spans="1:21" ht="14.1" customHeight="1">
      <c r="A126" s="559">
        <v>126</v>
      </c>
      <c r="B126" s="551" t="s">
        <v>523</v>
      </c>
      <c r="C126" s="552" t="s">
        <v>524</v>
      </c>
      <c r="D126" s="757">
        <f>VLOOKUP(B126,Locatieoverzicht!$A$14:$E$21,5,FALSE)</f>
        <v>1</v>
      </c>
      <c r="E126" s="380">
        <v>1</v>
      </c>
      <c r="F126" s="556" t="s">
        <v>409</v>
      </c>
      <c r="G126" s="555" t="s">
        <v>398</v>
      </c>
      <c r="H126" s="374" t="str">
        <f t="shared" si="30"/>
        <v>Gangen en hallen</v>
      </c>
      <c r="I126" s="375" t="s">
        <v>614</v>
      </c>
      <c r="J126" s="561">
        <v>51.33</v>
      </c>
      <c r="K126" s="612">
        <v>3200</v>
      </c>
      <c r="L126" s="376">
        <f t="shared" si="31"/>
        <v>200</v>
      </c>
      <c r="M126" s="377">
        <f t="shared" si="14"/>
        <v>0</v>
      </c>
      <c r="N126" s="377">
        <f t="shared" si="15"/>
        <v>0</v>
      </c>
      <c r="O126" s="377">
        <f t="shared" si="32"/>
        <v>0</v>
      </c>
      <c r="P126" s="377">
        <f t="shared" si="33"/>
        <v>0</v>
      </c>
      <c r="Q126" s="755">
        <v>1</v>
      </c>
      <c r="R126" s="378" t="str">
        <f t="shared" si="28"/>
        <v>V</v>
      </c>
      <c r="S126" s="379"/>
      <c r="T126" s="379"/>
      <c r="U126" s="756">
        <f t="shared" si="29"/>
        <v>10266</v>
      </c>
    </row>
    <row r="127" spans="1:21" ht="14.1" customHeight="1">
      <c r="A127" s="559">
        <v>127</v>
      </c>
      <c r="B127" s="551" t="s">
        <v>523</v>
      </c>
      <c r="C127" s="552" t="s">
        <v>524</v>
      </c>
      <c r="D127" s="757">
        <f>VLOOKUP(B127,Locatieoverzicht!$A$14:$E$21,5,FALSE)</f>
        <v>1</v>
      </c>
      <c r="E127" s="380">
        <v>1</v>
      </c>
      <c r="F127" s="556" t="s">
        <v>561</v>
      </c>
      <c r="G127" s="555" t="s">
        <v>550</v>
      </c>
      <c r="H127" s="374" t="str">
        <f t="shared" si="30"/>
        <v>Trappenhuizen</v>
      </c>
      <c r="I127" s="375" t="s">
        <v>614</v>
      </c>
      <c r="J127" s="561">
        <v>4.666666666666667</v>
      </c>
      <c r="K127" s="612">
        <v>5200</v>
      </c>
      <c r="L127" s="376">
        <f t="shared" si="31"/>
        <v>200</v>
      </c>
      <c r="M127" s="377">
        <f t="shared" si="14"/>
        <v>0</v>
      </c>
      <c r="N127" s="377">
        <f t="shared" si="15"/>
        <v>0</v>
      </c>
      <c r="O127" s="377">
        <f t="shared" si="32"/>
        <v>0</v>
      </c>
      <c r="P127" s="377">
        <f t="shared" si="33"/>
        <v>0</v>
      </c>
      <c r="Q127" s="755">
        <v>1</v>
      </c>
      <c r="R127" s="378" t="str">
        <f t="shared" si="28"/>
        <v>V</v>
      </c>
      <c r="S127" s="379"/>
      <c r="T127" s="379"/>
      <c r="U127" s="756">
        <f t="shared" si="29"/>
        <v>933.33333333333337</v>
      </c>
    </row>
    <row r="128" spans="1:21" ht="14.1" customHeight="1">
      <c r="A128" s="559">
        <v>128</v>
      </c>
      <c r="B128" s="551" t="s">
        <v>523</v>
      </c>
      <c r="C128" s="552" t="s">
        <v>524</v>
      </c>
      <c r="D128" s="757">
        <f>VLOOKUP(B128,Locatieoverzicht!$A$14:$E$21,5,FALSE)</f>
        <v>1</v>
      </c>
      <c r="E128" s="380">
        <v>1</v>
      </c>
      <c r="F128" s="556" t="s">
        <v>410</v>
      </c>
      <c r="G128" s="555" t="s">
        <v>400</v>
      </c>
      <c r="H128" s="374" t="str">
        <f t="shared" si="30"/>
        <v>Sanitaire ruimten</v>
      </c>
      <c r="I128" s="375" t="s">
        <v>614</v>
      </c>
      <c r="J128" s="561">
        <v>5</v>
      </c>
      <c r="K128" s="612">
        <v>2200</v>
      </c>
      <c r="L128" s="376">
        <f t="shared" si="31"/>
        <v>200</v>
      </c>
      <c r="M128" s="377">
        <f t="shared" si="14"/>
        <v>0</v>
      </c>
      <c r="N128" s="377">
        <f t="shared" si="15"/>
        <v>0</v>
      </c>
      <c r="O128" s="377">
        <f t="shared" si="32"/>
        <v>0</v>
      </c>
      <c r="P128" s="377">
        <f t="shared" si="33"/>
        <v>0</v>
      </c>
      <c r="Q128" s="755">
        <v>1</v>
      </c>
      <c r="R128" s="378" t="str">
        <f t="shared" si="28"/>
        <v>S</v>
      </c>
      <c r="S128" s="379"/>
      <c r="T128" s="379"/>
      <c r="U128" s="756">
        <f t="shared" si="29"/>
        <v>1000</v>
      </c>
    </row>
    <row r="129" spans="1:21" ht="14.1" customHeight="1">
      <c r="A129" s="559">
        <v>129</v>
      </c>
      <c r="B129" s="551" t="s">
        <v>523</v>
      </c>
      <c r="C129" s="552" t="s">
        <v>524</v>
      </c>
      <c r="D129" s="757">
        <f>VLOOKUP(B129,Locatieoverzicht!$A$14:$E$21,5,FALSE)</f>
        <v>1</v>
      </c>
      <c r="E129" s="380">
        <v>1</v>
      </c>
      <c r="F129" s="556" t="s">
        <v>411</v>
      </c>
      <c r="G129" s="555" t="s">
        <v>401</v>
      </c>
      <c r="H129" s="374" t="str">
        <f t="shared" si="30"/>
        <v>Leslokaal regulier</v>
      </c>
      <c r="I129" s="375" t="s">
        <v>612</v>
      </c>
      <c r="J129" s="561">
        <v>52</v>
      </c>
      <c r="K129" s="612">
        <v>8040</v>
      </c>
      <c r="L129" s="376">
        <f t="shared" si="31"/>
        <v>40</v>
      </c>
      <c r="M129" s="377">
        <f t="shared" si="14"/>
        <v>0</v>
      </c>
      <c r="N129" s="377">
        <f t="shared" si="15"/>
        <v>0</v>
      </c>
      <c r="O129" s="377">
        <f t="shared" si="32"/>
        <v>0</v>
      </c>
      <c r="P129" s="377">
        <f t="shared" si="33"/>
        <v>0</v>
      </c>
      <c r="Q129" s="755">
        <v>1</v>
      </c>
      <c r="R129" s="378" t="str">
        <f t="shared" si="28"/>
        <v>L</v>
      </c>
      <c r="S129" s="379"/>
      <c r="T129" s="379"/>
      <c r="U129" s="756">
        <f t="shared" si="29"/>
        <v>2080</v>
      </c>
    </row>
    <row r="130" spans="1:21" ht="14.1" customHeight="1">
      <c r="A130" s="559">
        <v>130</v>
      </c>
      <c r="B130" s="551" t="s">
        <v>523</v>
      </c>
      <c r="C130" s="552" t="s">
        <v>524</v>
      </c>
      <c r="D130" s="757">
        <f>VLOOKUP(B130,Locatieoverzicht!$A$14:$E$21,5,FALSE)</f>
        <v>1</v>
      </c>
      <c r="E130" s="380">
        <v>1</v>
      </c>
      <c r="F130" s="556" t="s">
        <v>412</v>
      </c>
      <c r="G130" s="555" t="s">
        <v>401</v>
      </c>
      <c r="H130" s="374" t="str">
        <f t="shared" si="30"/>
        <v>Leslokaal regulier</v>
      </c>
      <c r="I130" s="375" t="s">
        <v>612</v>
      </c>
      <c r="J130" s="561">
        <v>52</v>
      </c>
      <c r="K130" s="612">
        <v>8040</v>
      </c>
      <c r="L130" s="376">
        <f t="shared" si="31"/>
        <v>40</v>
      </c>
      <c r="M130" s="377">
        <f t="shared" si="14"/>
        <v>0</v>
      </c>
      <c r="N130" s="377">
        <f t="shared" si="15"/>
        <v>0</v>
      </c>
      <c r="O130" s="377">
        <f t="shared" si="32"/>
        <v>0</v>
      </c>
      <c r="P130" s="377">
        <f t="shared" si="33"/>
        <v>0</v>
      </c>
      <c r="Q130" s="755">
        <v>1</v>
      </c>
      <c r="R130" s="378" t="str">
        <f t="shared" si="28"/>
        <v>L</v>
      </c>
      <c r="S130" s="379"/>
      <c r="T130" s="379"/>
      <c r="U130" s="756">
        <f t="shared" si="29"/>
        <v>2080</v>
      </c>
    </row>
    <row r="131" spans="1:21" ht="14.1" customHeight="1">
      <c r="A131" s="559">
        <v>131</v>
      </c>
      <c r="B131" s="551" t="s">
        <v>523</v>
      </c>
      <c r="C131" s="552" t="s">
        <v>524</v>
      </c>
      <c r="D131" s="757">
        <f>VLOOKUP(B131,Locatieoverzicht!$A$14:$E$21,5,FALSE)</f>
        <v>1</v>
      </c>
      <c r="E131" s="380">
        <v>1</v>
      </c>
      <c r="F131" s="556" t="s">
        <v>413</v>
      </c>
      <c r="G131" s="555" t="s">
        <v>401</v>
      </c>
      <c r="H131" s="374" t="str">
        <f t="shared" si="30"/>
        <v>Leslokaal regulier</v>
      </c>
      <c r="I131" s="375" t="s">
        <v>612</v>
      </c>
      <c r="J131" s="561">
        <v>52</v>
      </c>
      <c r="K131" s="612">
        <v>8040</v>
      </c>
      <c r="L131" s="376">
        <f t="shared" si="31"/>
        <v>40</v>
      </c>
      <c r="M131" s="377">
        <f t="shared" si="14"/>
        <v>0</v>
      </c>
      <c r="N131" s="377">
        <f t="shared" si="15"/>
        <v>0</v>
      </c>
      <c r="O131" s="377">
        <f t="shared" si="32"/>
        <v>0</v>
      </c>
      <c r="P131" s="377">
        <f t="shared" si="33"/>
        <v>0</v>
      </c>
      <c r="Q131" s="755">
        <v>1</v>
      </c>
      <c r="R131" s="378" t="str">
        <f t="shared" si="28"/>
        <v>L</v>
      </c>
      <c r="S131" s="379"/>
      <c r="T131" s="379"/>
      <c r="U131" s="756">
        <f t="shared" si="29"/>
        <v>2080</v>
      </c>
    </row>
    <row r="132" spans="1:21" ht="14.1" customHeight="1">
      <c r="A132" s="559">
        <v>132</v>
      </c>
      <c r="B132" s="551" t="s">
        <v>523</v>
      </c>
      <c r="C132" s="552" t="s">
        <v>524</v>
      </c>
      <c r="D132" s="757">
        <f>VLOOKUP(B132,Locatieoverzicht!$A$14:$E$21,5,FALSE)</f>
        <v>1</v>
      </c>
      <c r="E132" s="380">
        <v>1</v>
      </c>
      <c r="F132" s="556" t="s">
        <v>414</v>
      </c>
      <c r="G132" s="555" t="s">
        <v>401</v>
      </c>
      <c r="H132" s="374" t="str">
        <f t="shared" si="30"/>
        <v>Leslokaal regulier</v>
      </c>
      <c r="I132" s="375" t="s">
        <v>612</v>
      </c>
      <c r="J132" s="561">
        <v>52</v>
      </c>
      <c r="K132" s="612">
        <v>8040</v>
      </c>
      <c r="L132" s="376">
        <f t="shared" si="31"/>
        <v>40</v>
      </c>
      <c r="M132" s="377">
        <f t="shared" si="14"/>
        <v>0</v>
      </c>
      <c r="N132" s="377">
        <f t="shared" si="15"/>
        <v>0</v>
      </c>
      <c r="O132" s="377">
        <f t="shared" si="32"/>
        <v>0</v>
      </c>
      <c r="P132" s="377">
        <f t="shared" si="33"/>
        <v>0</v>
      </c>
      <c r="Q132" s="755">
        <v>1</v>
      </c>
      <c r="R132" s="378" t="str">
        <f t="shared" si="28"/>
        <v>L</v>
      </c>
      <c r="S132" s="379"/>
      <c r="T132" s="379"/>
      <c r="U132" s="756">
        <f t="shared" si="29"/>
        <v>2080</v>
      </c>
    </row>
    <row r="133" spans="1:21" ht="14.1" customHeight="1">
      <c r="A133" s="559">
        <v>133</v>
      </c>
      <c r="B133" s="551" t="s">
        <v>523</v>
      </c>
      <c r="C133" s="552" t="s">
        <v>524</v>
      </c>
      <c r="D133" s="757">
        <f>VLOOKUP(B133,Locatieoverzicht!$A$14:$E$21,5,FALSE)</f>
        <v>1</v>
      </c>
      <c r="E133" s="380">
        <v>1</v>
      </c>
      <c r="F133" s="556" t="s">
        <v>415</v>
      </c>
      <c r="G133" s="555" t="s">
        <v>401</v>
      </c>
      <c r="H133" s="374" t="str">
        <f t="shared" si="30"/>
        <v>Leslokaal regulier</v>
      </c>
      <c r="I133" s="375" t="s">
        <v>612</v>
      </c>
      <c r="J133" s="561">
        <v>52</v>
      </c>
      <c r="K133" s="612">
        <v>8040</v>
      </c>
      <c r="L133" s="376">
        <f t="shared" si="31"/>
        <v>40</v>
      </c>
      <c r="M133" s="377">
        <f t="shared" si="14"/>
        <v>0</v>
      </c>
      <c r="N133" s="377">
        <f t="shared" si="15"/>
        <v>0</v>
      </c>
      <c r="O133" s="377">
        <f t="shared" si="32"/>
        <v>0</v>
      </c>
      <c r="P133" s="377">
        <f t="shared" si="33"/>
        <v>0</v>
      </c>
      <c r="Q133" s="755">
        <v>1</v>
      </c>
      <c r="R133" s="378" t="str">
        <f t="shared" si="28"/>
        <v>L</v>
      </c>
      <c r="S133" s="379"/>
      <c r="T133" s="379"/>
      <c r="U133" s="756">
        <f t="shared" si="29"/>
        <v>2080</v>
      </c>
    </row>
    <row r="134" spans="1:21" ht="14.1" customHeight="1">
      <c r="A134" s="559">
        <v>134</v>
      </c>
      <c r="B134" s="551" t="s">
        <v>523</v>
      </c>
      <c r="C134" s="552" t="s">
        <v>524</v>
      </c>
      <c r="D134" s="757">
        <f>VLOOKUP(B134,Locatieoverzicht!$A$14:$E$21,5,FALSE)</f>
        <v>1</v>
      </c>
      <c r="E134" s="380">
        <v>1</v>
      </c>
      <c r="F134" s="556" t="s">
        <v>416</v>
      </c>
      <c r="G134" s="555" t="s">
        <v>401</v>
      </c>
      <c r="H134" s="374" t="str">
        <f t="shared" si="30"/>
        <v>Leslokaal regulier</v>
      </c>
      <c r="I134" s="375" t="s">
        <v>612</v>
      </c>
      <c r="J134" s="561">
        <v>52</v>
      </c>
      <c r="K134" s="612">
        <v>8040</v>
      </c>
      <c r="L134" s="376">
        <f t="shared" si="31"/>
        <v>40</v>
      </c>
      <c r="M134" s="377">
        <f t="shared" si="14"/>
        <v>0</v>
      </c>
      <c r="N134" s="377">
        <f t="shared" si="15"/>
        <v>0</v>
      </c>
      <c r="O134" s="377">
        <f t="shared" si="32"/>
        <v>0</v>
      </c>
      <c r="P134" s="377">
        <f t="shared" si="33"/>
        <v>0</v>
      </c>
      <c r="Q134" s="755">
        <v>1</v>
      </c>
      <c r="R134" s="378" t="str">
        <f t="shared" si="28"/>
        <v>L</v>
      </c>
      <c r="S134" s="379"/>
      <c r="T134" s="379"/>
      <c r="U134" s="756">
        <f t="shared" si="29"/>
        <v>2080</v>
      </c>
    </row>
    <row r="135" spans="1:21" ht="14.1" customHeight="1">
      <c r="A135" s="559">
        <v>135</v>
      </c>
      <c r="B135" s="551" t="s">
        <v>523</v>
      </c>
      <c r="C135" s="552" t="s">
        <v>524</v>
      </c>
      <c r="D135" s="757">
        <f>VLOOKUP(B135,Locatieoverzicht!$A$14:$E$21,5,FALSE)</f>
        <v>1</v>
      </c>
      <c r="E135" s="380">
        <v>1</v>
      </c>
      <c r="F135" s="556" t="s">
        <v>417</v>
      </c>
      <c r="G135" s="555" t="s">
        <v>400</v>
      </c>
      <c r="H135" s="374" t="str">
        <f t="shared" si="30"/>
        <v>Sanitaire ruimten</v>
      </c>
      <c r="I135" s="375" t="s">
        <v>614</v>
      </c>
      <c r="J135" s="561">
        <v>5</v>
      </c>
      <c r="K135" s="612">
        <v>2200</v>
      </c>
      <c r="L135" s="376">
        <f t="shared" si="31"/>
        <v>200</v>
      </c>
      <c r="M135" s="377">
        <f t="shared" si="14"/>
        <v>0</v>
      </c>
      <c r="N135" s="377">
        <f t="shared" si="15"/>
        <v>0</v>
      </c>
      <c r="O135" s="377">
        <f t="shared" si="32"/>
        <v>0</v>
      </c>
      <c r="P135" s="377">
        <f t="shared" si="33"/>
        <v>0</v>
      </c>
      <c r="Q135" s="755">
        <v>1</v>
      </c>
      <c r="R135" s="378" t="str">
        <f t="shared" si="28"/>
        <v>S</v>
      </c>
      <c r="S135" s="379"/>
      <c r="T135" s="379"/>
      <c r="U135" s="756">
        <f t="shared" si="29"/>
        <v>1000</v>
      </c>
    </row>
    <row r="136" spans="1:21" ht="14.1" customHeight="1">
      <c r="A136" s="559">
        <v>136</v>
      </c>
      <c r="B136" s="551" t="s">
        <v>523</v>
      </c>
      <c r="C136" s="552" t="s">
        <v>524</v>
      </c>
      <c r="D136" s="757">
        <f>VLOOKUP(B136,Locatieoverzicht!$A$14:$E$21,5,FALSE)</f>
        <v>1</v>
      </c>
      <c r="E136" s="380">
        <v>1</v>
      </c>
      <c r="F136" s="556" t="s">
        <v>418</v>
      </c>
      <c r="G136" s="555" t="s">
        <v>398</v>
      </c>
      <c r="H136" s="374" t="str">
        <f t="shared" si="30"/>
        <v>Gangen en hallen</v>
      </c>
      <c r="I136" s="375" t="s">
        <v>614</v>
      </c>
      <c r="J136" s="561">
        <v>49.78</v>
      </c>
      <c r="K136" s="612">
        <v>3200</v>
      </c>
      <c r="L136" s="376">
        <f t="shared" si="31"/>
        <v>200</v>
      </c>
      <c r="M136" s="377">
        <f t="shared" si="14"/>
        <v>0</v>
      </c>
      <c r="N136" s="377">
        <f t="shared" si="15"/>
        <v>0</v>
      </c>
      <c r="O136" s="377">
        <f t="shared" si="32"/>
        <v>0</v>
      </c>
      <c r="P136" s="377">
        <f t="shared" si="33"/>
        <v>0</v>
      </c>
      <c r="Q136" s="755">
        <v>1</v>
      </c>
      <c r="R136" s="378" t="str">
        <f t="shared" si="28"/>
        <v>V</v>
      </c>
      <c r="S136" s="379"/>
      <c r="T136" s="379"/>
      <c r="U136" s="756">
        <f t="shared" si="29"/>
        <v>9956</v>
      </c>
    </row>
    <row r="137" spans="1:21" ht="14.1" customHeight="1">
      <c r="A137" s="559">
        <v>137</v>
      </c>
      <c r="B137" s="551" t="s">
        <v>523</v>
      </c>
      <c r="C137" s="552" t="s">
        <v>524</v>
      </c>
      <c r="D137" s="757">
        <f>VLOOKUP(B137,Locatieoverzicht!$A$14:$E$21,5,FALSE)</f>
        <v>1</v>
      </c>
      <c r="E137" s="380">
        <v>1</v>
      </c>
      <c r="F137" s="556" t="s">
        <v>562</v>
      </c>
      <c r="G137" s="555" t="s">
        <v>550</v>
      </c>
      <c r="H137" s="374" t="str">
        <f t="shared" si="30"/>
        <v>Trappenhuizen</v>
      </c>
      <c r="I137" s="375" t="s">
        <v>614</v>
      </c>
      <c r="J137" s="561">
        <v>6.2222222222222223</v>
      </c>
      <c r="K137" s="612">
        <v>5200</v>
      </c>
      <c r="L137" s="376">
        <f t="shared" si="31"/>
        <v>200</v>
      </c>
      <c r="M137" s="377">
        <f t="shared" si="14"/>
        <v>0</v>
      </c>
      <c r="N137" s="377">
        <f t="shared" si="15"/>
        <v>0</v>
      </c>
      <c r="O137" s="377">
        <f t="shared" si="32"/>
        <v>0</v>
      </c>
      <c r="P137" s="377">
        <f t="shared" si="33"/>
        <v>0</v>
      </c>
      <c r="Q137" s="755">
        <v>1</v>
      </c>
      <c r="R137" s="378" t="str">
        <f t="shared" si="28"/>
        <v>V</v>
      </c>
      <c r="S137" s="379"/>
      <c r="T137" s="379"/>
      <c r="U137" s="756">
        <f t="shared" si="29"/>
        <v>1244.4444444444446</v>
      </c>
    </row>
    <row r="138" spans="1:21" ht="14.1" customHeight="1">
      <c r="A138" s="559">
        <v>138</v>
      </c>
      <c r="B138" s="551" t="s">
        <v>523</v>
      </c>
      <c r="C138" s="552" t="s">
        <v>524</v>
      </c>
      <c r="D138" s="757">
        <f>VLOOKUP(B138,Locatieoverzicht!$A$14:$E$21,5,FALSE)</f>
        <v>1</v>
      </c>
      <c r="E138" s="380">
        <v>1</v>
      </c>
      <c r="F138" s="556" t="s">
        <v>419</v>
      </c>
      <c r="G138" s="555" t="s">
        <v>398</v>
      </c>
      <c r="H138" s="374" t="str">
        <f t="shared" si="30"/>
        <v>Gangen en hallen</v>
      </c>
      <c r="I138" s="375" t="s">
        <v>614</v>
      </c>
      <c r="J138" s="561">
        <v>37</v>
      </c>
      <c r="K138" s="612">
        <v>3200</v>
      </c>
      <c r="L138" s="376">
        <f t="shared" si="31"/>
        <v>200</v>
      </c>
      <c r="M138" s="377">
        <f t="shared" si="14"/>
        <v>0</v>
      </c>
      <c r="N138" s="377">
        <f t="shared" si="15"/>
        <v>0</v>
      </c>
      <c r="O138" s="377">
        <f t="shared" si="32"/>
        <v>0</v>
      </c>
      <c r="P138" s="377">
        <f t="shared" si="33"/>
        <v>0</v>
      </c>
      <c r="Q138" s="755">
        <v>1</v>
      </c>
      <c r="R138" s="378" t="str">
        <f t="shared" si="28"/>
        <v>V</v>
      </c>
      <c r="S138" s="379"/>
      <c r="T138" s="379"/>
      <c r="U138" s="756">
        <f t="shared" si="29"/>
        <v>7400</v>
      </c>
    </row>
    <row r="139" spans="1:21" ht="14.1" customHeight="1">
      <c r="A139" s="559">
        <v>139</v>
      </c>
      <c r="B139" s="551" t="s">
        <v>523</v>
      </c>
      <c r="C139" s="552" t="s">
        <v>524</v>
      </c>
      <c r="D139" s="757">
        <f>VLOOKUP(B139,Locatieoverzicht!$A$14:$E$21,5,FALSE)</f>
        <v>1</v>
      </c>
      <c r="E139" s="380">
        <v>1</v>
      </c>
      <c r="F139" s="556" t="s">
        <v>420</v>
      </c>
      <c r="G139" s="555" t="s">
        <v>401</v>
      </c>
      <c r="H139" s="374" t="str">
        <f t="shared" si="30"/>
        <v>Leslokaal regulier</v>
      </c>
      <c r="I139" s="375" t="s">
        <v>612</v>
      </c>
      <c r="J139" s="561">
        <v>53</v>
      </c>
      <c r="K139" s="612">
        <v>8040</v>
      </c>
      <c r="L139" s="376">
        <f t="shared" si="31"/>
        <v>40</v>
      </c>
      <c r="M139" s="377">
        <f t="shared" ref="M139:M202" si="34">O139*J139*Q139</f>
        <v>0</v>
      </c>
      <c r="N139" s="377">
        <f t="shared" ref="N139:N202" si="35">P139*J139*Q139</f>
        <v>0</v>
      </c>
      <c r="O139" s="377">
        <f t="shared" si="32"/>
        <v>0</v>
      </c>
      <c r="P139" s="377">
        <f t="shared" si="33"/>
        <v>0</v>
      </c>
      <c r="Q139" s="755">
        <v>1</v>
      </c>
      <c r="R139" s="378" t="str">
        <f t="shared" si="28"/>
        <v>L</v>
      </c>
      <c r="S139" s="379"/>
      <c r="T139" s="379"/>
      <c r="U139" s="756">
        <f t="shared" si="29"/>
        <v>2120</v>
      </c>
    </row>
    <row r="140" spans="1:21" ht="14.1" customHeight="1">
      <c r="A140" s="559">
        <v>140</v>
      </c>
      <c r="B140" s="551" t="s">
        <v>523</v>
      </c>
      <c r="C140" s="552" t="s">
        <v>524</v>
      </c>
      <c r="D140" s="757">
        <f>VLOOKUP(B140,Locatieoverzicht!$A$14:$E$21,5,FALSE)</f>
        <v>1</v>
      </c>
      <c r="E140" s="380">
        <v>1</v>
      </c>
      <c r="F140" s="556" t="s">
        <v>421</v>
      </c>
      <c r="G140" s="555" t="s">
        <v>401</v>
      </c>
      <c r="H140" s="374" t="str">
        <f t="shared" si="30"/>
        <v>Leslokaal regulier</v>
      </c>
      <c r="I140" s="375" t="s">
        <v>612</v>
      </c>
      <c r="J140" s="561">
        <v>50</v>
      </c>
      <c r="K140" s="612">
        <v>8040</v>
      </c>
      <c r="L140" s="376">
        <f t="shared" si="31"/>
        <v>40</v>
      </c>
      <c r="M140" s="377">
        <f t="shared" si="34"/>
        <v>0</v>
      </c>
      <c r="N140" s="377">
        <f t="shared" si="35"/>
        <v>0</v>
      </c>
      <c r="O140" s="377">
        <f t="shared" si="32"/>
        <v>0</v>
      </c>
      <c r="P140" s="377">
        <f t="shared" si="33"/>
        <v>0</v>
      </c>
      <c r="Q140" s="755">
        <v>1</v>
      </c>
      <c r="R140" s="378" t="str">
        <f t="shared" si="28"/>
        <v>L</v>
      </c>
      <c r="S140" s="379"/>
      <c r="T140" s="379"/>
      <c r="U140" s="756">
        <f t="shared" si="29"/>
        <v>2000</v>
      </c>
    </row>
    <row r="141" spans="1:21" ht="14.1" customHeight="1">
      <c r="A141" s="559">
        <v>141</v>
      </c>
      <c r="B141" s="551" t="s">
        <v>523</v>
      </c>
      <c r="C141" s="552" t="s">
        <v>524</v>
      </c>
      <c r="D141" s="757">
        <f>VLOOKUP(B141,Locatieoverzicht!$A$14:$E$21,5,FALSE)</f>
        <v>1</v>
      </c>
      <c r="E141" s="380">
        <v>1</v>
      </c>
      <c r="F141" s="556" t="s">
        <v>422</v>
      </c>
      <c r="G141" s="555" t="s">
        <v>402</v>
      </c>
      <c r="H141" s="374" t="str">
        <f t="shared" si="30"/>
        <v>Administratieve ruimten</v>
      </c>
      <c r="I141" s="375" t="s">
        <v>612</v>
      </c>
      <c r="J141" s="561">
        <v>19</v>
      </c>
      <c r="K141" s="612">
        <v>1040</v>
      </c>
      <c r="L141" s="376">
        <f t="shared" si="31"/>
        <v>40</v>
      </c>
      <c r="M141" s="377">
        <f t="shared" si="34"/>
        <v>0</v>
      </c>
      <c r="N141" s="377">
        <f t="shared" si="35"/>
        <v>0</v>
      </c>
      <c r="O141" s="377">
        <f t="shared" si="32"/>
        <v>0</v>
      </c>
      <c r="P141" s="377">
        <f t="shared" si="33"/>
        <v>0</v>
      </c>
      <c r="Q141" s="755">
        <v>1</v>
      </c>
      <c r="R141" s="378" t="str">
        <f t="shared" si="28"/>
        <v>B</v>
      </c>
      <c r="S141" s="379"/>
      <c r="T141" s="379"/>
      <c r="U141" s="756">
        <f t="shared" si="29"/>
        <v>760</v>
      </c>
    </row>
    <row r="142" spans="1:21" ht="14.1" customHeight="1">
      <c r="A142" s="559">
        <v>142</v>
      </c>
      <c r="B142" s="551" t="s">
        <v>523</v>
      </c>
      <c r="C142" s="552" t="s">
        <v>524</v>
      </c>
      <c r="D142" s="757">
        <f>VLOOKUP(B142,Locatieoverzicht!$A$14:$E$21,5,FALSE)</f>
        <v>1</v>
      </c>
      <c r="E142" s="380">
        <v>1</v>
      </c>
      <c r="F142" s="556" t="s">
        <v>423</v>
      </c>
      <c r="G142" s="555" t="s">
        <v>522</v>
      </c>
      <c r="H142" s="374" t="str">
        <f t="shared" si="30"/>
        <v>Niet van toepassing</v>
      </c>
      <c r="I142" s="375" t="s">
        <v>614</v>
      </c>
      <c r="J142" s="561">
        <v>8</v>
      </c>
      <c r="K142" s="612" t="s">
        <v>239</v>
      </c>
      <c r="L142" s="376">
        <f t="shared" si="31"/>
        <v>0</v>
      </c>
      <c r="M142" s="377">
        <f t="shared" si="34"/>
        <v>0</v>
      </c>
      <c r="N142" s="377">
        <f t="shared" si="35"/>
        <v>0</v>
      </c>
      <c r="O142" s="377">
        <f t="shared" si="32"/>
        <v>0</v>
      </c>
      <c r="P142" s="377">
        <f t="shared" si="33"/>
        <v>0</v>
      </c>
      <c r="Q142" s="755">
        <v>1</v>
      </c>
      <c r="R142" s="378">
        <f t="shared" si="28"/>
        <v>0</v>
      </c>
      <c r="S142" s="379"/>
      <c r="T142" s="379"/>
      <c r="U142" s="756">
        <f t="shared" si="29"/>
        <v>0</v>
      </c>
    </row>
    <row r="143" spans="1:21" ht="14.1" customHeight="1">
      <c r="A143" s="559">
        <v>143</v>
      </c>
      <c r="B143" s="551" t="s">
        <v>523</v>
      </c>
      <c r="C143" s="552" t="s">
        <v>524</v>
      </c>
      <c r="D143" s="757">
        <f>VLOOKUP(B143,Locatieoverzicht!$A$14:$E$21,5,FALSE)</f>
        <v>1</v>
      </c>
      <c r="E143" s="380">
        <v>2</v>
      </c>
      <c r="F143" s="556" t="s">
        <v>464</v>
      </c>
      <c r="G143" s="555" t="s">
        <v>398</v>
      </c>
      <c r="H143" s="374" t="str">
        <f t="shared" si="30"/>
        <v>Gangen en hallen</v>
      </c>
      <c r="I143" s="375" t="s">
        <v>614</v>
      </c>
      <c r="J143" s="561">
        <v>16.8</v>
      </c>
      <c r="K143" s="612">
        <v>3200</v>
      </c>
      <c r="L143" s="376">
        <f t="shared" si="31"/>
        <v>200</v>
      </c>
      <c r="M143" s="377">
        <f t="shared" si="34"/>
        <v>0</v>
      </c>
      <c r="N143" s="377">
        <f t="shared" si="35"/>
        <v>0</v>
      </c>
      <c r="O143" s="377">
        <f t="shared" si="32"/>
        <v>0</v>
      </c>
      <c r="P143" s="377">
        <f t="shared" si="33"/>
        <v>0</v>
      </c>
      <c r="Q143" s="755">
        <v>1</v>
      </c>
      <c r="R143" s="378" t="str">
        <f t="shared" si="28"/>
        <v>V</v>
      </c>
      <c r="S143" s="379"/>
      <c r="T143" s="379"/>
      <c r="U143" s="756">
        <f t="shared" si="29"/>
        <v>3360</v>
      </c>
    </row>
    <row r="144" spans="1:21" ht="14.1" customHeight="1">
      <c r="A144" s="559">
        <v>144</v>
      </c>
      <c r="B144" s="551" t="s">
        <v>523</v>
      </c>
      <c r="C144" s="552" t="s">
        <v>524</v>
      </c>
      <c r="D144" s="757">
        <f>VLOOKUP(B144,Locatieoverzicht!$A$14:$E$21,5,FALSE)</f>
        <v>1</v>
      </c>
      <c r="E144" s="380">
        <v>2</v>
      </c>
      <c r="F144" s="556" t="s">
        <v>563</v>
      </c>
      <c r="G144" s="555" t="s">
        <v>550</v>
      </c>
      <c r="H144" s="374" t="str">
        <f t="shared" si="30"/>
        <v>Trappenhuizen</v>
      </c>
      <c r="I144" s="375" t="s">
        <v>614</v>
      </c>
      <c r="J144" s="561">
        <v>4.2</v>
      </c>
      <c r="K144" s="612">
        <v>5200</v>
      </c>
      <c r="L144" s="376">
        <f t="shared" si="31"/>
        <v>200</v>
      </c>
      <c r="M144" s="377">
        <f t="shared" si="34"/>
        <v>0</v>
      </c>
      <c r="N144" s="377">
        <f t="shared" si="35"/>
        <v>0</v>
      </c>
      <c r="O144" s="377">
        <f t="shared" si="32"/>
        <v>0</v>
      </c>
      <c r="P144" s="377">
        <f t="shared" si="33"/>
        <v>0</v>
      </c>
      <c r="Q144" s="755">
        <v>1</v>
      </c>
      <c r="R144" s="378" t="str">
        <f t="shared" si="28"/>
        <v>V</v>
      </c>
      <c r="S144" s="379"/>
      <c r="T144" s="379"/>
      <c r="U144" s="756">
        <f t="shared" si="29"/>
        <v>840</v>
      </c>
    </row>
    <row r="145" spans="1:21" ht="14.1" customHeight="1">
      <c r="A145" s="559">
        <v>145</v>
      </c>
      <c r="B145" s="551" t="s">
        <v>523</v>
      </c>
      <c r="C145" s="552" t="s">
        <v>524</v>
      </c>
      <c r="D145" s="757">
        <f>VLOOKUP(B145,Locatieoverzicht!$A$14:$E$21,5,FALSE)</f>
        <v>1</v>
      </c>
      <c r="E145" s="380">
        <v>2</v>
      </c>
      <c r="F145" s="556" t="s">
        <v>465</v>
      </c>
      <c r="G145" s="555" t="s">
        <v>400</v>
      </c>
      <c r="H145" s="374" t="str">
        <f t="shared" si="30"/>
        <v>Sanitaire ruimten</v>
      </c>
      <c r="I145" s="375" t="s">
        <v>614</v>
      </c>
      <c r="J145" s="561">
        <v>4</v>
      </c>
      <c r="K145" s="612">
        <v>2200</v>
      </c>
      <c r="L145" s="376">
        <f t="shared" si="31"/>
        <v>200</v>
      </c>
      <c r="M145" s="377">
        <f t="shared" si="34"/>
        <v>0</v>
      </c>
      <c r="N145" s="377">
        <f t="shared" si="35"/>
        <v>0</v>
      </c>
      <c r="O145" s="377">
        <f t="shared" si="32"/>
        <v>0</v>
      </c>
      <c r="P145" s="377">
        <f t="shared" si="33"/>
        <v>0</v>
      </c>
      <c r="Q145" s="755">
        <v>1</v>
      </c>
      <c r="R145" s="378" t="str">
        <f t="shared" si="28"/>
        <v>S</v>
      </c>
      <c r="S145" s="379"/>
      <c r="T145" s="379"/>
      <c r="U145" s="756">
        <f t="shared" si="29"/>
        <v>800</v>
      </c>
    </row>
    <row r="146" spans="1:21" ht="14.1" customHeight="1">
      <c r="A146" s="559">
        <v>146</v>
      </c>
      <c r="B146" s="551" t="s">
        <v>523</v>
      </c>
      <c r="C146" s="552" t="s">
        <v>524</v>
      </c>
      <c r="D146" s="757">
        <f>VLOOKUP(B146,Locatieoverzicht!$A$14:$E$21,5,FALSE)</f>
        <v>1</v>
      </c>
      <c r="E146" s="380">
        <v>2</v>
      </c>
      <c r="F146" s="556" t="s">
        <v>466</v>
      </c>
      <c r="G146" s="555" t="s">
        <v>399</v>
      </c>
      <c r="H146" s="374" t="str">
        <f t="shared" si="30"/>
        <v>Mediatheek/Bibliotheek/Computerlokaal</v>
      </c>
      <c r="I146" s="375" t="s">
        <v>612</v>
      </c>
      <c r="J146" s="561">
        <v>28</v>
      </c>
      <c r="K146" s="612">
        <v>14080</v>
      </c>
      <c r="L146" s="376">
        <f t="shared" si="31"/>
        <v>80</v>
      </c>
      <c r="M146" s="377">
        <f t="shared" si="34"/>
        <v>0</v>
      </c>
      <c r="N146" s="377">
        <f t="shared" si="35"/>
        <v>0</v>
      </c>
      <c r="O146" s="377">
        <f t="shared" si="32"/>
        <v>0</v>
      </c>
      <c r="P146" s="377">
        <f t="shared" si="33"/>
        <v>0</v>
      </c>
      <c r="Q146" s="755">
        <v>1</v>
      </c>
      <c r="R146" s="378" t="str">
        <f t="shared" si="28"/>
        <v>V</v>
      </c>
      <c r="S146" s="379"/>
      <c r="T146" s="379"/>
      <c r="U146" s="756">
        <f t="shared" si="29"/>
        <v>2240</v>
      </c>
    </row>
    <row r="147" spans="1:21" ht="14.1" customHeight="1">
      <c r="A147" s="559">
        <v>147</v>
      </c>
      <c r="B147" s="551" t="s">
        <v>523</v>
      </c>
      <c r="C147" s="552" t="s">
        <v>524</v>
      </c>
      <c r="D147" s="757">
        <f>VLOOKUP(B147,Locatieoverzicht!$A$14:$E$21,5,FALSE)</f>
        <v>1</v>
      </c>
      <c r="E147" s="380">
        <v>2</v>
      </c>
      <c r="F147" s="556" t="s">
        <v>467</v>
      </c>
      <c r="G147" s="555" t="s">
        <v>401</v>
      </c>
      <c r="H147" s="374" t="str">
        <f t="shared" si="30"/>
        <v>Leslokaal regulier</v>
      </c>
      <c r="I147" s="375" t="s">
        <v>612</v>
      </c>
      <c r="J147" s="561">
        <v>52</v>
      </c>
      <c r="K147" s="612">
        <v>8040</v>
      </c>
      <c r="L147" s="376">
        <f t="shared" si="31"/>
        <v>40</v>
      </c>
      <c r="M147" s="377">
        <f t="shared" si="34"/>
        <v>0</v>
      </c>
      <c r="N147" s="377">
        <f t="shared" si="35"/>
        <v>0</v>
      </c>
      <c r="O147" s="377">
        <f t="shared" si="32"/>
        <v>0</v>
      </c>
      <c r="P147" s="377">
        <f t="shared" si="33"/>
        <v>0</v>
      </c>
      <c r="Q147" s="755">
        <v>1</v>
      </c>
      <c r="R147" s="378" t="str">
        <f t="shared" si="28"/>
        <v>L</v>
      </c>
      <c r="S147" s="379"/>
      <c r="T147" s="379"/>
      <c r="U147" s="756">
        <f t="shared" si="29"/>
        <v>2080</v>
      </c>
    </row>
    <row r="148" spans="1:21" ht="14.1" customHeight="1">
      <c r="A148" s="559">
        <v>148</v>
      </c>
      <c r="B148" s="551" t="s">
        <v>523</v>
      </c>
      <c r="C148" s="552" t="s">
        <v>524</v>
      </c>
      <c r="D148" s="757">
        <f>VLOOKUP(B148,Locatieoverzicht!$A$14:$E$21,5,FALSE)</f>
        <v>1</v>
      </c>
      <c r="E148" s="380">
        <v>2</v>
      </c>
      <c r="F148" s="556" t="s">
        <v>468</v>
      </c>
      <c r="G148" s="555" t="s">
        <v>398</v>
      </c>
      <c r="H148" s="374" t="str">
        <f t="shared" si="30"/>
        <v>Gangen en hallen</v>
      </c>
      <c r="I148" s="375" t="s">
        <v>614</v>
      </c>
      <c r="J148" s="561">
        <v>45.45</v>
      </c>
      <c r="K148" s="612">
        <v>3200</v>
      </c>
      <c r="L148" s="376">
        <f t="shared" si="31"/>
        <v>200</v>
      </c>
      <c r="M148" s="377">
        <f t="shared" si="34"/>
        <v>0</v>
      </c>
      <c r="N148" s="377">
        <f t="shared" si="35"/>
        <v>0</v>
      </c>
      <c r="O148" s="377">
        <f t="shared" si="32"/>
        <v>0</v>
      </c>
      <c r="P148" s="377">
        <f t="shared" si="33"/>
        <v>0</v>
      </c>
      <c r="Q148" s="755">
        <v>1</v>
      </c>
      <c r="R148" s="378" t="str">
        <f t="shared" si="28"/>
        <v>V</v>
      </c>
      <c r="S148" s="379"/>
      <c r="T148" s="379"/>
      <c r="U148" s="756">
        <f t="shared" si="29"/>
        <v>9090</v>
      </c>
    </row>
    <row r="149" spans="1:21" ht="14.1" customHeight="1">
      <c r="A149" s="559">
        <v>149</v>
      </c>
      <c r="B149" s="551" t="s">
        <v>523</v>
      </c>
      <c r="C149" s="552" t="s">
        <v>524</v>
      </c>
      <c r="D149" s="757">
        <f>VLOOKUP(B149,Locatieoverzicht!$A$14:$E$21,5,FALSE)</f>
        <v>1</v>
      </c>
      <c r="E149" s="380">
        <v>2</v>
      </c>
      <c r="F149" s="556" t="s">
        <v>468</v>
      </c>
      <c r="G149" s="555" t="s">
        <v>550</v>
      </c>
      <c r="H149" s="374" t="str">
        <f t="shared" si="30"/>
        <v>Trappenhuizen</v>
      </c>
      <c r="I149" s="375" t="s">
        <v>612</v>
      </c>
      <c r="J149" s="561">
        <v>4.5454545454545459</v>
      </c>
      <c r="K149" s="612">
        <v>5200</v>
      </c>
      <c r="L149" s="376">
        <f t="shared" si="31"/>
        <v>200</v>
      </c>
      <c r="M149" s="377">
        <f t="shared" si="34"/>
        <v>0</v>
      </c>
      <c r="N149" s="377">
        <f t="shared" si="35"/>
        <v>0</v>
      </c>
      <c r="O149" s="377">
        <f t="shared" si="32"/>
        <v>0</v>
      </c>
      <c r="P149" s="377">
        <f t="shared" si="33"/>
        <v>0</v>
      </c>
      <c r="Q149" s="755">
        <v>1</v>
      </c>
      <c r="R149" s="378" t="str">
        <f t="shared" si="28"/>
        <v>V</v>
      </c>
      <c r="S149" s="379"/>
      <c r="T149" s="379"/>
      <c r="U149" s="756">
        <f t="shared" si="29"/>
        <v>909.09090909090912</v>
      </c>
    </row>
    <row r="150" spans="1:21" ht="14.1" customHeight="1">
      <c r="A150" s="559">
        <v>150</v>
      </c>
      <c r="B150" s="551" t="s">
        <v>523</v>
      </c>
      <c r="C150" s="552" t="s">
        <v>524</v>
      </c>
      <c r="D150" s="757">
        <f>VLOOKUP(B150,Locatieoverzicht!$A$14:$E$21,5,FALSE)</f>
        <v>1</v>
      </c>
      <c r="E150" s="380">
        <v>2</v>
      </c>
      <c r="F150" s="556" t="s">
        <v>469</v>
      </c>
      <c r="G150" s="555" t="s">
        <v>401</v>
      </c>
      <c r="H150" s="374" t="str">
        <f t="shared" si="30"/>
        <v>Leslokaal regulier</v>
      </c>
      <c r="I150" s="375" t="s">
        <v>612</v>
      </c>
      <c r="J150" s="561">
        <v>52</v>
      </c>
      <c r="K150" s="612">
        <v>8040</v>
      </c>
      <c r="L150" s="376">
        <f t="shared" si="31"/>
        <v>40</v>
      </c>
      <c r="M150" s="377">
        <f t="shared" si="34"/>
        <v>0</v>
      </c>
      <c r="N150" s="377">
        <f t="shared" si="35"/>
        <v>0</v>
      </c>
      <c r="O150" s="377">
        <f t="shared" si="32"/>
        <v>0</v>
      </c>
      <c r="P150" s="377">
        <f t="shared" si="33"/>
        <v>0</v>
      </c>
      <c r="Q150" s="755">
        <v>1</v>
      </c>
      <c r="R150" s="378" t="str">
        <f t="shared" si="28"/>
        <v>L</v>
      </c>
      <c r="S150" s="379"/>
      <c r="T150" s="379"/>
      <c r="U150" s="756">
        <f t="shared" si="29"/>
        <v>2080</v>
      </c>
    </row>
    <row r="151" spans="1:21" ht="14.1" customHeight="1">
      <c r="A151" s="559">
        <v>151</v>
      </c>
      <c r="B151" s="551" t="s">
        <v>523</v>
      </c>
      <c r="C151" s="552" t="s">
        <v>524</v>
      </c>
      <c r="D151" s="757">
        <f>VLOOKUP(B151,Locatieoverzicht!$A$14:$E$21,5,FALSE)</f>
        <v>1</v>
      </c>
      <c r="E151" s="380">
        <v>2</v>
      </c>
      <c r="F151" s="556" t="s">
        <v>470</v>
      </c>
      <c r="G151" s="555" t="s">
        <v>401</v>
      </c>
      <c r="H151" s="374" t="str">
        <f t="shared" si="30"/>
        <v>Leslokaal regulier</v>
      </c>
      <c r="I151" s="375" t="s">
        <v>612</v>
      </c>
      <c r="J151" s="561">
        <v>52</v>
      </c>
      <c r="K151" s="612">
        <v>8040</v>
      </c>
      <c r="L151" s="376">
        <f t="shared" si="31"/>
        <v>40</v>
      </c>
      <c r="M151" s="377">
        <f t="shared" si="34"/>
        <v>0</v>
      </c>
      <c r="N151" s="377">
        <f t="shared" si="35"/>
        <v>0</v>
      </c>
      <c r="O151" s="377">
        <f t="shared" si="32"/>
        <v>0</v>
      </c>
      <c r="P151" s="377">
        <f t="shared" si="33"/>
        <v>0</v>
      </c>
      <c r="Q151" s="755">
        <v>1</v>
      </c>
      <c r="R151" s="378" t="str">
        <f t="shared" si="28"/>
        <v>L</v>
      </c>
      <c r="S151" s="379"/>
      <c r="T151" s="379"/>
      <c r="U151" s="756">
        <f t="shared" si="29"/>
        <v>2080</v>
      </c>
    </row>
    <row r="152" spans="1:21" ht="14.1" customHeight="1">
      <c r="A152" s="559">
        <v>152</v>
      </c>
      <c r="B152" s="551" t="s">
        <v>523</v>
      </c>
      <c r="C152" s="552" t="s">
        <v>524</v>
      </c>
      <c r="D152" s="757">
        <f>VLOOKUP(B152,Locatieoverzicht!$A$14:$E$21,5,FALSE)</f>
        <v>1</v>
      </c>
      <c r="E152" s="380">
        <v>2</v>
      </c>
      <c r="F152" s="556" t="s">
        <v>471</v>
      </c>
      <c r="G152" s="555" t="s">
        <v>401</v>
      </c>
      <c r="H152" s="374" t="str">
        <f t="shared" si="30"/>
        <v>Leslokaal regulier</v>
      </c>
      <c r="I152" s="375" t="s">
        <v>612</v>
      </c>
      <c r="J152" s="561">
        <v>52</v>
      </c>
      <c r="K152" s="612">
        <v>8040</v>
      </c>
      <c r="L152" s="376">
        <f t="shared" si="31"/>
        <v>40</v>
      </c>
      <c r="M152" s="377">
        <f t="shared" si="34"/>
        <v>0</v>
      </c>
      <c r="N152" s="377">
        <f t="shared" si="35"/>
        <v>0</v>
      </c>
      <c r="O152" s="377">
        <f t="shared" si="32"/>
        <v>0</v>
      </c>
      <c r="P152" s="377">
        <f t="shared" si="33"/>
        <v>0</v>
      </c>
      <c r="Q152" s="755">
        <v>1</v>
      </c>
      <c r="R152" s="378" t="str">
        <f t="shared" si="28"/>
        <v>L</v>
      </c>
      <c r="S152" s="379"/>
      <c r="T152" s="379"/>
      <c r="U152" s="756">
        <f t="shared" si="29"/>
        <v>2080</v>
      </c>
    </row>
    <row r="153" spans="1:21" ht="14.1" customHeight="1">
      <c r="A153" s="559">
        <v>153</v>
      </c>
      <c r="B153" s="551" t="s">
        <v>523</v>
      </c>
      <c r="C153" s="552" t="s">
        <v>524</v>
      </c>
      <c r="D153" s="757">
        <f>VLOOKUP(B153,Locatieoverzicht!$A$14:$E$21,5,FALSE)</f>
        <v>1</v>
      </c>
      <c r="E153" s="380">
        <v>2</v>
      </c>
      <c r="F153" s="556" t="s">
        <v>472</v>
      </c>
      <c r="G153" s="555" t="s">
        <v>402</v>
      </c>
      <c r="H153" s="374" t="str">
        <f t="shared" si="30"/>
        <v>Administratieve ruimten</v>
      </c>
      <c r="I153" s="375" t="s">
        <v>612</v>
      </c>
      <c r="J153" s="561">
        <v>28</v>
      </c>
      <c r="K153" s="612">
        <v>1040</v>
      </c>
      <c r="L153" s="376">
        <f t="shared" si="31"/>
        <v>40</v>
      </c>
      <c r="M153" s="377">
        <f t="shared" si="34"/>
        <v>0</v>
      </c>
      <c r="N153" s="377">
        <f t="shared" si="35"/>
        <v>0</v>
      </c>
      <c r="O153" s="377">
        <f t="shared" si="32"/>
        <v>0</v>
      </c>
      <c r="P153" s="377">
        <f t="shared" si="33"/>
        <v>0</v>
      </c>
      <c r="Q153" s="755">
        <v>1</v>
      </c>
      <c r="R153" s="378" t="str">
        <f t="shared" si="28"/>
        <v>B</v>
      </c>
      <c r="S153" s="379"/>
      <c r="T153" s="379"/>
      <c r="U153" s="756">
        <f t="shared" si="29"/>
        <v>1120</v>
      </c>
    </row>
    <row r="154" spans="1:21" ht="14.1" customHeight="1">
      <c r="A154" s="559">
        <v>154</v>
      </c>
      <c r="B154" s="551" t="s">
        <v>523</v>
      </c>
      <c r="C154" s="552" t="s">
        <v>524</v>
      </c>
      <c r="D154" s="757">
        <f>VLOOKUP(B154,Locatieoverzicht!$A$14:$E$21,5,FALSE)</f>
        <v>1</v>
      </c>
      <c r="E154" s="380">
        <v>2</v>
      </c>
      <c r="F154" s="556" t="s">
        <v>473</v>
      </c>
      <c r="G154" s="555" t="s">
        <v>400</v>
      </c>
      <c r="H154" s="374" t="str">
        <f t="shared" si="30"/>
        <v>Sanitaire ruimten</v>
      </c>
      <c r="I154" s="375" t="s">
        <v>614</v>
      </c>
      <c r="J154" s="561">
        <v>3</v>
      </c>
      <c r="K154" s="612">
        <v>2200</v>
      </c>
      <c r="L154" s="376">
        <f t="shared" si="31"/>
        <v>200</v>
      </c>
      <c r="M154" s="377">
        <f t="shared" si="34"/>
        <v>0</v>
      </c>
      <c r="N154" s="377">
        <f t="shared" si="35"/>
        <v>0</v>
      </c>
      <c r="O154" s="377">
        <f t="shared" si="32"/>
        <v>0</v>
      </c>
      <c r="P154" s="377">
        <f t="shared" si="33"/>
        <v>0</v>
      </c>
      <c r="Q154" s="755">
        <v>1</v>
      </c>
      <c r="R154" s="378" t="str">
        <f t="shared" si="28"/>
        <v>S</v>
      </c>
      <c r="S154" s="379"/>
      <c r="T154" s="379"/>
      <c r="U154" s="756">
        <f t="shared" si="29"/>
        <v>600</v>
      </c>
    </row>
    <row r="155" spans="1:21" ht="14.1" customHeight="1">
      <c r="A155" s="559">
        <v>155</v>
      </c>
      <c r="B155" s="551" t="s">
        <v>523</v>
      </c>
      <c r="C155" s="552" t="s">
        <v>524</v>
      </c>
      <c r="D155" s="757">
        <f>VLOOKUP(B155,Locatieoverzicht!$A$14:$E$21,5,FALSE)</f>
        <v>1</v>
      </c>
      <c r="E155" s="380">
        <v>2</v>
      </c>
      <c r="F155" s="556" t="s">
        <v>474</v>
      </c>
      <c r="G155" s="555" t="s">
        <v>398</v>
      </c>
      <c r="H155" s="374" t="str">
        <f t="shared" si="30"/>
        <v>Gangen en hallen</v>
      </c>
      <c r="I155" s="375" t="s">
        <v>614</v>
      </c>
      <c r="J155" s="561">
        <v>24</v>
      </c>
      <c r="K155" s="612">
        <v>3200</v>
      </c>
      <c r="L155" s="376">
        <f t="shared" si="31"/>
        <v>200</v>
      </c>
      <c r="M155" s="377">
        <f t="shared" si="34"/>
        <v>0</v>
      </c>
      <c r="N155" s="377">
        <f t="shared" si="35"/>
        <v>0</v>
      </c>
      <c r="O155" s="377">
        <f t="shared" si="32"/>
        <v>0</v>
      </c>
      <c r="P155" s="377">
        <f t="shared" si="33"/>
        <v>0</v>
      </c>
      <c r="Q155" s="755">
        <v>1</v>
      </c>
      <c r="R155" s="378" t="str">
        <f t="shared" si="28"/>
        <v>V</v>
      </c>
      <c r="S155" s="379"/>
      <c r="T155" s="379"/>
      <c r="U155" s="756">
        <f t="shared" si="29"/>
        <v>4800</v>
      </c>
    </row>
    <row r="156" spans="1:21" ht="14.1" customHeight="1">
      <c r="A156" s="559">
        <v>156</v>
      </c>
      <c r="B156" s="551" t="s">
        <v>523</v>
      </c>
      <c r="C156" s="552" t="s">
        <v>524</v>
      </c>
      <c r="D156" s="757">
        <f>VLOOKUP(B156,Locatieoverzicht!$A$14:$E$21,5,FALSE)</f>
        <v>1</v>
      </c>
      <c r="E156" s="380">
        <v>2</v>
      </c>
      <c r="F156" s="556" t="s">
        <v>564</v>
      </c>
      <c r="G156" s="555" t="s">
        <v>550</v>
      </c>
      <c r="H156" s="374" t="str">
        <f t="shared" si="30"/>
        <v>Trappenhuizen</v>
      </c>
      <c r="I156" s="375" t="s">
        <v>614</v>
      </c>
      <c r="J156" s="561">
        <v>6</v>
      </c>
      <c r="K156" s="612">
        <v>5200</v>
      </c>
      <c r="L156" s="376">
        <f t="shared" si="31"/>
        <v>200</v>
      </c>
      <c r="M156" s="377">
        <f t="shared" si="34"/>
        <v>0</v>
      </c>
      <c r="N156" s="377">
        <f t="shared" si="35"/>
        <v>0</v>
      </c>
      <c r="O156" s="377">
        <f t="shared" si="32"/>
        <v>0</v>
      </c>
      <c r="P156" s="377">
        <f t="shared" si="33"/>
        <v>0</v>
      </c>
      <c r="Q156" s="755">
        <v>1</v>
      </c>
      <c r="R156" s="378" t="str">
        <f t="shared" si="28"/>
        <v>V</v>
      </c>
      <c r="S156" s="379"/>
      <c r="T156" s="379"/>
      <c r="U156" s="756">
        <f t="shared" si="29"/>
        <v>1200</v>
      </c>
    </row>
    <row r="157" spans="1:21" ht="14.1" customHeight="1">
      <c r="A157" s="559">
        <v>157</v>
      </c>
      <c r="B157" s="551" t="s">
        <v>523</v>
      </c>
      <c r="C157" s="552" t="s">
        <v>524</v>
      </c>
      <c r="D157" s="757">
        <f>VLOOKUP(B157,Locatieoverzicht!$A$14:$E$21,5,FALSE)</f>
        <v>1</v>
      </c>
      <c r="E157" s="380">
        <v>2</v>
      </c>
      <c r="F157" s="556" t="s">
        <v>475</v>
      </c>
      <c r="G157" s="555" t="s">
        <v>402</v>
      </c>
      <c r="H157" s="374" t="str">
        <f t="shared" si="30"/>
        <v>Administratieve ruimten</v>
      </c>
      <c r="I157" s="375" t="s">
        <v>613</v>
      </c>
      <c r="J157" s="561">
        <v>13</v>
      </c>
      <c r="K157" s="612">
        <v>1040</v>
      </c>
      <c r="L157" s="376">
        <f t="shared" si="31"/>
        <v>40</v>
      </c>
      <c r="M157" s="377">
        <f t="shared" si="34"/>
        <v>0</v>
      </c>
      <c r="N157" s="377">
        <f t="shared" si="35"/>
        <v>0</v>
      </c>
      <c r="O157" s="377">
        <f t="shared" si="32"/>
        <v>0</v>
      </c>
      <c r="P157" s="377">
        <f t="shared" si="33"/>
        <v>0</v>
      </c>
      <c r="Q157" s="755">
        <v>1</v>
      </c>
      <c r="R157" s="378" t="str">
        <f t="shared" si="28"/>
        <v>B</v>
      </c>
      <c r="S157" s="379"/>
      <c r="T157" s="379"/>
      <c r="U157" s="756">
        <f t="shared" si="29"/>
        <v>520</v>
      </c>
    </row>
    <row r="158" spans="1:21" ht="14.1" customHeight="1">
      <c r="A158" s="559">
        <v>158</v>
      </c>
      <c r="B158" s="551" t="s">
        <v>523</v>
      </c>
      <c r="C158" s="552" t="s">
        <v>524</v>
      </c>
      <c r="D158" s="757">
        <f>VLOOKUP(B158,Locatieoverzicht!$A$14:$E$21,5,FALSE)</f>
        <v>1</v>
      </c>
      <c r="E158" s="380">
        <v>2</v>
      </c>
      <c r="F158" s="556" t="s">
        <v>476</v>
      </c>
      <c r="G158" s="555" t="s">
        <v>398</v>
      </c>
      <c r="H158" s="374" t="str">
        <f t="shared" si="30"/>
        <v>Gangen en hallen</v>
      </c>
      <c r="I158" s="375" t="s">
        <v>614</v>
      </c>
      <c r="J158" s="561">
        <v>28</v>
      </c>
      <c r="K158" s="612">
        <v>3200</v>
      </c>
      <c r="L158" s="376">
        <f t="shared" si="31"/>
        <v>200</v>
      </c>
      <c r="M158" s="377">
        <f t="shared" si="34"/>
        <v>0</v>
      </c>
      <c r="N158" s="377">
        <f t="shared" si="35"/>
        <v>0</v>
      </c>
      <c r="O158" s="377">
        <f t="shared" si="32"/>
        <v>0</v>
      </c>
      <c r="P158" s="377">
        <f t="shared" si="33"/>
        <v>0</v>
      </c>
      <c r="Q158" s="755">
        <v>1</v>
      </c>
      <c r="R158" s="378" t="str">
        <f t="shared" si="28"/>
        <v>V</v>
      </c>
      <c r="S158" s="379"/>
      <c r="T158" s="379"/>
      <c r="U158" s="756">
        <f t="shared" si="29"/>
        <v>5600</v>
      </c>
    </row>
    <row r="159" spans="1:21" ht="14.1" customHeight="1">
      <c r="A159" s="559">
        <v>159</v>
      </c>
      <c r="B159" s="551" t="s">
        <v>523</v>
      </c>
      <c r="C159" s="552" t="s">
        <v>524</v>
      </c>
      <c r="D159" s="757">
        <f>VLOOKUP(B159,Locatieoverzicht!$A$14:$E$21,5,FALSE)</f>
        <v>1</v>
      </c>
      <c r="E159" s="380">
        <v>2</v>
      </c>
      <c r="F159" s="556" t="s">
        <v>477</v>
      </c>
      <c r="G159" s="555" t="s">
        <v>401</v>
      </c>
      <c r="H159" s="374" t="str">
        <f t="shared" si="30"/>
        <v>Leslokaal regulier</v>
      </c>
      <c r="I159" s="375" t="s">
        <v>613</v>
      </c>
      <c r="J159" s="561">
        <v>41</v>
      </c>
      <c r="K159" s="612">
        <v>8040</v>
      </c>
      <c r="L159" s="376">
        <f t="shared" si="31"/>
        <v>40</v>
      </c>
      <c r="M159" s="377">
        <f t="shared" si="34"/>
        <v>0</v>
      </c>
      <c r="N159" s="377">
        <f t="shared" si="35"/>
        <v>0</v>
      </c>
      <c r="O159" s="377">
        <f t="shared" si="32"/>
        <v>0</v>
      </c>
      <c r="P159" s="377">
        <f t="shared" si="33"/>
        <v>0</v>
      </c>
      <c r="Q159" s="755">
        <v>1</v>
      </c>
      <c r="R159" s="378" t="str">
        <f t="shared" si="28"/>
        <v>L</v>
      </c>
      <c r="S159" s="379"/>
      <c r="T159" s="379"/>
      <c r="U159" s="756">
        <f t="shared" si="29"/>
        <v>1640</v>
      </c>
    </row>
    <row r="160" spans="1:21" ht="14.1" customHeight="1">
      <c r="A160" s="559">
        <v>160</v>
      </c>
      <c r="B160" s="551" t="s">
        <v>523</v>
      </c>
      <c r="C160" s="554" t="s">
        <v>524</v>
      </c>
      <c r="D160" s="757">
        <f>VLOOKUP(B160,Locatieoverzicht!$A$14:$E$21,5,FALSE)</f>
        <v>1</v>
      </c>
      <c r="E160" s="380">
        <v>2</v>
      </c>
      <c r="F160" s="556" t="s">
        <v>478</v>
      </c>
      <c r="G160" s="555" t="s">
        <v>401</v>
      </c>
      <c r="H160" s="374" t="str">
        <f t="shared" si="30"/>
        <v>Leslokaal regulier</v>
      </c>
      <c r="I160" s="375" t="s">
        <v>613</v>
      </c>
      <c r="J160" s="561">
        <v>19</v>
      </c>
      <c r="K160" s="612">
        <v>8040</v>
      </c>
      <c r="L160" s="376">
        <f t="shared" si="31"/>
        <v>40</v>
      </c>
      <c r="M160" s="377">
        <f t="shared" si="34"/>
        <v>0</v>
      </c>
      <c r="N160" s="377">
        <f t="shared" si="35"/>
        <v>0</v>
      </c>
      <c r="O160" s="377">
        <f t="shared" si="32"/>
        <v>0</v>
      </c>
      <c r="P160" s="377">
        <f t="shared" si="33"/>
        <v>0</v>
      </c>
      <c r="Q160" s="755">
        <v>1</v>
      </c>
      <c r="R160" s="378" t="str">
        <f t="shared" si="28"/>
        <v>L</v>
      </c>
      <c r="S160" s="379"/>
      <c r="T160" s="379"/>
      <c r="U160" s="756">
        <f t="shared" si="29"/>
        <v>760</v>
      </c>
    </row>
    <row r="161" spans="1:21" ht="14.1" customHeight="1">
      <c r="A161" s="559">
        <v>161</v>
      </c>
      <c r="B161" s="551" t="s">
        <v>523</v>
      </c>
      <c r="C161" s="552" t="s">
        <v>524</v>
      </c>
      <c r="D161" s="757">
        <f>VLOOKUP(B161,Locatieoverzicht!$A$14:$E$21,5,FALSE)</f>
        <v>1</v>
      </c>
      <c r="E161" s="380">
        <v>2</v>
      </c>
      <c r="F161" s="556" t="s">
        <v>479</v>
      </c>
      <c r="G161" s="555" t="s">
        <v>399</v>
      </c>
      <c r="H161" s="374" t="str">
        <f t="shared" si="30"/>
        <v>Mediatheek/Bibliotheek/Computerlokaal</v>
      </c>
      <c r="I161" s="375" t="s">
        <v>613</v>
      </c>
      <c r="J161" s="561">
        <v>62</v>
      </c>
      <c r="K161" s="612">
        <v>14080</v>
      </c>
      <c r="L161" s="376">
        <f t="shared" si="31"/>
        <v>80</v>
      </c>
      <c r="M161" s="377">
        <f t="shared" si="34"/>
        <v>0</v>
      </c>
      <c r="N161" s="377">
        <f t="shared" si="35"/>
        <v>0</v>
      </c>
      <c r="O161" s="377">
        <f t="shared" si="32"/>
        <v>0</v>
      </c>
      <c r="P161" s="377">
        <f t="shared" si="33"/>
        <v>0</v>
      </c>
      <c r="Q161" s="755">
        <v>1</v>
      </c>
      <c r="R161" s="378" t="str">
        <f t="shared" si="28"/>
        <v>V</v>
      </c>
      <c r="S161" s="379"/>
      <c r="T161" s="379"/>
      <c r="U161" s="756">
        <f t="shared" si="29"/>
        <v>4960</v>
      </c>
    </row>
    <row r="162" spans="1:21" ht="14.1" customHeight="1">
      <c r="A162" s="559">
        <v>162</v>
      </c>
      <c r="B162" s="551" t="s">
        <v>523</v>
      </c>
      <c r="C162" s="552" t="s">
        <v>524</v>
      </c>
      <c r="D162" s="757">
        <f>VLOOKUP(B162,Locatieoverzicht!$A$14:$E$21,5,FALSE)</f>
        <v>1</v>
      </c>
      <c r="E162" s="380">
        <v>2</v>
      </c>
      <c r="F162" s="556" t="s">
        <v>480</v>
      </c>
      <c r="G162" s="555" t="s">
        <v>522</v>
      </c>
      <c r="H162" s="374" t="str">
        <f t="shared" si="30"/>
        <v>Niet van toepassing</v>
      </c>
      <c r="I162" s="375" t="s">
        <v>613</v>
      </c>
      <c r="J162" s="561">
        <v>8</v>
      </c>
      <c r="K162" s="612" t="s">
        <v>239</v>
      </c>
      <c r="L162" s="376">
        <f t="shared" si="31"/>
        <v>0</v>
      </c>
      <c r="M162" s="377">
        <f t="shared" si="34"/>
        <v>0</v>
      </c>
      <c r="N162" s="377">
        <f t="shared" si="35"/>
        <v>0</v>
      </c>
      <c r="O162" s="377">
        <f t="shared" si="32"/>
        <v>0</v>
      </c>
      <c r="P162" s="377">
        <f t="shared" si="33"/>
        <v>0</v>
      </c>
      <c r="Q162" s="755">
        <v>1</v>
      </c>
      <c r="R162" s="378">
        <f t="shared" si="28"/>
        <v>0</v>
      </c>
      <c r="S162" s="379"/>
      <c r="T162" s="379"/>
      <c r="U162" s="756">
        <f t="shared" si="29"/>
        <v>0</v>
      </c>
    </row>
    <row r="163" spans="1:21" ht="14.1" customHeight="1">
      <c r="A163" s="559">
        <v>163</v>
      </c>
      <c r="B163" s="551" t="s">
        <v>523</v>
      </c>
      <c r="C163" s="552" t="s">
        <v>524</v>
      </c>
      <c r="D163" s="757">
        <f>VLOOKUP(B163,Locatieoverzicht!$A$14:$E$21,5,FALSE)</f>
        <v>1</v>
      </c>
      <c r="E163" s="380">
        <v>3</v>
      </c>
      <c r="F163" s="556" t="s">
        <v>481</v>
      </c>
      <c r="G163" s="555" t="s">
        <v>398</v>
      </c>
      <c r="H163" s="374" t="str">
        <f t="shared" si="30"/>
        <v>Gangen en hallen</v>
      </c>
      <c r="I163" s="375" t="s">
        <v>612</v>
      </c>
      <c r="J163" s="561">
        <v>47</v>
      </c>
      <c r="K163" s="612">
        <v>3200</v>
      </c>
      <c r="L163" s="376">
        <f t="shared" si="31"/>
        <v>200</v>
      </c>
      <c r="M163" s="377">
        <f t="shared" si="34"/>
        <v>0</v>
      </c>
      <c r="N163" s="377">
        <f t="shared" si="35"/>
        <v>0</v>
      </c>
      <c r="O163" s="377">
        <f t="shared" si="32"/>
        <v>0</v>
      </c>
      <c r="P163" s="377">
        <f t="shared" si="33"/>
        <v>0</v>
      </c>
      <c r="Q163" s="755">
        <v>1</v>
      </c>
      <c r="R163" s="378" t="str">
        <f t="shared" si="28"/>
        <v>V</v>
      </c>
      <c r="S163" s="379"/>
      <c r="T163" s="379"/>
      <c r="U163" s="756">
        <f t="shared" si="29"/>
        <v>9400</v>
      </c>
    </row>
    <row r="164" spans="1:21" ht="14.1" customHeight="1">
      <c r="A164" s="559">
        <v>164</v>
      </c>
      <c r="B164" s="551" t="s">
        <v>523</v>
      </c>
      <c r="C164" s="552" t="s">
        <v>524</v>
      </c>
      <c r="D164" s="757">
        <f>VLOOKUP(B164,Locatieoverzicht!$A$14:$E$21,5,FALSE)</f>
        <v>1</v>
      </c>
      <c r="E164" s="380">
        <v>3</v>
      </c>
      <c r="F164" s="556" t="s">
        <v>482</v>
      </c>
      <c r="G164" s="555" t="s">
        <v>402</v>
      </c>
      <c r="H164" s="374" t="str">
        <f t="shared" si="30"/>
        <v>Administratieve ruimten</v>
      </c>
      <c r="I164" s="375" t="s">
        <v>612</v>
      </c>
      <c r="J164" s="561">
        <v>11</v>
      </c>
      <c r="K164" s="612">
        <v>1040</v>
      </c>
      <c r="L164" s="376">
        <f t="shared" si="31"/>
        <v>40</v>
      </c>
      <c r="M164" s="377">
        <f t="shared" si="34"/>
        <v>0</v>
      </c>
      <c r="N164" s="377">
        <f t="shared" si="35"/>
        <v>0</v>
      </c>
      <c r="O164" s="377">
        <f t="shared" si="32"/>
        <v>0</v>
      </c>
      <c r="P164" s="377">
        <f t="shared" si="33"/>
        <v>0</v>
      </c>
      <c r="Q164" s="755">
        <v>1</v>
      </c>
      <c r="R164" s="378" t="str">
        <f t="shared" si="28"/>
        <v>B</v>
      </c>
      <c r="S164" s="379"/>
      <c r="T164" s="379"/>
      <c r="U164" s="756">
        <f t="shared" si="29"/>
        <v>440</v>
      </c>
    </row>
    <row r="165" spans="1:21" ht="14.1" customHeight="1">
      <c r="A165" s="559">
        <v>165</v>
      </c>
      <c r="B165" s="551" t="s">
        <v>523</v>
      </c>
      <c r="C165" s="552" t="s">
        <v>524</v>
      </c>
      <c r="D165" s="757">
        <f>VLOOKUP(B165,Locatieoverzicht!$A$14:$E$21,5,FALSE)</f>
        <v>1</v>
      </c>
      <c r="E165" s="380">
        <v>3</v>
      </c>
      <c r="F165" s="556" t="s">
        <v>483</v>
      </c>
      <c r="G165" s="555" t="s">
        <v>400</v>
      </c>
      <c r="H165" s="374" t="str">
        <f t="shared" si="30"/>
        <v>Sanitaire ruimten</v>
      </c>
      <c r="I165" s="375" t="s">
        <v>614</v>
      </c>
      <c r="J165" s="561">
        <v>3</v>
      </c>
      <c r="K165" s="612">
        <v>2200</v>
      </c>
      <c r="L165" s="376">
        <f t="shared" si="31"/>
        <v>200</v>
      </c>
      <c r="M165" s="377">
        <f t="shared" si="34"/>
        <v>0</v>
      </c>
      <c r="N165" s="377">
        <f t="shared" si="35"/>
        <v>0</v>
      </c>
      <c r="O165" s="377">
        <f t="shared" si="32"/>
        <v>0</v>
      </c>
      <c r="P165" s="377">
        <f t="shared" si="33"/>
        <v>0</v>
      </c>
      <c r="Q165" s="755">
        <v>1</v>
      </c>
      <c r="R165" s="378" t="str">
        <f t="shared" si="28"/>
        <v>S</v>
      </c>
      <c r="S165" s="379"/>
      <c r="T165" s="379"/>
      <c r="U165" s="756">
        <f t="shared" si="29"/>
        <v>600</v>
      </c>
    </row>
    <row r="166" spans="1:21" ht="14.1" customHeight="1">
      <c r="A166" s="559">
        <v>166</v>
      </c>
      <c r="B166" s="551" t="s">
        <v>523</v>
      </c>
      <c r="C166" s="552" t="s">
        <v>524</v>
      </c>
      <c r="D166" s="757">
        <f>VLOOKUP(B166,Locatieoverzicht!$A$14:$E$21,5,FALSE)</f>
        <v>1</v>
      </c>
      <c r="E166" s="380">
        <v>3</v>
      </c>
      <c r="F166" s="556" t="s">
        <v>484</v>
      </c>
      <c r="G166" s="555" t="s">
        <v>401</v>
      </c>
      <c r="H166" s="374" t="str">
        <f t="shared" si="30"/>
        <v>Leslokaal regulier</v>
      </c>
      <c r="I166" s="375" t="s">
        <v>612</v>
      </c>
      <c r="J166" s="561">
        <v>55</v>
      </c>
      <c r="K166" s="612">
        <v>8040</v>
      </c>
      <c r="L166" s="376">
        <f t="shared" si="31"/>
        <v>40</v>
      </c>
      <c r="M166" s="377">
        <f t="shared" si="34"/>
        <v>0</v>
      </c>
      <c r="N166" s="377">
        <f t="shared" si="35"/>
        <v>0</v>
      </c>
      <c r="O166" s="377">
        <f t="shared" si="32"/>
        <v>0</v>
      </c>
      <c r="P166" s="377">
        <f t="shared" si="33"/>
        <v>0</v>
      </c>
      <c r="Q166" s="755">
        <v>1</v>
      </c>
      <c r="R166" s="378" t="str">
        <f t="shared" si="28"/>
        <v>L</v>
      </c>
      <c r="S166" s="379"/>
      <c r="T166" s="379"/>
      <c r="U166" s="756">
        <f t="shared" si="29"/>
        <v>2200</v>
      </c>
    </row>
    <row r="167" spans="1:21" ht="14.1" customHeight="1">
      <c r="A167" s="559">
        <v>167</v>
      </c>
      <c r="B167" s="551" t="s">
        <v>523</v>
      </c>
      <c r="C167" s="552" t="s">
        <v>524</v>
      </c>
      <c r="D167" s="757">
        <f>VLOOKUP(B167,Locatieoverzicht!$A$14:$E$21,5,FALSE)</f>
        <v>1</v>
      </c>
      <c r="E167" s="380">
        <v>3</v>
      </c>
      <c r="F167" s="556" t="s">
        <v>485</v>
      </c>
      <c r="G167" s="555" t="s">
        <v>401</v>
      </c>
      <c r="H167" s="374" t="str">
        <f t="shared" si="30"/>
        <v>Leslokaal regulier</v>
      </c>
      <c r="I167" s="375" t="s">
        <v>613</v>
      </c>
      <c r="J167" s="561">
        <v>56</v>
      </c>
      <c r="K167" s="612">
        <v>8040</v>
      </c>
      <c r="L167" s="376">
        <f t="shared" si="31"/>
        <v>40</v>
      </c>
      <c r="M167" s="377">
        <f t="shared" si="34"/>
        <v>0</v>
      </c>
      <c r="N167" s="377">
        <f t="shared" si="35"/>
        <v>0</v>
      </c>
      <c r="O167" s="377">
        <f t="shared" si="32"/>
        <v>0</v>
      </c>
      <c r="P167" s="377">
        <f t="shared" si="33"/>
        <v>0</v>
      </c>
      <c r="Q167" s="755">
        <v>1</v>
      </c>
      <c r="R167" s="378" t="str">
        <f t="shared" si="28"/>
        <v>L</v>
      </c>
      <c r="S167" s="379"/>
      <c r="T167" s="379"/>
      <c r="U167" s="756">
        <f t="shared" si="29"/>
        <v>2240</v>
      </c>
    </row>
    <row r="168" spans="1:21" ht="14.1" customHeight="1">
      <c r="A168" s="559">
        <v>168</v>
      </c>
      <c r="B168" s="551" t="s">
        <v>523</v>
      </c>
      <c r="C168" s="552" t="s">
        <v>524</v>
      </c>
      <c r="D168" s="757">
        <f>VLOOKUP(B168,Locatieoverzicht!$A$14:$E$21,5,FALSE)</f>
        <v>1</v>
      </c>
      <c r="E168" s="380">
        <v>3</v>
      </c>
      <c r="F168" s="556" t="s">
        <v>486</v>
      </c>
      <c r="G168" s="555" t="s">
        <v>401</v>
      </c>
      <c r="H168" s="374" t="str">
        <f t="shared" si="30"/>
        <v>Leslokaal regulier</v>
      </c>
      <c r="I168" s="375" t="s">
        <v>612</v>
      </c>
      <c r="J168" s="561">
        <v>51</v>
      </c>
      <c r="K168" s="612">
        <v>8040</v>
      </c>
      <c r="L168" s="376">
        <f t="shared" si="31"/>
        <v>40</v>
      </c>
      <c r="M168" s="377">
        <f t="shared" si="34"/>
        <v>0</v>
      </c>
      <c r="N168" s="377">
        <f t="shared" si="35"/>
        <v>0</v>
      </c>
      <c r="O168" s="377">
        <f t="shared" si="32"/>
        <v>0</v>
      </c>
      <c r="P168" s="377">
        <f t="shared" si="33"/>
        <v>0</v>
      </c>
      <c r="Q168" s="755">
        <v>1</v>
      </c>
      <c r="R168" s="378" t="str">
        <f t="shared" si="28"/>
        <v>L</v>
      </c>
      <c r="S168" s="379"/>
      <c r="T168" s="379"/>
      <c r="U168" s="756">
        <f t="shared" si="29"/>
        <v>2040</v>
      </c>
    </row>
    <row r="169" spans="1:21" ht="14.1" customHeight="1">
      <c r="A169" s="559">
        <v>169</v>
      </c>
      <c r="B169" s="551" t="s">
        <v>523</v>
      </c>
      <c r="C169" s="552" t="s">
        <v>524</v>
      </c>
      <c r="D169" s="757">
        <f>VLOOKUP(B169,Locatieoverzicht!$A$14:$E$21,5,FALSE)</f>
        <v>1</v>
      </c>
      <c r="E169" s="380">
        <v>3</v>
      </c>
      <c r="F169" s="556" t="s">
        <v>487</v>
      </c>
      <c r="G169" s="555" t="s">
        <v>398</v>
      </c>
      <c r="H169" s="374" t="str">
        <f t="shared" si="30"/>
        <v>Gangen en hallen</v>
      </c>
      <c r="I169" s="375" t="s">
        <v>614</v>
      </c>
      <c r="J169" s="561">
        <v>3</v>
      </c>
      <c r="K169" s="612">
        <v>3200</v>
      </c>
      <c r="L169" s="376">
        <f t="shared" si="31"/>
        <v>200</v>
      </c>
      <c r="M169" s="377">
        <f t="shared" si="34"/>
        <v>0</v>
      </c>
      <c r="N169" s="377">
        <f t="shared" si="35"/>
        <v>0</v>
      </c>
      <c r="O169" s="377">
        <f t="shared" si="32"/>
        <v>0</v>
      </c>
      <c r="P169" s="377">
        <f t="shared" si="33"/>
        <v>0</v>
      </c>
      <c r="Q169" s="755">
        <v>1</v>
      </c>
      <c r="R169" s="378" t="str">
        <f t="shared" si="28"/>
        <v>V</v>
      </c>
      <c r="S169" s="379"/>
      <c r="T169" s="379"/>
      <c r="U169" s="756">
        <f t="shared" si="29"/>
        <v>600</v>
      </c>
    </row>
    <row r="170" spans="1:21" ht="14.1" customHeight="1">
      <c r="A170" s="559">
        <v>170</v>
      </c>
      <c r="B170" s="551" t="s">
        <v>523</v>
      </c>
      <c r="C170" s="552" t="s">
        <v>524</v>
      </c>
      <c r="D170" s="757">
        <f>VLOOKUP(B170,Locatieoverzicht!$A$14:$E$21,5,FALSE)</f>
        <v>1</v>
      </c>
      <c r="E170" s="380">
        <v>3</v>
      </c>
      <c r="F170" s="556" t="s">
        <v>488</v>
      </c>
      <c r="G170" s="555" t="s">
        <v>522</v>
      </c>
      <c r="H170" s="374" t="str">
        <f t="shared" si="30"/>
        <v>Niet van toepassing</v>
      </c>
      <c r="I170" s="375" t="s">
        <v>612</v>
      </c>
      <c r="J170" s="561">
        <v>8</v>
      </c>
      <c r="K170" s="612" t="s">
        <v>239</v>
      </c>
      <c r="L170" s="376">
        <f t="shared" si="31"/>
        <v>0</v>
      </c>
      <c r="M170" s="377">
        <f t="shared" si="34"/>
        <v>0</v>
      </c>
      <c r="N170" s="377">
        <f t="shared" si="35"/>
        <v>0</v>
      </c>
      <c r="O170" s="377">
        <f t="shared" si="32"/>
        <v>0</v>
      </c>
      <c r="P170" s="377">
        <f t="shared" si="33"/>
        <v>0</v>
      </c>
      <c r="Q170" s="755">
        <v>1</v>
      </c>
      <c r="R170" s="378">
        <f t="shared" si="28"/>
        <v>0</v>
      </c>
      <c r="S170" s="379"/>
      <c r="T170" s="379"/>
      <c r="U170" s="756">
        <f t="shared" si="29"/>
        <v>0</v>
      </c>
    </row>
    <row r="171" spans="1:21" ht="14.1" customHeight="1">
      <c r="A171" s="559">
        <v>171</v>
      </c>
      <c r="B171" s="551" t="s">
        <v>523</v>
      </c>
      <c r="C171" s="552" t="s">
        <v>524</v>
      </c>
      <c r="D171" s="757">
        <f>VLOOKUP(B171,Locatieoverzicht!$A$14:$E$21,5,FALSE)</f>
        <v>1</v>
      </c>
      <c r="E171" s="380">
        <v>3</v>
      </c>
      <c r="F171" s="556" t="s">
        <v>489</v>
      </c>
      <c r="G171" s="555" t="s">
        <v>398</v>
      </c>
      <c r="H171" s="374" t="str">
        <f t="shared" si="30"/>
        <v>Gangen en hallen</v>
      </c>
      <c r="I171" s="375" t="s">
        <v>612</v>
      </c>
      <c r="J171" s="561">
        <v>16</v>
      </c>
      <c r="K171" s="612">
        <v>3200</v>
      </c>
      <c r="L171" s="376">
        <f t="shared" si="31"/>
        <v>200</v>
      </c>
      <c r="M171" s="377">
        <f t="shared" si="34"/>
        <v>0</v>
      </c>
      <c r="N171" s="377">
        <f t="shared" si="35"/>
        <v>0</v>
      </c>
      <c r="O171" s="377">
        <f t="shared" si="32"/>
        <v>0</v>
      </c>
      <c r="P171" s="377">
        <f t="shared" si="33"/>
        <v>0</v>
      </c>
      <c r="Q171" s="755">
        <v>1</v>
      </c>
      <c r="R171" s="378" t="str">
        <f t="shared" si="28"/>
        <v>V</v>
      </c>
      <c r="S171" s="379"/>
      <c r="T171" s="379"/>
      <c r="U171" s="756">
        <f t="shared" si="29"/>
        <v>3200</v>
      </c>
    </row>
    <row r="172" spans="1:21" ht="14.1" customHeight="1">
      <c r="A172" s="559">
        <v>172</v>
      </c>
      <c r="B172" s="551" t="s">
        <v>523</v>
      </c>
      <c r="C172" s="552" t="s">
        <v>524</v>
      </c>
      <c r="D172" s="757">
        <f>VLOOKUP(B172,Locatieoverzicht!$A$14:$E$21,5,FALSE)</f>
        <v>1</v>
      </c>
      <c r="E172" s="380">
        <v>3</v>
      </c>
      <c r="F172" s="556" t="s">
        <v>490</v>
      </c>
      <c r="G172" s="555" t="s">
        <v>522</v>
      </c>
      <c r="H172" s="374" t="str">
        <f t="shared" si="30"/>
        <v>Niet van toepassing</v>
      </c>
      <c r="I172" s="375" t="s">
        <v>615</v>
      </c>
      <c r="J172" s="561">
        <v>1</v>
      </c>
      <c r="K172" s="612" t="s">
        <v>239</v>
      </c>
      <c r="L172" s="376">
        <f t="shared" si="31"/>
        <v>0</v>
      </c>
      <c r="M172" s="377">
        <f t="shared" si="34"/>
        <v>0</v>
      </c>
      <c r="N172" s="377">
        <f t="shared" si="35"/>
        <v>0</v>
      </c>
      <c r="O172" s="377">
        <f t="shared" si="32"/>
        <v>0</v>
      </c>
      <c r="P172" s="377">
        <f t="shared" si="33"/>
        <v>0</v>
      </c>
      <c r="Q172" s="755">
        <v>1</v>
      </c>
      <c r="R172" s="378">
        <f t="shared" si="28"/>
        <v>0</v>
      </c>
      <c r="S172" s="379"/>
      <c r="T172" s="379"/>
      <c r="U172" s="756">
        <f t="shared" si="29"/>
        <v>0</v>
      </c>
    </row>
    <row r="173" spans="1:21" ht="14.1" customHeight="1">
      <c r="A173" s="559">
        <v>173</v>
      </c>
      <c r="B173" s="551" t="s">
        <v>523</v>
      </c>
      <c r="C173" s="552" t="s">
        <v>524</v>
      </c>
      <c r="D173" s="757">
        <f>VLOOKUP(B173,Locatieoverzicht!$A$14:$E$21,5,FALSE)</f>
        <v>1</v>
      </c>
      <c r="E173" s="380">
        <v>3</v>
      </c>
      <c r="F173" s="556" t="s">
        <v>491</v>
      </c>
      <c r="G173" s="555" t="s">
        <v>399</v>
      </c>
      <c r="H173" s="374" t="str">
        <f t="shared" si="30"/>
        <v>Mediatheek/Bibliotheek/Computerlokaal</v>
      </c>
      <c r="I173" s="375" t="s">
        <v>612</v>
      </c>
      <c r="J173" s="561">
        <v>52</v>
      </c>
      <c r="K173" s="612">
        <v>14080</v>
      </c>
      <c r="L173" s="376">
        <f t="shared" si="31"/>
        <v>80</v>
      </c>
      <c r="M173" s="377">
        <f t="shared" si="34"/>
        <v>0</v>
      </c>
      <c r="N173" s="377">
        <f t="shared" si="35"/>
        <v>0</v>
      </c>
      <c r="O173" s="377">
        <f t="shared" si="32"/>
        <v>0</v>
      </c>
      <c r="P173" s="377">
        <f t="shared" si="33"/>
        <v>0</v>
      </c>
      <c r="Q173" s="755">
        <v>1</v>
      </c>
      <c r="R173" s="378" t="str">
        <f t="shared" si="28"/>
        <v>V</v>
      </c>
      <c r="S173" s="379"/>
      <c r="T173" s="379"/>
      <c r="U173" s="756">
        <f t="shared" si="29"/>
        <v>4160</v>
      </c>
    </row>
    <row r="174" spans="1:21" ht="14.1" customHeight="1">
      <c r="A174" s="559">
        <v>174</v>
      </c>
      <c r="B174" s="551" t="s">
        <v>523</v>
      </c>
      <c r="C174" s="552" t="s">
        <v>524</v>
      </c>
      <c r="D174" s="757">
        <f>VLOOKUP(B174,Locatieoverzicht!$A$14:$E$21,5,FALSE)</f>
        <v>1</v>
      </c>
      <c r="E174" s="380">
        <v>3</v>
      </c>
      <c r="F174" s="556" t="s">
        <v>492</v>
      </c>
      <c r="G174" s="555" t="s">
        <v>522</v>
      </c>
      <c r="H174" s="374" t="str">
        <f t="shared" si="30"/>
        <v>Niet van toepassing</v>
      </c>
      <c r="I174" s="375" t="s">
        <v>612</v>
      </c>
      <c r="J174" s="561">
        <v>3</v>
      </c>
      <c r="K174" s="612" t="s">
        <v>239</v>
      </c>
      <c r="L174" s="376">
        <f t="shared" si="31"/>
        <v>0</v>
      </c>
      <c r="M174" s="377">
        <f t="shared" si="34"/>
        <v>0</v>
      </c>
      <c r="N174" s="377">
        <f t="shared" si="35"/>
        <v>0</v>
      </c>
      <c r="O174" s="377">
        <f t="shared" si="32"/>
        <v>0</v>
      </c>
      <c r="P174" s="377">
        <f t="shared" si="33"/>
        <v>0</v>
      </c>
      <c r="Q174" s="755">
        <v>1</v>
      </c>
      <c r="R174" s="378">
        <f t="shared" si="28"/>
        <v>0</v>
      </c>
      <c r="S174" s="379"/>
      <c r="T174" s="379"/>
      <c r="U174" s="756">
        <f t="shared" si="29"/>
        <v>0</v>
      </c>
    </row>
    <row r="175" spans="1:21" ht="14.1" customHeight="1">
      <c r="A175" s="559">
        <v>175</v>
      </c>
      <c r="B175" s="551" t="s">
        <v>523</v>
      </c>
      <c r="C175" s="552" t="s">
        <v>524</v>
      </c>
      <c r="D175" s="757">
        <f>VLOOKUP(B175,Locatieoverzicht!$A$14:$E$21,5,FALSE)</f>
        <v>1</v>
      </c>
      <c r="E175" s="380">
        <v>3</v>
      </c>
      <c r="F175" s="556" t="s">
        <v>493</v>
      </c>
      <c r="G175" s="555" t="s">
        <v>399</v>
      </c>
      <c r="H175" s="374" t="str">
        <f t="shared" si="30"/>
        <v>Mediatheek/Bibliotheek/Computerlokaal</v>
      </c>
      <c r="I175" s="375" t="s">
        <v>612</v>
      </c>
      <c r="J175" s="561">
        <v>79</v>
      </c>
      <c r="K175" s="612">
        <v>14080</v>
      </c>
      <c r="L175" s="376">
        <f t="shared" si="31"/>
        <v>80</v>
      </c>
      <c r="M175" s="377">
        <f t="shared" si="34"/>
        <v>0</v>
      </c>
      <c r="N175" s="377">
        <f t="shared" si="35"/>
        <v>0</v>
      </c>
      <c r="O175" s="377">
        <f t="shared" si="32"/>
        <v>0</v>
      </c>
      <c r="P175" s="377">
        <f t="shared" si="33"/>
        <v>0</v>
      </c>
      <c r="Q175" s="755">
        <v>1</v>
      </c>
      <c r="R175" s="378" t="str">
        <f t="shared" si="28"/>
        <v>V</v>
      </c>
      <c r="S175" s="379"/>
      <c r="T175" s="379"/>
      <c r="U175" s="756">
        <f t="shared" si="29"/>
        <v>6320</v>
      </c>
    </row>
    <row r="176" spans="1:21" ht="14.1" customHeight="1">
      <c r="A176" s="559">
        <v>176</v>
      </c>
      <c r="B176" s="551" t="s">
        <v>523</v>
      </c>
      <c r="C176" s="552" t="s">
        <v>524</v>
      </c>
      <c r="D176" s="757">
        <f>VLOOKUP(B176,Locatieoverzicht!$A$14:$E$21,5,FALSE)</f>
        <v>1</v>
      </c>
      <c r="E176" s="380">
        <v>3</v>
      </c>
      <c r="F176" s="556" t="s">
        <v>494</v>
      </c>
      <c r="G176" s="555" t="s">
        <v>401</v>
      </c>
      <c r="H176" s="374" t="str">
        <f t="shared" si="30"/>
        <v>Leslokaal regulier</v>
      </c>
      <c r="I176" s="375" t="s">
        <v>612</v>
      </c>
      <c r="J176" s="561">
        <v>80</v>
      </c>
      <c r="K176" s="612">
        <v>8040</v>
      </c>
      <c r="L176" s="376">
        <f t="shared" si="31"/>
        <v>40</v>
      </c>
      <c r="M176" s="377">
        <f t="shared" si="34"/>
        <v>0</v>
      </c>
      <c r="N176" s="377">
        <f t="shared" si="35"/>
        <v>0</v>
      </c>
      <c r="O176" s="377">
        <f t="shared" si="32"/>
        <v>0</v>
      </c>
      <c r="P176" s="377">
        <f t="shared" si="33"/>
        <v>0</v>
      </c>
      <c r="Q176" s="755">
        <v>1</v>
      </c>
      <c r="R176" s="378" t="str">
        <f t="shared" si="28"/>
        <v>L</v>
      </c>
      <c r="S176" s="379"/>
      <c r="T176" s="379"/>
      <c r="U176" s="756">
        <f t="shared" si="29"/>
        <v>3200</v>
      </c>
    </row>
    <row r="177" spans="1:21" ht="14.1" customHeight="1">
      <c r="A177" s="559">
        <v>177</v>
      </c>
      <c r="B177" s="375" t="s">
        <v>498</v>
      </c>
      <c r="C177" s="553" t="s">
        <v>517</v>
      </c>
      <c r="D177" s="757">
        <f>VLOOKUP(B177,Locatieoverzicht!$A$14:$E$21,5,FALSE)</f>
        <v>1</v>
      </c>
      <c r="E177" s="373">
        <v>0</v>
      </c>
      <c r="F177" s="647" t="s">
        <v>327</v>
      </c>
      <c r="G177" s="649" t="s">
        <v>398</v>
      </c>
      <c r="H177" s="374" t="str">
        <f t="shared" si="30"/>
        <v>Gangen en hallen</v>
      </c>
      <c r="I177" s="375" t="s">
        <v>613</v>
      </c>
      <c r="J177" s="561">
        <v>4.125</v>
      </c>
      <c r="K177" s="612">
        <v>3200</v>
      </c>
      <c r="L177" s="376">
        <f t="shared" si="31"/>
        <v>200</v>
      </c>
      <c r="M177" s="377">
        <f t="shared" si="34"/>
        <v>0</v>
      </c>
      <c r="N177" s="377">
        <f t="shared" si="35"/>
        <v>0</v>
      </c>
      <c r="O177" s="377">
        <f t="shared" si="32"/>
        <v>0</v>
      </c>
      <c r="P177" s="377">
        <f t="shared" si="33"/>
        <v>0</v>
      </c>
      <c r="Q177" s="755">
        <v>1</v>
      </c>
      <c r="R177" s="378" t="str">
        <f t="shared" si="28"/>
        <v>V</v>
      </c>
      <c r="S177" s="379"/>
      <c r="T177" s="379"/>
      <c r="U177" s="756">
        <f t="shared" si="29"/>
        <v>825</v>
      </c>
    </row>
    <row r="178" spans="1:21" ht="14.1" customHeight="1">
      <c r="A178" s="559">
        <v>178</v>
      </c>
      <c r="B178" s="375" t="s">
        <v>498</v>
      </c>
      <c r="C178" s="553" t="s">
        <v>517</v>
      </c>
      <c r="D178" s="757">
        <f>VLOOKUP(B178,Locatieoverzicht!$A$14:$E$21,5,FALSE)</f>
        <v>1</v>
      </c>
      <c r="E178" s="373">
        <v>0</v>
      </c>
      <c r="F178" s="647" t="s">
        <v>328</v>
      </c>
      <c r="G178" s="649" t="s">
        <v>497</v>
      </c>
      <c r="H178" s="374" t="str">
        <f t="shared" si="30"/>
        <v>Mediatheek/Bibliotheek/Computerlokaal</v>
      </c>
      <c r="I178" s="375" t="s">
        <v>612</v>
      </c>
      <c r="J178" s="561">
        <v>132.26</v>
      </c>
      <c r="K178" s="612">
        <v>14080</v>
      </c>
      <c r="L178" s="376">
        <f t="shared" si="31"/>
        <v>80</v>
      </c>
      <c r="M178" s="377">
        <f t="shared" si="34"/>
        <v>0</v>
      </c>
      <c r="N178" s="377">
        <f t="shared" si="35"/>
        <v>0</v>
      </c>
      <c r="O178" s="377">
        <f t="shared" si="32"/>
        <v>0</v>
      </c>
      <c r="P178" s="377">
        <f t="shared" si="33"/>
        <v>0</v>
      </c>
      <c r="Q178" s="755">
        <v>1</v>
      </c>
      <c r="R178" s="378" t="str">
        <f t="shared" si="28"/>
        <v>V</v>
      </c>
      <c r="S178" s="379"/>
      <c r="T178" s="379"/>
      <c r="U178" s="756">
        <f t="shared" si="29"/>
        <v>10580.8</v>
      </c>
    </row>
    <row r="179" spans="1:21" ht="14.1" customHeight="1">
      <c r="A179" s="559">
        <v>179</v>
      </c>
      <c r="B179" s="375" t="s">
        <v>498</v>
      </c>
      <c r="C179" s="553" t="s">
        <v>517</v>
      </c>
      <c r="D179" s="757">
        <f>VLOOKUP(B179,Locatieoverzicht!$A$14:$E$21,5,FALSE)</f>
        <v>1</v>
      </c>
      <c r="E179" s="373">
        <v>0</v>
      </c>
      <c r="F179" s="647" t="s">
        <v>329</v>
      </c>
      <c r="G179" s="649" t="s">
        <v>402</v>
      </c>
      <c r="H179" s="374" t="str">
        <f t="shared" si="30"/>
        <v>Administratieve ruimten</v>
      </c>
      <c r="I179" s="375" t="s">
        <v>612</v>
      </c>
      <c r="J179" s="561">
        <v>9.1300000000000008</v>
      </c>
      <c r="K179" s="612">
        <v>1040</v>
      </c>
      <c r="L179" s="376">
        <f t="shared" si="31"/>
        <v>40</v>
      </c>
      <c r="M179" s="377">
        <f t="shared" si="34"/>
        <v>0</v>
      </c>
      <c r="N179" s="377">
        <f t="shared" si="35"/>
        <v>0</v>
      </c>
      <c r="O179" s="377">
        <f t="shared" si="32"/>
        <v>0</v>
      </c>
      <c r="P179" s="377">
        <f t="shared" si="33"/>
        <v>0</v>
      </c>
      <c r="Q179" s="755">
        <v>1</v>
      </c>
      <c r="R179" s="378" t="str">
        <f t="shared" si="28"/>
        <v>B</v>
      </c>
      <c r="S179" s="379"/>
      <c r="T179" s="379"/>
      <c r="U179" s="756">
        <f t="shared" si="29"/>
        <v>365.20000000000005</v>
      </c>
    </row>
    <row r="180" spans="1:21" ht="14.1" customHeight="1">
      <c r="A180" s="559">
        <v>180</v>
      </c>
      <c r="B180" s="375" t="s">
        <v>498</v>
      </c>
      <c r="C180" s="553" t="s">
        <v>517</v>
      </c>
      <c r="D180" s="757">
        <f>VLOOKUP(B180,Locatieoverzicht!$A$14:$E$21,5,FALSE)</f>
        <v>1</v>
      </c>
      <c r="E180" s="373">
        <v>0</v>
      </c>
      <c r="F180" s="647" t="s">
        <v>330</v>
      </c>
      <c r="G180" s="649" t="s">
        <v>400</v>
      </c>
      <c r="H180" s="374" t="str">
        <f t="shared" si="30"/>
        <v>Sanitaire ruimten</v>
      </c>
      <c r="I180" s="375" t="s">
        <v>614</v>
      </c>
      <c r="J180" s="561">
        <v>5.83</v>
      </c>
      <c r="K180" s="612">
        <v>2200</v>
      </c>
      <c r="L180" s="376">
        <f t="shared" si="31"/>
        <v>200</v>
      </c>
      <c r="M180" s="377">
        <f t="shared" si="34"/>
        <v>0</v>
      </c>
      <c r="N180" s="377">
        <f t="shared" si="35"/>
        <v>0</v>
      </c>
      <c r="O180" s="377">
        <f t="shared" si="32"/>
        <v>0</v>
      </c>
      <c r="P180" s="377">
        <f t="shared" si="33"/>
        <v>0</v>
      </c>
      <c r="Q180" s="755">
        <v>1</v>
      </c>
      <c r="R180" s="378" t="str">
        <f t="shared" si="28"/>
        <v>S</v>
      </c>
      <c r="S180" s="379"/>
      <c r="T180" s="379"/>
      <c r="U180" s="756">
        <f t="shared" si="29"/>
        <v>1166</v>
      </c>
    </row>
    <row r="181" spans="1:21" ht="14.1" customHeight="1">
      <c r="A181" s="559">
        <v>181</v>
      </c>
      <c r="B181" s="375" t="s">
        <v>498</v>
      </c>
      <c r="C181" s="553" t="s">
        <v>517</v>
      </c>
      <c r="D181" s="757">
        <f>VLOOKUP(B181,Locatieoverzicht!$A$14:$E$21,5,FALSE)</f>
        <v>1</v>
      </c>
      <c r="E181" s="373">
        <v>0</v>
      </c>
      <c r="F181" s="647" t="s">
        <v>331</v>
      </c>
      <c r="G181" s="649" t="s">
        <v>326</v>
      </c>
      <c r="H181" s="374" t="str">
        <f t="shared" si="30"/>
        <v>Niet van toepassing</v>
      </c>
      <c r="I181" s="375" t="s">
        <v>614</v>
      </c>
      <c r="J181" s="561">
        <v>8</v>
      </c>
      <c r="K181" s="612" t="s">
        <v>239</v>
      </c>
      <c r="L181" s="376">
        <f t="shared" si="31"/>
        <v>0</v>
      </c>
      <c r="M181" s="377">
        <f t="shared" si="34"/>
        <v>0</v>
      </c>
      <c r="N181" s="377">
        <f t="shared" si="35"/>
        <v>0</v>
      </c>
      <c r="O181" s="377">
        <f t="shared" si="32"/>
        <v>0</v>
      </c>
      <c r="P181" s="377">
        <f t="shared" si="33"/>
        <v>0</v>
      </c>
      <c r="Q181" s="755">
        <v>1</v>
      </c>
      <c r="R181" s="378">
        <f t="shared" si="28"/>
        <v>0</v>
      </c>
      <c r="S181" s="379"/>
      <c r="T181" s="379"/>
      <c r="U181" s="756">
        <f t="shared" si="29"/>
        <v>0</v>
      </c>
    </row>
    <row r="182" spans="1:21" ht="14.1" customHeight="1">
      <c r="A182" s="559">
        <v>182</v>
      </c>
      <c r="B182" s="375" t="s">
        <v>498</v>
      </c>
      <c r="C182" s="553" t="s">
        <v>517</v>
      </c>
      <c r="D182" s="757">
        <f>VLOOKUP(B182,Locatieoverzicht!$A$14:$E$21,5,FALSE)</f>
        <v>1</v>
      </c>
      <c r="E182" s="373">
        <v>0</v>
      </c>
      <c r="F182" s="647" t="s">
        <v>332</v>
      </c>
      <c r="G182" s="649" t="s">
        <v>400</v>
      </c>
      <c r="H182" s="374" t="str">
        <f t="shared" si="30"/>
        <v>Sanitaire ruimten</v>
      </c>
      <c r="I182" s="375" t="s">
        <v>614</v>
      </c>
      <c r="J182" s="561">
        <v>5.86</v>
      </c>
      <c r="K182" s="612">
        <v>2200</v>
      </c>
      <c r="L182" s="376">
        <f t="shared" si="31"/>
        <v>200</v>
      </c>
      <c r="M182" s="377">
        <f t="shared" si="34"/>
        <v>0</v>
      </c>
      <c r="N182" s="377">
        <f t="shared" si="35"/>
        <v>0</v>
      </c>
      <c r="O182" s="377">
        <f t="shared" si="32"/>
        <v>0</v>
      </c>
      <c r="P182" s="377">
        <f t="shared" si="33"/>
        <v>0</v>
      </c>
      <c r="Q182" s="755">
        <v>1</v>
      </c>
      <c r="R182" s="378" t="str">
        <f t="shared" si="28"/>
        <v>S</v>
      </c>
      <c r="S182" s="379"/>
      <c r="T182" s="379"/>
      <c r="U182" s="756">
        <f t="shared" si="29"/>
        <v>1172</v>
      </c>
    </row>
    <row r="183" spans="1:21" ht="14.1" customHeight="1">
      <c r="A183" s="559">
        <v>183</v>
      </c>
      <c r="B183" s="375" t="s">
        <v>503</v>
      </c>
      <c r="C183" s="552" t="s">
        <v>519</v>
      </c>
      <c r="D183" s="757">
        <f>VLOOKUP(B183,Locatieoverzicht!$A$14:$E$21,5,FALSE)</f>
        <v>1</v>
      </c>
      <c r="E183" s="373">
        <v>0</v>
      </c>
      <c r="F183" s="549" t="s">
        <v>327</v>
      </c>
      <c r="G183" s="550" t="s">
        <v>398</v>
      </c>
      <c r="H183" s="374" t="str">
        <f t="shared" ref="H183:H228" si="36">IF($K183="",0,VLOOKUP($K183,Kengetal,3,FALSE))</f>
        <v>Gangen en hallen</v>
      </c>
      <c r="I183" s="375" t="s">
        <v>616</v>
      </c>
      <c r="J183" s="561">
        <v>32.58</v>
      </c>
      <c r="K183" s="612">
        <v>3200</v>
      </c>
      <c r="L183" s="376">
        <f t="shared" ref="L183:L228" si="37">SUM(IF(K183="",0,VLOOKUP(K183,Kengetal,2)))</f>
        <v>200</v>
      </c>
      <c r="M183" s="377">
        <f t="shared" si="34"/>
        <v>0</v>
      </c>
      <c r="N183" s="377">
        <f t="shared" si="35"/>
        <v>0</v>
      </c>
      <c r="O183" s="377">
        <f t="shared" ref="O183:O228" si="38">IF($K183="",0,VLOOKUP($K183,Kengetal,5,FALSE))</f>
        <v>0</v>
      </c>
      <c r="P183" s="377">
        <f t="shared" ref="P183:P228" si="39">IF($K183="",0,VLOOKUP($K183,Kengetal,6,FALSE))</f>
        <v>0</v>
      </c>
      <c r="Q183" s="755">
        <v>1</v>
      </c>
      <c r="R183" s="378" t="str">
        <f t="shared" ref="R183:R228" si="40">IF(K183="","",VLOOKUP(K183,Kengetal,11,FALSE))</f>
        <v>V</v>
      </c>
      <c r="S183" s="379"/>
      <c r="T183" s="379"/>
      <c r="U183" s="756">
        <f t="shared" ref="U183:U228" si="41">J183*L183</f>
        <v>6516</v>
      </c>
    </row>
    <row r="184" spans="1:21" ht="14.1" customHeight="1">
      <c r="A184" s="559">
        <v>184</v>
      </c>
      <c r="B184" s="375" t="s">
        <v>503</v>
      </c>
      <c r="C184" s="552" t="s">
        <v>519</v>
      </c>
      <c r="D184" s="757">
        <f>VLOOKUP(B184,Locatieoverzicht!$A$14:$E$21,5,FALSE)</f>
        <v>1</v>
      </c>
      <c r="E184" s="373">
        <v>0</v>
      </c>
      <c r="F184" s="549" t="s">
        <v>552</v>
      </c>
      <c r="G184" s="550" t="s">
        <v>550</v>
      </c>
      <c r="H184" s="374" t="str">
        <f t="shared" si="36"/>
        <v>Trappenhuizen</v>
      </c>
      <c r="I184" s="375" t="s">
        <v>618</v>
      </c>
      <c r="J184" s="561">
        <v>2.7153846153846151</v>
      </c>
      <c r="K184" s="612">
        <v>5200</v>
      </c>
      <c r="L184" s="376">
        <f t="shared" si="37"/>
        <v>200</v>
      </c>
      <c r="M184" s="377">
        <f t="shared" si="34"/>
        <v>0</v>
      </c>
      <c r="N184" s="377">
        <f t="shared" si="35"/>
        <v>0</v>
      </c>
      <c r="O184" s="377">
        <f t="shared" si="38"/>
        <v>0</v>
      </c>
      <c r="P184" s="377">
        <f t="shared" si="39"/>
        <v>0</v>
      </c>
      <c r="Q184" s="755">
        <v>1</v>
      </c>
      <c r="R184" s="378" t="str">
        <f t="shared" si="40"/>
        <v>V</v>
      </c>
      <c r="S184" s="379"/>
      <c r="T184" s="379"/>
      <c r="U184" s="756">
        <f t="shared" si="41"/>
        <v>543.07692307692298</v>
      </c>
    </row>
    <row r="185" spans="1:21" ht="14.1" customHeight="1">
      <c r="A185" s="559">
        <v>185</v>
      </c>
      <c r="B185" s="375" t="s">
        <v>503</v>
      </c>
      <c r="C185" s="552" t="s">
        <v>519</v>
      </c>
      <c r="D185" s="757">
        <f>VLOOKUP(B185,Locatieoverzicht!$A$14:$E$21,5,FALSE)</f>
        <v>1</v>
      </c>
      <c r="E185" s="373">
        <v>0</v>
      </c>
      <c r="F185" s="549" t="s">
        <v>328</v>
      </c>
      <c r="G185" s="550" t="s">
        <v>326</v>
      </c>
      <c r="H185" s="374" t="str">
        <f t="shared" si="36"/>
        <v>Niet van toepassing</v>
      </c>
      <c r="I185" s="732" t="s">
        <v>618</v>
      </c>
      <c r="J185" s="561">
        <v>34.119999999999997</v>
      </c>
      <c r="K185" s="612" t="s">
        <v>239</v>
      </c>
      <c r="L185" s="376">
        <f t="shared" si="37"/>
        <v>0</v>
      </c>
      <c r="M185" s="377">
        <f t="shared" si="34"/>
        <v>0</v>
      </c>
      <c r="N185" s="377">
        <f t="shared" si="35"/>
        <v>0</v>
      </c>
      <c r="O185" s="377">
        <f t="shared" si="38"/>
        <v>0</v>
      </c>
      <c r="P185" s="377">
        <f t="shared" si="39"/>
        <v>0</v>
      </c>
      <c r="Q185" s="755">
        <v>1</v>
      </c>
      <c r="R185" s="378">
        <f t="shared" si="40"/>
        <v>0</v>
      </c>
      <c r="S185" s="379"/>
      <c r="T185" s="379"/>
      <c r="U185" s="756">
        <f t="shared" si="41"/>
        <v>0</v>
      </c>
    </row>
    <row r="186" spans="1:21" ht="14.1" customHeight="1">
      <c r="A186" s="559">
        <v>186</v>
      </c>
      <c r="B186" s="375" t="s">
        <v>503</v>
      </c>
      <c r="C186" s="552" t="s">
        <v>519</v>
      </c>
      <c r="D186" s="757">
        <f>VLOOKUP(B186,Locatieoverzicht!$A$14:$E$21,5,FALSE)</f>
        <v>1</v>
      </c>
      <c r="E186" s="373">
        <v>0</v>
      </c>
      <c r="F186" s="549" t="s">
        <v>553</v>
      </c>
      <c r="G186" s="550" t="s">
        <v>550</v>
      </c>
      <c r="H186" s="374" t="str">
        <f t="shared" si="36"/>
        <v>Trappenhuizen</v>
      </c>
      <c r="I186" s="375" t="s">
        <v>617</v>
      </c>
      <c r="J186" s="561">
        <v>1.1766666666666665</v>
      </c>
      <c r="K186" s="612">
        <v>5200</v>
      </c>
      <c r="L186" s="376">
        <f t="shared" si="37"/>
        <v>200</v>
      </c>
      <c r="M186" s="377">
        <f t="shared" si="34"/>
        <v>0</v>
      </c>
      <c r="N186" s="377">
        <f t="shared" si="35"/>
        <v>0</v>
      </c>
      <c r="O186" s="377">
        <f t="shared" si="38"/>
        <v>0</v>
      </c>
      <c r="P186" s="377">
        <f t="shared" si="39"/>
        <v>0</v>
      </c>
      <c r="Q186" s="755">
        <v>1</v>
      </c>
      <c r="R186" s="378" t="str">
        <f t="shared" si="40"/>
        <v>V</v>
      </c>
      <c r="S186" s="379"/>
      <c r="T186" s="379"/>
      <c r="U186" s="756">
        <f t="shared" si="41"/>
        <v>235.33333333333331</v>
      </c>
    </row>
    <row r="187" spans="1:21" ht="14.1" customHeight="1">
      <c r="A187" s="559">
        <v>187</v>
      </c>
      <c r="B187" s="375" t="s">
        <v>503</v>
      </c>
      <c r="C187" s="552" t="s">
        <v>519</v>
      </c>
      <c r="D187" s="757">
        <f>VLOOKUP(B187,Locatieoverzicht!$A$14:$E$21,5,FALSE)</f>
        <v>1</v>
      </c>
      <c r="E187" s="373">
        <v>0</v>
      </c>
      <c r="F187" s="549" t="s">
        <v>329</v>
      </c>
      <c r="G187" s="550" t="s">
        <v>326</v>
      </c>
      <c r="H187" s="374" t="str">
        <f t="shared" si="36"/>
        <v>Niet van toepassing</v>
      </c>
      <c r="I187" s="375"/>
      <c r="J187" s="561">
        <v>2.81</v>
      </c>
      <c r="K187" s="612" t="s">
        <v>239</v>
      </c>
      <c r="L187" s="376">
        <f t="shared" si="37"/>
        <v>0</v>
      </c>
      <c r="M187" s="377">
        <f t="shared" si="34"/>
        <v>0</v>
      </c>
      <c r="N187" s="377">
        <f t="shared" si="35"/>
        <v>0</v>
      </c>
      <c r="O187" s="377">
        <f t="shared" si="38"/>
        <v>0</v>
      </c>
      <c r="P187" s="377">
        <f t="shared" si="39"/>
        <v>0</v>
      </c>
      <c r="Q187" s="755">
        <v>1</v>
      </c>
      <c r="R187" s="378">
        <f t="shared" si="40"/>
        <v>0</v>
      </c>
      <c r="S187" s="379"/>
      <c r="T187" s="379"/>
      <c r="U187" s="756">
        <f t="shared" si="41"/>
        <v>0</v>
      </c>
    </row>
    <row r="188" spans="1:21" ht="14.1" customHeight="1">
      <c r="A188" s="559">
        <v>188</v>
      </c>
      <c r="B188" s="375" t="s">
        <v>503</v>
      </c>
      <c r="C188" s="552" t="s">
        <v>519</v>
      </c>
      <c r="D188" s="757">
        <f>VLOOKUP(B188,Locatieoverzicht!$A$14:$E$21,5,FALSE)</f>
        <v>1</v>
      </c>
      <c r="E188" s="373">
        <v>1</v>
      </c>
      <c r="F188" s="549" t="s">
        <v>408</v>
      </c>
      <c r="G188" s="550" t="s">
        <v>398</v>
      </c>
      <c r="H188" s="374" t="str">
        <f t="shared" si="36"/>
        <v>Gangen en hallen</v>
      </c>
      <c r="I188" s="375" t="s">
        <v>613</v>
      </c>
      <c r="J188" s="561">
        <v>8.6</v>
      </c>
      <c r="K188" s="612">
        <v>3200</v>
      </c>
      <c r="L188" s="376">
        <f t="shared" si="37"/>
        <v>200</v>
      </c>
      <c r="M188" s="377">
        <f t="shared" si="34"/>
        <v>0</v>
      </c>
      <c r="N188" s="377">
        <f t="shared" si="35"/>
        <v>0</v>
      </c>
      <c r="O188" s="377">
        <f t="shared" si="38"/>
        <v>0</v>
      </c>
      <c r="P188" s="377">
        <f t="shared" si="39"/>
        <v>0</v>
      </c>
      <c r="Q188" s="755">
        <v>1</v>
      </c>
      <c r="R188" s="378" t="str">
        <f t="shared" si="40"/>
        <v>V</v>
      </c>
      <c r="S188" s="379"/>
      <c r="T188" s="379"/>
      <c r="U188" s="756">
        <f t="shared" si="41"/>
        <v>1720</v>
      </c>
    </row>
    <row r="189" spans="1:21" ht="14.1" customHeight="1">
      <c r="A189" s="559">
        <v>189</v>
      </c>
      <c r="B189" s="375" t="s">
        <v>503</v>
      </c>
      <c r="C189" s="552" t="s">
        <v>519</v>
      </c>
      <c r="D189" s="757">
        <f>VLOOKUP(B189,Locatieoverzicht!$A$14:$E$21,5,FALSE)</f>
        <v>1</v>
      </c>
      <c r="E189" s="373">
        <v>1</v>
      </c>
      <c r="F189" s="549" t="s">
        <v>554</v>
      </c>
      <c r="G189" s="550" t="s">
        <v>550</v>
      </c>
      <c r="H189" s="374" t="str">
        <f t="shared" si="36"/>
        <v>Trappenhuizen</v>
      </c>
      <c r="I189" s="375" t="s">
        <v>615</v>
      </c>
      <c r="J189" s="561">
        <v>8.6</v>
      </c>
      <c r="K189" s="612">
        <v>5200</v>
      </c>
      <c r="L189" s="376">
        <f t="shared" si="37"/>
        <v>200</v>
      </c>
      <c r="M189" s="377">
        <f t="shared" si="34"/>
        <v>0</v>
      </c>
      <c r="N189" s="377">
        <f t="shared" si="35"/>
        <v>0</v>
      </c>
      <c r="O189" s="377">
        <f t="shared" si="38"/>
        <v>0</v>
      </c>
      <c r="P189" s="377">
        <f t="shared" si="39"/>
        <v>0</v>
      </c>
      <c r="Q189" s="755">
        <v>1</v>
      </c>
      <c r="R189" s="378" t="str">
        <f t="shared" si="40"/>
        <v>V</v>
      </c>
      <c r="S189" s="379"/>
      <c r="T189" s="379"/>
      <c r="U189" s="756">
        <f t="shared" si="41"/>
        <v>1720</v>
      </c>
    </row>
    <row r="190" spans="1:21" ht="14.1" customHeight="1">
      <c r="A190" s="559">
        <v>190</v>
      </c>
      <c r="B190" s="375" t="s">
        <v>503</v>
      </c>
      <c r="C190" s="552" t="s">
        <v>519</v>
      </c>
      <c r="D190" s="757">
        <f>VLOOKUP(B190,Locatieoverzicht!$A$14:$E$21,5,FALSE)</f>
        <v>1</v>
      </c>
      <c r="E190" s="373">
        <v>1</v>
      </c>
      <c r="F190" s="549" t="s">
        <v>409</v>
      </c>
      <c r="G190" s="550" t="s">
        <v>402</v>
      </c>
      <c r="H190" s="374" t="str">
        <f t="shared" si="36"/>
        <v>Administratieve ruimten</v>
      </c>
      <c r="I190" s="375" t="s">
        <v>612</v>
      </c>
      <c r="J190" s="561">
        <v>28.8</v>
      </c>
      <c r="K190" s="612">
        <v>1040</v>
      </c>
      <c r="L190" s="376">
        <f t="shared" si="37"/>
        <v>40</v>
      </c>
      <c r="M190" s="377">
        <f t="shared" si="34"/>
        <v>0</v>
      </c>
      <c r="N190" s="377">
        <f t="shared" si="35"/>
        <v>0</v>
      </c>
      <c r="O190" s="377">
        <f t="shared" si="38"/>
        <v>0</v>
      </c>
      <c r="P190" s="377">
        <f t="shared" si="39"/>
        <v>0</v>
      </c>
      <c r="Q190" s="755">
        <v>1</v>
      </c>
      <c r="R190" s="378" t="str">
        <f t="shared" si="40"/>
        <v>B</v>
      </c>
      <c r="S190" s="379"/>
      <c r="T190" s="379"/>
      <c r="U190" s="756">
        <f t="shared" si="41"/>
        <v>1152</v>
      </c>
    </row>
    <row r="191" spans="1:21" ht="14.1" customHeight="1">
      <c r="A191" s="559">
        <v>191</v>
      </c>
      <c r="B191" s="375" t="s">
        <v>503</v>
      </c>
      <c r="C191" s="552" t="s">
        <v>519</v>
      </c>
      <c r="D191" s="757">
        <f>VLOOKUP(B191,Locatieoverzicht!$A$14:$E$21,5,FALSE)</f>
        <v>1</v>
      </c>
      <c r="E191" s="373">
        <v>1</v>
      </c>
      <c r="F191" s="549" t="s">
        <v>410</v>
      </c>
      <c r="G191" s="550" t="s">
        <v>401</v>
      </c>
      <c r="H191" s="374" t="str">
        <f t="shared" si="36"/>
        <v>Leslokaal regulier</v>
      </c>
      <c r="I191" s="375" t="s">
        <v>612</v>
      </c>
      <c r="J191" s="561">
        <v>57.4</v>
      </c>
      <c r="K191" s="612">
        <v>8040</v>
      </c>
      <c r="L191" s="376">
        <f t="shared" si="37"/>
        <v>40</v>
      </c>
      <c r="M191" s="377">
        <f t="shared" si="34"/>
        <v>0</v>
      </c>
      <c r="N191" s="377">
        <f t="shared" si="35"/>
        <v>0</v>
      </c>
      <c r="O191" s="377">
        <f t="shared" si="38"/>
        <v>0</v>
      </c>
      <c r="P191" s="377">
        <f t="shared" si="39"/>
        <v>0</v>
      </c>
      <c r="Q191" s="755">
        <v>1</v>
      </c>
      <c r="R191" s="378" t="str">
        <f t="shared" si="40"/>
        <v>L</v>
      </c>
      <c r="S191" s="379"/>
      <c r="T191" s="379"/>
      <c r="U191" s="756">
        <f t="shared" si="41"/>
        <v>2296</v>
      </c>
    </row>
    <row r="192" spans="1:21" ht="14.1" customHeight="1">
      <c r="A192" s="559">
        <v>192</v>
      </c>
      <c r="B192" s="375" t="s">
        <v>503</v>
      </c>
      <c r="C192" s="552" t="s">
        <v>519</v>
      </c>
      <c r="D192" s="757">
        <f>VLOOKUP(B192,Locatieoverzicht!$A$14:$E$21,5,FALSE)</f>
        <v>1</v>
      </c>
      <c r="E192" s="373">
        <v>1</v>
      </c>
      <c r="F192" s="549" t="s">
        <v>411</v>
      </c>
      <c r="G192" s="550" t="s">
        <v>401</v>
      </c>
      <c r="H192" s="374" t="str">
        <f t="shared" si="36"/>
        <v>Leslokaal regulier</v>
      </c>
      <c r="I192" s="375" t="s">
        <v>612</v>
      </c>
      <c r="J192" s="561">
        <v>52.9</v>
      </c>
      <c r="K192" s="612">
        <v>8040</v>
      </c>
      <c r="L192" s="376">
        <f t="shared" si="37"/>
        <v>40</v>
      </c>
      <c r="M192" s="377">
        <f t="shared" si="34"/>
        <v>0</v>
      </c>
      <c r="N192" s="377">
        <f t="shared" si="35"/>
        <v>0</v>
      </c>
      <c r="O192" s="377">
        <f t="shared" si="38"/>
        <v>0</v>
      </c>
      <c r="P192" s="377">
        <f t="shared" si="39"/>
        <v>0</v>
      </c>
      <c r="Q192" s="755">
        <v>1</v>
      </c>
      <c r="R192" s="378" t="str">
        <f t="shared" si="40"/>
        <v>L</v>
      </c>
      <c r="S192" s="379"/>
      <c r="T192" s="379"/>
      <c r="U192" s="756">
        <f t="shared" si="41"/>
        <v>2116</v>
      </c>
    </row>
    <row r="193" spans="1:21" ht="14.1" customHeight="1">
      <c r="A193" s="559">
        <v>193</v>
      </c>
      <c r="B193" s="375" t="s">
        <v>503</v>
      </c>
      <c r="C193" s="552" t="s">
        <v>519</v>
      </c>
      <c r="D193" s="757">
        <f>VLOOKUP(B193,Locatieoverzicht!$A$14:$E$21,5,FALSE)</f>
        <v>1</v>
      </c>
      <c r="E193" s="373">
        <v>1</v>
      </c>
      <c r="F193" s="549" t="s">
        <v>412</v>
      </c>
      <c r="G193" s="550" t="s">
        <v>402</v>
      </c>
      <c r="H193" s="374" t="str">
        <f t="shared" si="36"/>
        <v>Administratieve ruimten</v>
      </c>
      <c r="I193" s="375" t="s">
        <v>615</v>
      </c>
      <c r="J193" s="561">
        <v>33.700000000000003</v>
      </c>
      <c r="K193" s="612">
        <v>1040</v>
      </c>
      <c r="L193" s="376">
        <f t="shared" si="37"/>
        <v>40</v>
      </c>
      <c r="M193" s="377">
        <f t="shared" si="34"/>
        <v>0</v>
      </c>
      <c r="N193" s="377">
        <f t="shared" si="35"/>
        <v>0</v>
      </c>
      <c r="O193" s="377">
        <f t="shared" si="38"/>
        <v>0</v>
      </c>
      <c r="P193" s="377">
        <f t="shared" si="39"/>
        <v>0</v>
      </c>
      <c r="Q193" s="755">
        <v>1</v>
      </c>
      <c r="R193" s="378" t="str">
        <f t="shared" si="40"/>
        <v>B</v>
      </c>
      <c r="S193" s="379"/>
      <c r="T193" s="379"/>
      <c r="U193" s="756">
        <f t="shared" si="41"/>
        <v>1348</v>
      </c>
    </row>
    <row r="194" spans="1:21" ht="14.1" customHeight="1">
      <c r="A194" s="559">
        <v>194</v>
      </c>
      <c r="B194" s="375" t="s">
        <v>503</v>
      </c>
      <c r="C194" s="552" t="s">
        <v>519</v>
      </c>
      <c r="D194" s="757">
        <f>VLOOKUP(B194,Locatieoverzicht!$A$14:$E$21,5,FALSE)</f>
        <v>1</v>
      </c>
      <c r="E194" s="373">
        <v>1</v>
      </c>
      <c r="F194" s="549" t="s">
        <v>413</v>
      </c>
      <c r="G194" s="550" t="s">
        <v>402</v>
      </c>
      <c r="H194" s="374" t="str">
        <f t="shared" si="36"/>
        <v>Administratieve ruimten</v>
      </c>
      <c r="I194" s="375" t="s">
        <v>612</v>
      </c>
      <c r="J194" s="561">
        <v>28.4</v>
      </c>
      <c r="K194" s="612">
        <v>1040</v>
      </c>
      <c r="L194" s="376">
        <f t="shared" si="37"/>
        <v>40</v>
      </c>
      <c r="M194" s="377">
        <f t="shared" si="34"/>
        <v>0</v>
      </c>
      <c r="N194" s="377">
        <f t="shared" si="35"/>
        <v>0</v>
      </c>
      <c r="O194" s="377">
        <f t="shared" si="38"/>
        <v>0</v>
      </c>
      <c r="P194" s="377">
        <f t="shared" si="39"/>
        <v>0</v>
      </c>
      <c r="Q194" s="755">
        <v>1</v>
      </c>
      <c r="R194" s="378" t="str">
        <f t="shared" si="40"/>
        <v>B</v>
      </c>
      <c r="S194" s="379"/>
      <c r="T194" s="379"/>
      <c r="U194" s="756">
        <f t="shared" si="41"/>
        <v>1136</v>
      </c>
    </row>
    <row r="195" spans="1:21" ht="14.1" customHeight="1">
      <c r="A195" s="559">
        <v>195</v>
      </c>
      <c r="B195" s="375" t="s">
        <v>503</v>
      </c>
      <c r="C195" s="552" t="s">
        <v>519</v>
      </c>
      <c r="D195" s="757">
        <f>VLOOKUP(B195,Locatieoverzicht!$A$14:$E$21,5,FALSE)</f>
        <v>1</v>
      </c>
      <c r="E195" s="373">
        <v>1</v>
      </c>
      <c r="F195" s="549" t="s">
        <v>414</v>
      </c>
      <c r="G195" s="550" t="s">
        <v>400</v>
      </c>
      <c r="H195" s="374" t="str">
        <f t="shared" si="36"/>
        <v>Sanitaire ruimten</v>
      </c>
      <c r="I195" s="375" t="s">
        <v>614</v>
      </c>
      <c r="J195" s="561">
        <v>7.25</v>
      </c>
      <c r="K195" s="612">
        <v>2200</v>
      </c>
      <c r="L195" s="376">
        <f t="shared" si="37"/>
        <v>200</v>
      </c>
      <c r="M195" s="377">
        <f t="shared" si="34"/>
        <v>0</v>
      </c>
      <c r="N195" s="377">
        <f t="shared" si="35"/>
        <v>0</v>
      </c>
      <c r="O195" s="377">
        <f t="shared" si="38"/>
        <v>0</v>
      </c>
      <c r="P195" s="377">
        <f t="shared" si="39"/>
        <v>0</v>
      </c>
      <c r="Q195" s="755">
        <v>1</v>
      </c>
      <c r="R195" s="378" t="str">
        <f t="shared" si="40"/>
        <v>S</v>
      </c>
      <c r="S195" s="379"/>
      <c r="T195" s="379"/>
      <c r="U195" s="756">
        <f t="shared" si="41"/>
        <v>1450</v>
      </c>
    </row>
    <row r="196" spans="1:21" ht="14.1" customHeight="1">
      <c r="A196" s="559">
        <v>196</v>
      </c>
      <c r="B196" s="375" t="s">
        <v>503</v>
      </c>
      <c r="C196" s="552" t="s">
        <v>519</v>
      </c>
      <c r="D196" s="757">
        <f>VLOOKUP(B196,Locatieoverzicht!$A$14:$E$21,5,FALSE)</f>
        <v>1</v>
      </c>
      <c r="E196" s="373">
        <v>1</v>
      </c>
      <c r="F196" s="549" t="s">
        <v>415</v>
      </c>
      <c r="G196" s="550" t="s">
        <v>326</v>
      </c>
      <c r="H196" s="374" t="str">
        <f t="shared" si="36"/>
        <v>Niet van toepassing</v>
      </c>
      <c r="I196" s="375"/>
      <c r="J196" s="561">
        <v>4.9000000000000004</v>
      </c>
      <c r="K196" s="612" t="s">
        <v>239</v>
      </c>
      <c r="L196" s="376">
        <f t="shared" si="37"/>
        <v>0</v>
      </c>
      <c r="M196" s="377">
        <f t="shared" si="34"/>
        <v>0</v>
      </c>
      <c r="N196" s="377">
        <f t="shared" si="35"/>
        <v>0</v>
      </c>
      <c r="O196" s="377">
        <f t="shared" si="38"/>
        <v>0</v>
      </c>
      <c r="P196" s="377">
        <f t="shared" si="39"/>
        <v>0</v>
      </c>
      <c r="Q196" s="755">
        <v>1</v>
      </c>
      <c r="R196" s="378">
        <f t="shared" si="40"/>
        <v>0</v>
      </c>
      <c r="S196" s="379"/>
      <c r="T196" s="379"/>
      <c r="U196" s="756">
        <f t="shared" si="41"/>
        <v>0</v>
      </c>
    </row>
    <row r="197" spans="1:21" ht="14.1" customHeight="1">
      <c r="A197" s="559">
        <v>197</v>
      </c>
      <c r="B197" s="375" t="s">
        <v>503</v>
      </c>
      <c r="C197" s="552" t="s">
        <v>519</v>
      </c>
      <c r="D197" s="757">
        <f>VLOOKUP(B197,Locatieoverzicht!$A$14:$E$21,5,FALSE)</f>
        <v>1</v>
      </c>
      <c r="E197" s="373">
        <v>1</v>
      </c>
      <c r="F197" s="549" t="s">
        <v>416</v>
      </c>
      <c r="G197" s="550" t="s">
        <v>400</v>
      </c>
      <c r="H197" s="374" t="str">
        <f t="shared" si="36"/>
        <v>Sanitaire ruimten</v>
      </c>
      <c r="I197" s="375" t="s">
        <v>614</v>
      </c>
      <c r="J197" s="561">
        <v>2.61</v>
      </c>
      <c r="K197" s="612">
        <v>2200</v>
      </c>
      <c r="L197" s="376">
        <f t="shared" si="37"/>
        <v>200</v>
      </c>
      <c r="M197" s="377">
        <f t="shared" si="34"/>
        <v>0</v>
      </c>
      <c r="N197" s="377">
        <f t="shared" si="35"/>
        <v>0</v>
      </c>
      <c r="O197" s="377">
        <f t="shared" si="38"/>
        <v>0</v>
      </c>
      <c r="P197" s="377">
        <f t="shared" si="39"/>
        <v>0</v>
      </c>
      <c r="Q197" s="755">
        <v>1</v>
      </c>
      <c r="R197" s="378" t="str">
        <f t="shared" si="40"/>
        <v>S</v>
      </c>
      <c r="S197" s="379"/>
      <c r="T197" s="379"/>
      <c r="U197" s="756">
        <f t="shared" si="41"/>
        <v>522</v>
      </c>
    </row>
    <row r="198" spans="1:21" ht="14.1" customHeight="1">
      <c r="A198" s="559">
        <v>198</v>
      </c>
      <c r="B198" s="375" t="s">
        <v>503</v>
      </c>
      <c r="C198" s="552" t="s">
        <v>519</v>
      </c>
      <c r="D198" s="757">
        <f>VLOOKUP(B198,Locatieoverzicht!$A$14:$E$21,5,FALSE)</f>
        <v>1</v>
      </c>
      <c r="E198" s="373">
        <v>1</v>
      </c>
      <c r="F198" s="549" t="s">
        <v>417</v>
      </c>
      <c r="G198" s="550" t="s">
        <v>402</v>
      </c>
      <c r="H198" s="374" t="str">
        <f t="shared" si="36"/>
        <v>Administratieve ruimten</v>
      </c>
      <c r="I198" s="375" t="s">
        <v>616</v>
      </c>
      <c r="J198" s="561">
        <v>6.15</v>
      </c>
      <c r="K198" s="612">
        <v>1040</v>
      </c>
      <c r="L198" s="376">
        <f t="shared" si="37"/>
        <v>40</v>
      </c>
      <c r="M198" s="377">
        <f t="shared" si="34"/>
        <v>0</v>
      </c>
      <c r="N198" s="377">
        <f t="shared" si="35"/>
        <v>0</v>
      </c>
      <c r="O198" s="377">
        <f t="shared" si="38"/>
        <v>0</v>
      </c>
      <c r="P198" s="377">
        <f t="shared" si="39"/>
        <v>0</v>
      </c>
      <c r="Q198" s="755">
        <v>1</v>
      </c>
      <c r="R198" s="378" t="str">
        <f t="shared" si="40"/>
        <v>B</v>
      </c>
      <c r="S198" s="379"/>
      <c r="T198" s="379"/>
      <c r="U198" s="756">
        <f t="shared" si="41"/>
        <v>246</v>
      </c>
    </row>
    <row r="199" spans="1:21" ht="14.1" customHeight="1">
      <c r="A199" s="559">
        <v>199</v>
      </c>
      <c r="B199" s="375" t="s">
        <v>503</v>
      </c>
      <c r="C199" s="552" t="s">
        <v>519</v>
      </c>
      <c r="D199" s="757">
        <f>VLOOKUP(B199,Locatieoverzicht!$A$14:$E$21,5,FALSE)</f>
        <v>1</v>
      </c>
      <c r="E199" s="373">
        <v>1</v>
      </c>
      <c r="F199" s="549" t="s">
        <v>418</v>
      </c>
      <c r="G199" s="550" t="s">
        <v>550</v>
      </c>
      <c r="H199" s="374" t="str">
        <f t="shared" si="36"/>
        <v>Trappenhuizen</v>
      </c>
      <c r="I199" s="375" t="s">
        <v>615</v>
      </c>
      <c r="J199" s="561">
        <v>9.6</v>
      </c>
      <c r="K199" s="612">
        <v>5200</v>
      </c>
      <c r="L199" s="376">
        <f t="shared" si="37"/>
        <v>200</v>
      </c>
      <c r="M199" s="377">
        <f t="shared" si="34"/>
        <v>0</v>
      </c>
      <c r="N199" s="377">
        <f t="shared" si="35"/>
        <v>0</v>
      </c>
      <c r="O199" s="377">
        <f t="shared" si="38"/>
        <v>0</v>
      </c>
      <c r="P199" s="377">
        <f t="shared" si="39"/>
        <v>0</v>
      </c>
      <c r="Q199" s="755">
        <v>1</v>
      </c>
      <c r="R199" s="378" t="str">
        <f t="shared" si="40"/>
        <v>V</v>
      </c>
      <c r="S199" s="379"/>
      <c r="T199" s="379"/>
      <c r="U199" s="756">
        <f t="shared" si="41"/>
        <v>1920</v>
      </c>
    </row>
    <row r="200" spans="1:21" ht="14.1" customHeight="1">
      <c r="A200" s="559">
        <v>200</v>
      </c>
      <c r="B200" s="375" t="s">
        <v>503</v>
      </c>
      <c r="C200" s="552" t="s">
        <v>519</v>
      </c>
      <c r="D200" s="757">
        <f>VLOOKUP(B200,Locatieoverzicht!$A$14:$E$21,5,FALSE)</f>
        <v>1</v>
      </c>
      <c r="E200" s="373">
        <v>1</v>
      </c>
      <c r="F200" s="549" t="s">
        <v>419</v>
      </c>
      <c r="G200" s="550" t="s">
        <v>398</v>
      </c>
      <c r="H200" s="374" t="str">
        <f t="shared" si="36"/>
        <v>Gangen en hallen</v>
      </c>
      <c r="I200" s="375" t="s">
        <v>613</v>
      </c>
      <c r="J200" s="561">
        <v>52.9</v>
      </c>
      <c r="K200" s="612">
        <v>3200</v>
      </c>
      <c r="L200" s="376">
        <f t="shared" si="37"/>
        <v>200</v>
      </c>
      <c r="M200" s="377">
        <f t="shared" si="34"/>
        <v>0</v>
      </c>
      <c r="N200" s="377">
        <f t="shared" si="35"/>
        <v>0</v>
      </c>
      <c r="O200" s="377">
        <f t="shared" si="38"/>
        <v>0</v>
      </c>
      <c r="P200" s="377">
        <f t="shared" si="39"/>
        <v>0</v>
      </c>
      <c r="Q200" s="755">
        <v>1</v>
      </c>
      <c r="R200" s="378" t="str">
        <f t="shared" si="40"/>
        <v>V</v>
      </c>
      <c r="S200" s="379"/>
      <c r="T200" s="379"/>
      <c r="U200" s="756">
        <f t="shared" si="41"/>
        <v>10580</v>
      </c>
    </row>
    <row r="201" spans="1:21" ht="14.1" customHeight="1">
      <c r="A201" s="559">
        <v>201</v>
      </c>
      <c r="B201" s="375" t="s">
        <v>503</v>
      </c>
      <c r="C201" s="552" t="s">
        <v>519</v>
      </c>
      <c r="D201" s="757">
        <f>VLOOKUP(B201,Locatieoverzicht!$A$14:$E$21,5,FALSE)</f>
        <v>1</v>
      </c>
      <c r="E201" s="373">
        <v>1</v>
      </c>
      <c r="F201" s="549" t="s">
        <v>420</v>
      </c>
      <c r="G201" s="550" t="s">
        <v>326</v>
      </c>
      <c r="H201" s="374" t="str">
        <f t="shared" si="36"/>
        <v>Niet van toepassing</v>
      </c>
      <c r="I201" s="375"/>
      <c r="J201" s="561">
        <v>0.45</v>
      </c>
      <c r="K201" s="612" t="s">
        <v>239</v>
      </c>
      <c r="L201" s="376">
        <f t="shared" si="37"/>
        <v>0</v>
      </c>
      <c r="M201" s="377">
        <f t="shared" si="34"/>
        <v>0</v>
      </c>
      <c r="N201" s="377">
        <f t="shared" si="35"/>
        <v>0</v>
      </c>
      <c r="O201" s="377">
        <f t="shared" si="38"/>
        <v>0</v>
      </c>
      <c r="P201" s="377">
        <f t="shared" si="39"/>
        <v>0</v>
      </c>
      <c r="Q201" s="755">
        <v>1</v>
      </c>
      <c r="R201" s="378">
        <f t="shared" si="40"/>
        <v>0</v>
      </c>
      <c r="S201" s="379"/>
      <c r="T201" s="379"/>
      <c r="U201" s="756">
        <f t="shared" si="41"/>
        <v>0</v>
      </c>
    </row>
    <row r="202" spans="1:21" ht="14.1" customHeight="1">
      <c r="A202" s="559">
        <v>202</v>
      </c>
      <c r="B202" s="375" t="s">
        <v>503</v>
      </c>
      <c r="C202" s="552" t="s">
        <v>519</v>
      </c>
      <c r="D202" s="757">
        <f>VLOOKUP(B202,Locatieoverzicht!$A$14:$E$21,5,FALSE)</f>
        <v>1</v>
      </c>
      <c r="E202" s="373">
        <v>1</v>
      </c>
      <c r="F202" s="549" t="s">
        <v>421</v>
      </c>
      <c r="G202" s="550" t="s">
        <v>326</v>
      </c>
      <c r="H202" s="374" t="str">
        <f t="shared" si="36"/>
        <v>Niet van toepassing</v>
      </c>
      <c r="I202" s="375"/>
      <c r="J202" s="561">
        <v>12.15</v>
      </c>
      <c r="K202" s="612" t="s">
        <v>239</v>
      </c>
      <c r="L202" s="376">
        <f t="shared" si="37"/>
        <v>0</v>
      </c>
      <c r="M202" s="377">
        <f t="shared" si="34"/>
        <v>0</v>
      </c>
      <c r="N202" s="377">
        <f t="shared" si="35"/>
        <v>0</v>
      </c>
      <c r="O202" s="377">
        <f t="shared" si="38"/>
        <v>0</v>
      </c>
      <c r="P202" s="377">
        <f t="shared" si="39"/>
        <v>0</v>
      </c>
      <c r="Q202" s="755">
        <v>1</v>
      </c>
      <c r="R202" s="378">
        <f t="shared" si="40"/>
        <v>0</v>
      </c>
      <c r="S202" s="379"/>
      <c r="T202" s="379"/>
      <c r="U202" s="756">
        <f t="shared" si="41"/>
        <v>0</v>
      </c>
    </row>
    <row r="203" spans="1:21" ht="14.1" customHeight="1">
      <c r="A203" s="559">
        <v>203</v>
      </c>
      <c r="B203" s="375" t="s">
        <v>503</v>
      </c>
      <c r="C203" s="552" t="s">
        <v>519</v>
      </c>
      <c r="D203" s="757">
        <f>VLOOKUP(B203,Locatieoverzicht!$A$14:$E$21,5,FALSE)</f>
        <v>1</v>
      </c>
      <c r="E203" s="373">
        <v>1</v>
      </c>
      <c r="F203" s="549" t="s">
        <v>422</v>
      </c>
      <c r="G203" s="550" t="s">
        <v>495</v>
      </c>
      <c r="H203" s="374" t="str">
        <f t="shared" si="36"/>
        <v>Liften</v>
      </c>
      <c r="I203" s="375" t="s">
        <v>612</v>
      </c>
      <c r="J203" s="561">
        <v>1.5</v>
      </c>
      <c r="K203" s="612">
        <v>4200</v>
      </c>
      <c r="L203" s="376">
        <f t="shared" si="37"/>
        <v>200</v>
      </c>
      <c r="M203" s="377">
        <f t="shared" ref="M203:M266" si="42">O203*J203*Q203</f>
        <v>0</v>
      </c>
      <c r="N203" s="377">
        <f t="shared" ref="N203:N266" si="43">P203*J203*Q203</f>
        <v>0</v>
      </c>
      <c r="O203" s="377">
        <f t="shared" si="38"/>
        <v>0</v>
      </c>
      <c r="P203" s="377">
        <f t="shared" si="39"/>
        <v>0</v>
      </c>
      <c r="Q203" s="755">
        <v>1</v>
      </c>
      <c r="R203" s="378" t="str">
        <f t="shared" si="40"/>
        <v>V</v>
      </c>
      <c r="S203" s="379"/>
      <c r="T203" s="379"/>
      <c r="U203" s="756">
        <f t="shared" si="41"/>
        <v>300</v>
      </c>
    </row>
    <row r="204" spans="1:21" ht="14.1" customHeight="1">
      <c r="A204" s="559">
        <v>204</v>
      </c>
      <c r="B204" s="375" t="s">
        <v>503</v>
      </c>
      <c r="C204" s="552" t="s">
        <v>519</v>
      </c>
      <c r="D204" s="757">
        <f>VLOOKUP(B204,Locatieoverzicht!$A$14:$E$21,5,FALSE)</f>
        <v>1</v>
      </c>
      <c r="E204" s="373">
        <v>1</v>
      </c>
      <c r="F204" s="549" t="s">
        <v>423</v>
      </c>
      <c r="G204" s="550" t="s">
        <v>401</v>
      </c>
      <c r="H204" s="374" t="str">
        <f t="shared" si="36"/>
        <v>Leslokaal regulier</v>
      </c>
      <c r="I204" s="375" t="s">
        <v>612</v>
      </c>
      <c r="J204" s="561">
        <v>67.2</v>
      </c>
      <c r="K204" s="612">
        <v>8040</v>
      </c>
      <c r="L204" s="376">
        <f t="shared" si="37"/>
        <v>40</v>
      </c>
      <c r="M204" s="377">
        <f t="shared" si="42"/>
        <v>0</v>
      </c>
      <c r="N204" s="377">
        <f t="shared" si="43"/>
        <v>0</v>
      </c>
      <c r="O204" s="377">
        <f t="shared" si="38"/>
        <v>0</v>
      </c>
      <c r="P204" s="377">
        <f t="shared" si="39"/>
        <v>0</v>
      </c>
      <c r="Q204" s="755">
        <v>1</v>
      </c>
      <c r="R204" s="378" t="str">
        <f t="shared" si="40"/>
        <v>L</v>
      </c>
      <c r="S204" s="379"/>
      <c r="T204" s="379"/>
      <c r="U204" s="756">
        <f t="shared" si="41"/>
        <v>2688</v>
      </c>
    </row>
    <row r="205" spans="1:21" ht="14.1" customHeight="1">
      <c r="A205" s="559">
        <v>205</v>
      </c>
      <c r="B205" s="375" t="s">
        <v>503</v>
      </c>
      <c r="C205" s="552" t="s">
        <v>519</v>
      </c>
      <c r="D205" s="757">
        <f>VLOOKUP(B205,Locatieoverzicht!$A$14:$E$21,5,FALSE)</f>
        <v>1</v>
      </c>
      <c r="E205" s="373">
        <v>1</v>
      </c>
      <c r="F205" s="549" t="s">
        <v>424</v>
      </c>
      <c r="G205" s="550" t="s">
        <v>326</v>
      </c>
      <c r="H205" s="374" t="str">
        <f t="shared" si="36"/>
        <v>Niet van toepassing</v>
      </c>
      <c r="I205" s="375" t="s">
        <v>612</v>
      </c>
      <c r="J205" s="561">
        <v>5.47</v>
      </c>
      <c r="K205" s="612" t="s">
        <v>239</v>
      </c>
      <c r="L205" s="376">
        <f t="shared" si="37"/>
        <v>0</v>
      </c>
      <c r="M205" s="377">
        <f t="shared" si="42"/>
        <v>0</v>
      </c>
      <c r="N205" s="377">
        <f t="shared" si="43"/>
        <v>0</v>
      </c>
      <c r="O205" s="377">
        <f t="shared" si="38"/>
        <v>0</v>
      </c>
      <c r="P205" s="377">
        <f t="shared" si="39"/>
        <v>0</v>
      </c>
      <c r="Q205" s="755">
        <v>1</v>
      </c>
      <c r="R205" s="378">
        <f t="shared" si="40"/>
        <v>0</v>
      </c>
      <c r="S205" s="379"/>
      <c r="T205" s="379"/>
      <c r="U205" s="756">
        <f t="shared" si="41"/>
        <v>0</v>
      </c>
    </row>
    <row r="206" spans="1:21" ht="14.1" customHeight="1">
      <c r="A206" s="559">
        <v>206</v>
      </c>
      <c r="B206" s="375" t="s">
        <v>503</v>
      </c>
      <c r="C206" s="552" t="s">
        <v>519</v>
      </c>
      <c r="D206" s="757">
        <f>VLOOKUP(B206,Locatieoverzicht!$A$14:$E$21,5,FALSE)</f>
        <v>1</v>
      </c>
      <c r="E206" s="373">
        <v>1</v>
      </c>
      <c r="F206" s="549" t="s">
        <v>425</v>
      </c>
      <c r="G206" s="550" t="s">
        <v>326</v>
      </c>
      <c r="H206" s="374" t="str">
        <f t="shared" si="36"/>
        <v>Niet van toepassing</v>
      </c>
      <c r="I206" s="375" t="s">
        <v>612</v>
      </c>
      <c r="J206" s="561">
        <v>1.71</v>
      </c>
      <c r="K206" s="612" t="s">
        <v>239</v>
      </c>
      <c r="L206" s="376">
        <f t="shared" si="37"/>
        <v>0</v>
      </c>
      <c r="M206" s="377">
        <f t="shared" si="42"/>
        <v>0</v>
      </c>
      <c r="N206" s="377">
        <f t="shared" si="43"/>
        <v>0</v>
      </c>
      <c r="O206" s="377">
        <f t="shared" si="38"/>
        <v>0</v>
      </c>
      <c r="P206" s="377">
        <f t="shared" si="39"/>
        <v>0</v>
      </c>
      <c r="Q206" s="755">
        <v>1</v>
      </c>
      <c r="R206" s="378">
        <f t="shared" si="40"/>
        <v>0</v>
      </c>
      <c r="S206" s="379"/>
      <c r="T206" s="379"/>
      <c r="U206" s="756">
        <f t="shared" si="41"/>
        <v>0</v>
      </c>
    </row>
    <row r="207" spans="1:21" ht="14.1" customHeight="1">
      <c r="A207" s="559">
        <v>207</v>
      </c>
      <c r="B207" s="375" t="s">
        <v>503</v>
      </c>
      <c r="C207" s="552" t="s">
        <v>519</v>
      </c>
      <c r="D207" s="757">
        <f>VLOOKUP(B207,Locatieoverzicht!$A$14:$E$21,5,FALSE)</f>
        <v>1</v>
      </c>
      <c r="E207" s="373">
        <v>1</v>
      </c>
      <c r="F207" s="549" t="s">
        <v>426</v>
      </c>
      <c r="G207" s="550" t="s">
        <v>407</v>
      </c>
      <c r="H207" s="374" t="str">
        <f t="shared" si="36"/>
        <v>Aula/kantine</v>
      </c>
      <c r="I207" s="375" t="s">
        <v>616</v>
      </c>
      <c r="J207" s="561">
        <v>90.8</v>
      </c>
      <c r="K207" s="612">
        <v>7200</v>
      </c>
      <c r="L207" s="376">
        <f t="shared" si="37"/>
        <v>200</v>
      </c>
      <c r="M207" s="377">
        <f t="shared" si="42"/>
        <v>0</v>
      </c>
      <c r="N207" s="377">
        <f t="shared" si="43"/>
        <v>0</v>
      </c>
      <c r="O207" s="377">
        <f t="shared" si="38"/>
        <v>0</v>
      </c>
      <c r="P207" s="377">
        <f t="shared" si="39"/>
        <v>0</v>
      </c>
      <c r="Q207" s="755">
        <v>1</v>
      </c>
      <c r="R207" s="378" t="str">
        <f t="shared" si="40"/>
        <v>V</v>
      </c>
      <c r="S207" s="379"/>
      <c r="T207" s="379"/>
      <c r="U207" s="756">
        <f t="shared" si="41"/>
        <v>18160</v>
      </c>
    </row>
    <row r="208" spans="1:21" ht="14.1" customHeight="1">
      <c r="A208" s="559">
        <v>208</v>
      </c>
      <c r="B208" s="375" t="s">
        <v>503</v>
      </c>
      <c r="C208" s="552" t="s">
        <v>519</v>
      </c>
      <c r="D208" s="757">
        <f>VLOOKUP(B208,Locatieoverzicht!$A$14:$E$21,5,FALSE)</f>
        <v>1</v>
      </c>
      <c r="E208" s="373">
        <v>1</v>
      </c>
      <c r="F208" s="549" t="s">
        <v>427</v>
      </c>
      <c r="G208" s="550" t="s">
        <v>550</v>
      </c>
      <c r="H208" s="374" t="str">
        <f t="shared" si="36"/>
        <v>Trappenhuizen</v>
      </c>
      <c r="I208" s="375" t="s">
        <v>613</v>
      </c>
      <c r="J208" s="561">
        <v>9.6999999999999993</v>
      </c>
      <c r="K208" s="612">
        <v>5200</v>
      </c>
      <c r="L208" s="376">
        <f t="shared" si="37"/>
        <v>200</v>
      </c>
      <c r="M208" s="377">
        <f t="shared" si="42"/>
        <v>0</v>
      </c>
      <c r="N208" s="377">
        <f t="shared" si="43"/>
        <v>0</v>
      </c>
      <c r="O208" s="377">
        <f t="shared" si="38"/>
        <v>0</v>
      </c>
      <c r="P208" s="377">
        <f t="shared" si="39"/>
        <v>0</v>
      </c>
      <c r="Q208" s="755">
        <v>1</v>
      </c>
      <c r="R208" s="378" t="str">
        <f t="shared" si="40"/>
        <v>V</v>
      </c>
      <c r="S208" s="379"/>
      <c r="T208" s="379"/>
      <c r="U208" s="756">
        <f t="shared" si="41"/>
        <v>1939.9999999999998</v>
      </c>
    </row>
    <row r="209" spans="1:21" ht="14.1" customHeight="1">
      <c r="A209" s="559">
        <v>209</v>
      </c>
      <c r="B209" s="375" t="s">
        <v>503</v>
      </c>
      <c r="C209" s="552" t="s">
        <v>519</v>
      </c>
      <c r="D209" s="757">
        <f>VLOOKUP(B209,Locatieoverzicht!$A$14:$E$21,5,FALSE)</f>
        <v>1</v>
      </c>
      <c r="E209" s="373">
        <v>1</v>
      </c>
      <c r="F209" s="549" t="s">
        <v>428</v>
      </c>
      <c r="G209" s="550" t="s">
        <v>400</v>
      </c>
      <c r="H209" s="374" t="str">
        <f t="shared" si="36"/>
        <v>Sanitaire ruimten</v>
      </c>
      <c r="I209" s="375" t="s">
        <v>614</v>
      </c>
      <c r="J209" s="561">
        <v>15.1</v>
      </c>
      <c r="K209" s="612">
        <v>2200</v>
      </c>
      <c r="L209" s="376">
        <f t="shared" si="37"/>
        <v>200</v>
      </c>
      <c r="M209" s="377">
        <f t="shared" si="42"/>
        <v>0</v>
      </c>
      <c r="N209" s="377">
        <f t="shared" si="43"/>
        <v>0</v>
      </c>
      <c r="O209" s="377">
        <f t="shared" si="38"/>
        <v>0</v>
      </c>
      <c r="P209" s="377">
        <f t="shared" si="39"/>
        <v>0</v>
      </c>
      <c r="Q209" s="755">
        <v>1</v>
      </c>
      <c r="R209" s="378" t="str">
        <f t="shared" si="40"/>
        <v>S</v>
      </c>
      <c r="S209" s="379"/>
      <c r="T209" s="379"/>
      <c r="U209" s="756">
        <f t="shared" si="41"/>
        <v>3020</v>
      </c>
    </row>
    <row r="210" spans="1:21" ht="14.1" customHeight="1">
      <c r="A210" s="559">
        <v>210</v>
      </c>
      <c r="B210" s="375" t="s">
        <v>503</v>
      </c>
      <c r="C210" s="552" t="s">
        <v>519</v>
      </c>
      <c r="D210" s="757">
        <f>VLOOKUP(B210,Locatieoverzicht!$A$14:$E$21,5,FALSE)</f>
        <v>1</v>
      </c>
      <c r="E210" s="373">
        <v>1</v>
      </c>
      <c r="F210" s="549" t="s">
        <v>429</v>
      </c>
      <c r="G210" s="550" t="s">
        <v>326</v>
      </c>
      <c r="H210" s="374" t="str">
        <f t="shared" si="36"/>
        <v>Niet van toepassing</v>
      </c>
      <c r="I210" s="375"/>
      <c r="J210" s="561">
        <v>8.1</v>
      </c>
      <c r="K210" s="612" t="s">
        <v>239</v>
      </c>
      <c r="L210" s="376">
        <f t="shared" si="37"/>
        <v>0</v>
      </c>
      <c r="M210" s="377">
        <f t="shared" si="42"/>
        <v>0</v>
      </c>
      <c r="N210" s="377">
        <f t="shared" si="43"/>
        <v>0</v>
      </c>
      <c r="O210" s="377">
        <f t="shared" si="38"/>
        <v>0</v>
      </c>
      <c r="P210" s="377">
        <f t="shared" si="39"/>
        <v>0</v>
      </c>
      <c r="Q210" s="755">
        <v>1</v>
      </c>
      <c r="R210" s="378">
        <f t="shared" si="40"/>
        <v>0</v>
      </c>
      <c r="S210" s="379"/>
      <c r="T210" s="379"/>
      <c r="U210" s="756">
        <f t="shared" si="41"/>
        <v>0</v>
      </c>
    </row>
    <row r="211" spans="1:21" ht="14.1" customHeight="1">
      <c r="A211" s="559">
        <v>211</v>
      </c>
      <c r="B211" s="375" t="s">
        <v>503</v>
      </c>
      <c r="C211" s="552" t="s">
        <v>519</v>
      </c>
      <c r="D211" s="757">
        <f>VLOOKUP(B211,Locatieoverzicht!$A$14:$E$21,5,FALSE)</f>
        <v>1</v>
      </c>
      <c r="E211" s="373">
        <v>1</v>
      </c>
      <c r="F211" s="549" t="s">
        <v>430</v>
      </c>
      <c r="G211" s="550" t="s">
        <v>399</v>
      </c>
      <c r="H211" s="374" t="str">
        <f t="shared" si="36"/>
        <v>Mediatheek/Bibliotheek/Computerlokaal</v>
      </c>
      <c r="I211" s="375" t="s">
        <v>616</v>
      </c>
      <c r="J211" s="561">
        <v>91.2</v>
      </c>
      <c r="K211" s="612">
        <v>14080</v>
      </c>
      <c r="L211" s="376">
        <f t="shared" si="37"/>
        <v>80</v>
      </c>
      <c r="M211" s="377">
        <f t="shared" si="42"/>
        <v>0</v>
      </c>
      <c r="N211" s="377">
        <f t="shared" si="43"/>
        <v>0</v>
      </c>
      <c r="O211" s="377">
        <f t="shared" si="38"/>
        <v>0</v>
      </c>
      <c r="P211" s="377">
        <f t="shared" si="39"/>
        <v>0</v>
      </c>
      <c r="Q211" s="755">
        <v>1</v>
      </c>
      <c r="R211" s="378" t="str">
        <f t="shared" si="40"/>
        <v>V</v>
      </c>
      <c r="S211" s="379"/>
      <c r="T211" s="379"/>
      <c r="U211" s="756">
        <f t="shared" si="41"/>
        <v>7296</v>
      </c>
    </row>
    <row r="212" spans="1:21" ht="14.1" customHeight="1">
      <c r="A212" s="559">
        <v>212</v>
      </c>
      <c r="B212" s="375" t="s">
        <v>503</v>
      </c>
      <c r="C212" s="552" t="s">
        <v>519</v>
      </c>
      <c r="D212" s="757">
        <f>VLOOKUP(B212,Locatieoverzicht!$A$14:$E$21,5,FALSE)</f>
        <v>1</v>
      </c>
      <c r="E212" s="373">
        <v>1</v>
      </c>
      <c r="F212" s="549" t="s">
        <v>431</v>
      </c>
      <c r="G212" s="550" t="s">
        <v>326</v>
      </c>
      <c r="H212" s="374" t="str">
        <f t="shared" si="36"/>
        <v>Niet van toepassing</v>
      </c>
      <c r="I212" s="375" t="s">
        <v>616</v>
      </c>
      <c r="J212" s="561">
        <v>4.3</v>
      </c>
      <c r="K212" s="612" t="s">
        <v>239</v>
      </c>
      <c r="L212" s="376">
        <f t="shared" si="37"/>
        <v>0</v>
      </c>
      <c r="M212" s="377">
        <f t="shared" si="42"/>
        <v>0</v>
      </c>
      <c r="N212" s="377">
        <f t="shared" si="43"/>
        <v>0</v>
      </c>
      <c r="O212" s="377">
        <f t="shared" si="38"/>
        <v>0</v>
      </c>
      <c r="P212" s="377">
        <f t="shared" si="39"/>
        <v>0</v>
      </c>
      <c r="Q212" s="755">
        <v>1</v>
      </c>
      <c r="R212" s="378">
        <f t="shared" si="40"/>
        <v>0</v>
      </c>
      <c r="S212" s="379"/>
      <c r="T212" s="379"/>
      <c r="U212" s="756">
        <f t="shared" si="41"/>
        <v>0</v>
      </c>
    </row>
    <row r="213" spans="1:21" ht="14.1" customHeight="1">
      <c r="A213" s="559">
        <v>213</v>
      </c>
      <c r="B213" s="375" t="s">
        <v>503</v>
      </c>
      <c r="C213" s="552" t="s">
        <v>519</v>
      </c>
      <c r="D213" s="757">
        <f>VLOOKUP(B213,Locatieoverzicht!$A$14:$E$21,5,FALSE)</f>
        <v>1</v>
      </c>
      <c r="E213" s="373">
        <v>2</v>
      </c>
      <c r="F213" s="549" t="s">
        <v>464</v>
      </c>
      <c r="G213" s="550" t="s">
        <v>398</v>
      </c>
      <c r="H213" s="374" t="str">
        <f t="shared" si="36"/>
        <v>Gangen en hallen</v>
      </c>
      <c r="I213" s="375" t="s">
        <v>615</v>
      </c>
      <c r="J213" s="561">
        <v>9.8000000000000007</v>
      </c>
      <c r="K213" s="612">
        <v>3200</v>
      </c>
      <c r="L213" s="376">
        <f t="shared" si="37"/>
        <v>200</v>
      </c>
      <c r="M213" s="377">
        <f t="shared" si="42"/>
        <v>0</v>
      </c>
      <c r="N213" s="377">
        <f t="shared" si="43"/>
        <v>0</v>
      </c>
      <c r="O213" s="377">
        <f t="shared" si="38"/>
        <v>0</v>
      </c>
      <c r="P213" s="377">
        <f t="shared" si="39"/>
        <v>0</v>
      </c>
      <c r="Q213" s="755">
        <v>1</v>
      </c>
      <c r="R213" s="378" t="str">
        <f t="shared" si="40"/>
        <v>V</v>
      </c>
      <c r="S213" s="379"/>
      <c r="T213" s="379"/>
      <c r="U213" s="756">
        <f t="shared" si="41"/>
        <v>1960.0000000000002</v>
      </c>
    </row>
    <row r="214" spans="1:21" ht="14.1" customHeight="1">
      <c r="A214" s="559">
        <v>214</v>
      </c>
      <c r="B214" s="375" t="s">
        <v>503</v>
      </c>
      <c r="C214" s="552" t="s">
        <v>519</v>
      </c>
      <c r="D214" s="757">
        <f>VLOOKUP(B214,Locatieoverzicht!$A$14:$E$21,5,FALSE)</f>
        <v>1</v>
      </c>
      <c r="E214" s="373">
        <v>2</v>
      </c>
      <c r="F214" s="549" t="s">
        <v>465</v>
      </c>
      <c r="G214" s="550" t="s">
        <v>401</v>
      </c>
      <c r="H214" s="374" t="str">
        <f t="shared" si="36"/>
        <v>Leslokaal regulier</v>
      </c>
      <c r="I214" s="375" t="s">
        <v>616</v>
      </c>
      <c r="J214" s="561">
        <v>51.9</v>
      </c>
      <c r="K214" s="612">
        <v>8040</v>
      </c>
      <c r="L214" s="376">
        <f t="shared" si="37"/>
        <v>40</v>
      </c>
      <c r="M214" s="377">
        <f t="shared" si="42"/>
        <v>0</v>
      </c>
      <c r="N214" s="377">
        <f t="shared" si="43"/>
        <v>0</v>
      </c>
      <c r="O214" s="377">
        <f t="shared" si="38"/>
        <v>0</v>
      </c>
      <c r="P214" s="377">
        <f t="shared" si="39"/>
        <v>0</v>
      </c>
      <c r="Q214" s="755">
        <v>1</v>
      </c>
      <c r="R214" s="378" t="str">
        <f t="shared" si="40"/>
        <v>L</v>
      </c>
      <c r="S214" s="379"/>
      <c r="T214" s="379"/>
      <c r="U214" s="756">
        <f t="shared" si="41"/>
        <v>2076</v>
      </c>
    </row>
    <row r="215" spans="1:21" ht="14.1" customHeight="1">
      <c r="A215" s="559">
        <v>215</v>
      </c>
      <c r="B215" s="375" t="s">
        <v>503</v>
      </c>
      <c r="C215" s="552" t="s">
        <v>519</v>
      </c>
      <c r="D215" s="757">
        <f>VLOOKUP(B215,Locatieoverzicht!$A$14:$E$21,5,FALSE)</f>
        <v>1</v>
      </c>
      <c r="E215" s="373">
        <v>2</v>
      </c>
      <c r="F215" s="549" t="s">
        <v>466</v>
      </c>
      <c r="G215" s="550" t="s">
        <v>326</v>
      </c>
      <c r="H215" s="374" t="str">
        <f t="shared" si="36"/>
        <v>Niet van toepassing</v>
      </c>
      <c r="I215" s="375"/>
      <c r="J215" s="561">
        <v>0.45</v>
      </c>
      <c r="K215" s="612" t="s">
        <v>239</v>
      </c>
      <c r="L215" s="376">
        <f t="shared" si="37"/>
        <v>0</v>
      </c>
      <c r="M215" s="377">
        <f t="shared" si="42"/>
        <v>0</v>
      </c>
      <c r="N215" s="377">
        <f t="shared" si="43"/>
        <v>0</v>
      </c>
      <c r="O215" s="377">
        <f t="shared" si="38"/>
        <v>0</v>
      </c>
      <c r="P215" s="377">
        <f t="shared" si="39"/>
        <v>0</v>
      </c>
      <c r="Q215" s="755">
        <v>1</v>
      </c>
      <c r="R215" s="378">
        <f t="shared" si="40"/>
        <v>0</v>
      </c>
      <c r="S215" s="379"/>
      <c r="T215" s="379"/>
      <c r="U215" s="756">
        <f t="shared" si="41"/>
        <v>0</v>
      </c>
    </row>
    <row r="216" spans="1:21" ht="14.1" customHeight="1">
      <c r="A216" s="559">
        <v>216</v>
      </c>
      <c r="B216" s="375" t="s">
        <v>503</v>
      </c>
      <c r="C216" s="552" t="s">
        <v>519</v>
      </c>
      <c r="D216" s="757">
        <f>VLOOKUP(B216,Locatieoverzicht!$A$14:$E$21,5,FALSE)</f>
        <v>1</v>
      </c>
      <c r="E216" s="373">
        <v>2</v>
      </c>
      <c r="F216" s="549" t="s">
        <v>467</v>
      </c>
      <c r="G216" s="550" t="s">
        <v>540</v>
      </c>
      <c r="H216" s="374" t="str">
        <f t="shared" si="36"/>
        <v>Niet van toepassing</v>
      </c>
      <c r="I216" s="375"/>
      <c r="J216" s="561">
        <v>1.5</v>
      </c>
      <c r="K216" s="612" t="s">
        <v>239</v>
      </c>
      <c r="L216" s="376">
        <f t="shared" si="37"/>
        <v>0</v>
      </c>
      <c r="M216" s="377">
        <f t="shared" si="42"/>
        <v>0</v>
      </c>
      <c r="N216" s="377">
        <f t="shared" si="43"/>
        <v>0</v>
      </c>
      <c r="O216" s="377">
        <f t="shared" si="38"/>
        <v>0</v>
      </c>
      <c r="P216" s="377">
        <f t="shared" si="39"/>
        <v>0</v>
      </c>
      <c r="Q216" s="755">
        <v>1</v>
      </c>
      <c r="R216" s="378">
        <f t="shared" si="40"/>
        <v>0</v>
      </c>
      <c r="S216" s="379"/>
      <c r="T216" s="379"/>
      <c r="U216" s="756">
        <f t="shared" si="41"/>
        <v>0</v>
      </c>
    </row>
    <row r="217" spans="1:21" ht="14.1" customHeight="1">
      <c r="A217" s="559">
        <v>217</v>
      </c>
      <c r="B217" s="375" t="s">
        <v>503</v>
      </c>
      <c r="C217" s="552" t="s">
        <v>519</v>
      </c>
      <c r="D217" s="757">
        <f>VLOOKUP(B217,Locatieoverzicht!$A$14:$E$21,5,FALSE)</f>
        <v>1</v>
      </c>
      <c r="E217" s="373">
        <v>2</v>
      </c>
      <c r="F217" s="549" t="s">
        <v>468</v>
      </c>
      <c r="G217" s="550" t="s">
        <v>401</v>
      </c>
      <c r="H217" s="374" t="str">
        <f t="shared" si="36"/>
        <v>Leslokaal regulier</v>
      </c>
      <c r="I217" s="375" t="s">
        <v>616</v>
      </c>
      <c r="J217" s="561">
        <v>49.8</v>
      </c>
      <c r="K217" s="612">
        <v>8040</v>
      </c>
      <c r="L217" s="376">
        <f t="shared" si="37"/>
        <v>40</v>
      </c>
      <c r="M217" s="377">
        <f t="shared" si="42"/>
        <v>0</v>
      </c>
      <c r="N217" s="377">
        <f t="shared" si="43"/>
        <v>0</v>
      </c>
      <c r="O217" s="377">
        <f t="shared" si="38"/>
        <v>0</v>
      </c>
      <c r="P217" s="377">
        <f t="shared" si="39"/>
        <v>0</v>
      </c>
      <c r="Q217" s="755">
        <v>1</v>
      </c>
      <c r="R217" s="378" t="str">
        <f t="shared" si="40"/>
        <v>L</v>
      </c>
      <c r="S217" s="379"/>
      <c r="T217" s="379"/>
      <c r="U217" s="756">
        <f t="shared" si="41"/>
        <v>1992</v>
      </c>
    </row>
    <row r="218" spans="1:21" ht="14.1" customHeight="1">
      <c r="A218" s="559">
        <v>218</v>
      </c>
      <c r="B218" s="375" t="s">
        <v>503</v>
      </c>
      <c r="C218" s="552" t="s">
        <v>519</v>
      </c>
      <c r="D218" s="757">
        <f>VLOOKUP(B218,Locatieoverzicht!$A$14:$E$21,5,FALSE)</f>
        <v>1</v>
      </c>
      <c r="E218" s="373">
        <v>2</v>
      </c>
      <c r="F218" s="549" t="s">
        <v>469</v>
      </c>
      <c r="G218" s="550" t="s">
        <v>407</v>
      </c>
      <c r="H218" s="374" t="str">
        <f t="shared" si="36"/>
        <v>Aula/kantine</v>
      </c>
      <c r="I218" s="375" t="s">
        <v>616</v>
      </c>
      <c r="J218" s="561">
        <v>113</v>
      </c>
      <c r="K218" s="612">
        <v>7200</v>
      </c>
      <c r="L218" s="376">
        <f t="shared" si="37"/>
        <v>200</v>
      </c>
      <c r="M218" s="377">
        <f t="shared" si="42"/>
        <v>0</v>
      </c>
      <c r="N218" s="377">
        <f t="shared" si="43"/>
        <v>0</v>
      </c>
      <c r="O218" s="377">
        <f t="shared" si="38"/>
        <v>0</v>
      </c>
      <c r="P218" s="377">
        <f t="shared" si="39"/>
        <v>0</v>
      </c>
      <c r="Q218" s="755">
        <v>1</v>
      </c>
      <c r="R218" s="378" t="str">
        <f t="shared" si="40"/>
        <v>V</v>
      </c>
      <c r="S218" s="379"/>
      <c r="T218" s="379"/>
      <c r="U218" s="756">
        <f t="shared" si="41"/>
        <v>22600</v>
      </c>
    </row>
    <row r="219" spans="1:21" ht="14.1" customHeight="1">
      <c r="A219" s="559">
        <v>219</v>
      </c>
      <c r="B219" s="375" t="s">
        <v>503</v>
      </c>
      <c r="C219" s="552" t="s">
        <v>519</v>
      </c>
      <c r="D219" s="757">
        <f>VLOOKUP(B219,Locatieoverzicht!$A$14:$E$21,5,FALSE)</f>
        <v>1</v>
      </c>
      <c r="E219" s="373">
        <v>2</v>
      </c>
      <c r="F219" s="549" t="s">
        <v>470</v>
      </c>
      <c r="G219" s="550" t="s">
        <v>398</v>
      </c>
      <c r="H219" s="374" t="str">
        <f t="shared" si="36"/>
        <v>Gangen en hallen</v>
      </c>
      <c r="I219" s="375" t="s">
        <v>613</v>
      </c>
      <c r="J219" s="561">
        <v>11.1</v>
      </c>
      <c r="K219" s="612">
        <v>3200</v>
      </c>
      <c r="L219" s="376">
        <f t="shared" si="37"/>
        <v>200</v>
      </c>
      <c r="M219" s="377">
        <f t="shared" si="42"/>
        <v>0</v>
      </c>
      <c r="N219" s="377">
        <f t="shared" si="43"/>
        <v>0</v>
      </c>
      <c r="O219" s="377">
        <f t="shared" si="38"/>
        <v>0</v>
      </c>
      <c r="P219" s="377">
        <f t="shared" si="39"/>
        <v>0</v>
      </c>
      <c r="Q219" s="755">
        <v>1</v>
      </c>
      <c r="R219" s="378" t="str">
        <f t="shared" si="40"/>
        <v>V</v>
      </c>
      <c r="S219" s="379"/>
      <c r="T219" s="379"/>
      <c r="U219" s="756">
        <f t="shared" si="41"/>
        <v>2220</v>
      </c>
    </row>
    <row r="220" spans="1:21" ht="14.1" customHeight="1">
      <c r="A220" s="559">
        <v>220</v>
      </c>
      <c r="B220" s="375" t="s">
        <v>503</v>
      </c>
      <c r="C220" s="552" t="s">
        <v>519</v>
      </c>
      <c r="D220" s="757">
        <f>VLOOKUP(B220,Locatieoverzicht!$A$14:$E$21,5,FALSE)</f>
        <v>1</v>
      </c>
      <c r="E220" s="373">
        <v>2</v>
      </c>
      <c r="F220" s="549" t="s">
        <v>471</v>
      </c>
      <c r="G220" s="550" t="s">
        <v>326</v>
      </c>
      <c r="H220" s="374" t="str">
        <f t="shared" si="36"/>
        <v>Niet van toepassing</v>
      </c>
      <c r="I220" s="375" t="s">
        <v>616</v>
      </c>
      <c r="J220" s="561">
        <v>3.01</v>
      </c>
      <c r="K220" s="612" t="s">
        <v>239</v>
      </c>
      <c r="L220" s="376">
        <f t="shared" si="37"/>
        <v>0</v>
      </c>
      <c r="M220" s="377">
        <f t="shared" si="42"/>
        <v>0</v>
      </c>
      <c r="N220" s="377">
        <f t="shared" si="43"/>
        <v>0</v>
      </c>
      <c r="O220" s="377">
        <f t="shared" si="38"/>
        <v>0</v>
      </c>
      <c r="P220" s="377">
        <f t="shared" si="39"/>
        <v>0</v>
      </c>
      <c r="Q220" s="755">
        <v>1</v>
      </c>
      <c r="R220" s="378">
        <f t="shared" si="40"/>
        <v>0</v>
      </c>
      <c r="S220" s="379"/>
      <c r="T220" s="379"/>
      <c r="U220" s="756">
        <f t="shared" si="41"/>
        <v>0</v>
      </c>
    </row>
    <row r="221" spans="1:21" ht="14.1" customHeight="1">
      <c r="A221" s="559">
        <v>221</v>
      </c>
      <c r="B221" s="375" t="s">
        <v>503</v>
      </c>
      <c r="C221" s="552" t="s">
        <v>519</v>
      </c>
      <c r="D221" s="757">
        <f>VLOOKUP(B221,Locatieoverzicht!$A$14:$E$21,5,FALSE)</f>
        <v>1</v>
      </c>
      <c r="E221" s="373">
        <v>2</v>
      </c>
      <c r="F221" s="549" t="s">
        <v>472</v>
      </c>
      <c r="G221" s="550" t="s">
        <v>326</v>
      </c>
      <c r="H221" s="374" t="str">
        <f t="shared" si="36"/>
        <v>Niet van toepassing</v>
      </c>
      <c r="I221" s="375" t="s">
        <v>616</v>
      </c>
      <c r="J221" s="561">
        <v>31.6</v>
      </c>
      <c r="K221" s="612" t="s">
        <v>239</v>
      </c>
      <c r="L221" s="376">
        <f t="shared" si="37"/>
        <v>0</v>
      </c>
      <c r="M221" s="377">
        <f t="shared" si="42"/>
        <v>0</v>
      </c>
      <c r="N221" s="377">
        <f t="shared" si="43"/>
        <v>0</v>
      </c>
      <c r="O221" s="377">
        <f t="shared" si="38"/>
        <v>0</v>
      </c>
      <c r="P221" s="377">
        <f t="shared" si="39"/>
        <v>0</v>
      </c>
      <c r="Q221" s="755">
        <v>1</v>
      </c>
      <c r="R221" s="378">
        <f t="shared" si="40"/>
        <v>0</v>
      </c>
      <c r="S221" s="379"/>
      <c r="T221" s="379"/>
      <c r="U221" s="756">
        <f t="shared" si="41"/>
        <v>0</v>
      </c>
    </row>
    <row r="222" spans="1:21" ht="14.1" customHeight="1">
      <c r="A222" s="559">
        <v>222</v>
      </c>
      <c r="B222" s="375" t="s">
        <v>503</v>
      </c>
      <c r="C222" s="552" t="s">
        <v>519</v>
      </c>
      <c r="D222" s="757">
        <f>VLOOKUP(B222,Locatieoverzicht!$A$14:$E$21,5,FALSE)</f>
        <v>1</v>
      </c>
      <c r="E222" s="373">
        <v>2</v>
      </c>
      <c r="F222" s="549" t="s">
        <v>473</v>
      </c>
      <c r="G222" s="550" t="s">
        <v>400</v>
      </c>
      <c r="H222" s="374" t="str">
        <f t="shared" si="36"/>
        <v>Sanitaire ruimten</v>
      </c>
      <c r="I222" s="375" t="s">
        <v>614</v>
      </c>
      <c r="J222" s="561">
        <v>10.199999999999999</v>
      </c>
      <c r="K222" s="612">
        <v>2200</v>
      </c>
      <c r="L222" s="376">
        <f t="shared" si="37"/>
        <v>200</v>
      </c>
      <c r="M222" s="377">
        <f t="shared" si="42"/>
        <v>0</v>
      </c>
      <c r="N222" s="377">
        <f t="shared" si="43"/>
        <v>0</v>
      </c>
      <c r="O222" s="377">
        <f t="shared" si="38"/>
        <v>0</v>
      </c>
      <c r="P222" s="377">
        <f t="shared" si="39"/>
        <v>0</v>
      </c>
      <c r="Q222" s="755">
        <v>1</v>
      </c>
      <c r="R222" s="378" t="str">
        <f t="shared" si="40"/>
        <v>S</v>
      </c>
      <c r="S222" s="379"/>
      <c r="T222" s="379"/>
      <c r="U222" s="756">
        <f t="shared" si="41"/>
        <v>2039.9999999999998</v>
      </c>
    </row>
    <row r="223" spans="1:21" ht="14.1" customHeight="1">
      <c r="A223" s="559">
        <v>223</v>
      </c>
      <c r="B223" s="375" t="s">
        <v>503</v>
      </c>
      <c r="C223" s="552" t="s">
        <v>519</v>
      </c>
      <c r="D223" s="757">
        <f>VLOOKUP(B223,Locatieoverzicht!$A$14:$E$21,5,FALSE)</f>
        <v>1</v>
      </c>
      <c r="E223" s="373">
        <v>2</v>
      </c>
      <c r="F223" s="549" t="s">
        <v>474</v>
      </c>
      <c r="G223" s="550" t="s">
        <v>400</v>
      </c>
      <c r="H223" s="374" t="str">
        <f t="shared" si="36"/>
        <v>Sanitaire ruimten</v>
      </c>
      <c r="I223" s="375" t="s">
        <v>614</v>
      </c>
      <c r="J223" s="561">
        <v>10.4</v>
      </c>
      <c r="K223" s="612">
        <v>2200</v>
      </c>
      <c r="L223" s="376">
        <f t="shared" si="37"/>
        <v>200</v>
      </c>
      <c r="M223" s="377">
        <f t="shared" si="42"/>
        <v>0</v>
      </c>
      <c r="N223" s="377">
        <f t="shared" si="43"/>
        <v>0</v>
      </c>
      <c r="O223" s="377">
        <f t="shared" si="38"/>
        <v>0</v>
      </c>
      <c r="P223" s="377">
        <f t="shared" si="39"/>
        <v>0</v>
      </c>
      <c r="Q223" s="755">
        <v>1</v>
      </c>
      <c r="R223" s="378" t="str">
        <f t="shared" si="40"/>
        <v>S</v>
      </c>
      <c r="S223" s="379"/>
      <c r="T223" s="379"/>
      <c r="U223" s="756">
        <f t="shared" si="41"/>
        <v>2080</v>
      </c>
    </row>
    <row r="224" spans="1:21" ht="14.1" customHeight="1">
      <c r="A224" s="559">
        <v>224</v>
      </c>
      <c r="B224" s="375" t="s">
        <v>503</v>
      </c>
      <c r="C224" s="552" t="s">
        <v>519</v>
      </c>
      <c r="D224" s="757">
        <f>VLOOKUP(B224,Locatieoverzicht!$A$14:$E$21,5,FALSE)</f>
        <v>1</v>
      </c>
      <c r="E224" s="373">
        <v>2</v>
      </c>
      <c r="F224" s="549" t="s">
        <v>475</v>
      </c>
      <c r="G224" s="550" t="s">
        <v>401</v>
      </c>
      <c r="H224" s="374" t="str">
        <f t="shared" si="36"/>
        <v>Leslokaal regulier</v>
      </c>
      <c r="I224" s="375" t="s">
        <v>616</v>
      </c>
      <c r="J224" s="561">
        <v>68.2</v>
      </c>
      <c r="K224" s="612">
        <v>8040</v>
      </c>
      <c r="L224" s="376">
        <f t="shared" si="37"/>
        <v>40</v>
      </c>
      <c r="M224" s="377">
        <f t="shared" si="42"/>
        <v>0</v>
      </c>
      <c r="N224" s="377">
        <f t="shared" si="43"/>
        <v>0</v>
      </c>
      <c r="O224" s="377">
        <f t="shared" si="38"/>
        <v>0</v>
      </c>
      <c r="P224" s="377">
        <f t="shared" si="39"/>
        <v>0</v>
      </c>
      <c r="Q224" s="755">
        <v>1</v>
      </c>
      <c r="R224" s="378" t="str">
        <f t="shared" si="40"/>
        <v>L</v>
      </c>
      <c r="S224" s="379"/>
      <c r="T224" s="379"/>
      <c r="U224" s="756">
        <f t="shared" si="41"/>
        <v>2728</v>
      </c>
    </row>
    <row r="225" spans="1:21" ht="14.1" customHeight="1">
      <c r="A225" s="559">
        <v>225</v>
      </c>
      <c r="B225" s="375" t="s">
        <v>503</v>
      </c>
      <c r="C225" s="552" t="s">
        <v>519</v>
      </c>
      <c r="D225" s="757">
        <f>VLOOKUP(B225,Locatieoverzicht!$A$14:$E$21,5,FALSE)</f>
        <v>1</v>
      </c>
      <c r="E225" s="373">
        <v>2</v>
      </c>
      <c r="F225" s="549" t="s">
        <v>476</v>
      </c>
      <c r="G225" s="550" t="s">
        <v>403</v>
      </c>
      <c r="H225" s="374" t="str">
        <f t="shared" si="36"/>
        <v>Personeelsruimten</v>
      </c>
      <c r="I225" s="375" t="s">
        <v>616</v>
      </c>
      <c r="J225" s="561">
        <v>42.4</v>
      </c>
      <c r="K225" s="612">
        <v>12200</v>
      </c>
      <c r="L225" s="376">
        <f t="shared" si="37"/>
        <v>200</v>
      </c>
      <c r="M225" s="377">
        <f t="shared" si="42"/>
        <v>0</v>
      </c>
      <c r="N225" s="377">
        <f t="shared" si="43"/>
        <v>0</v>
      </c>
      <c r="O225" s="377">
        <f t="shared" si="38"/>
        <v>0</v>
      </c>
      <c r="P225" s="377">
        <f t="shared" si="39"/>
        <v>0</v>
      </c>
      <c r="Q225" s="755">
        <v>1</v>
      </c>
      <c r="R225" s="378" t="str">
        <f t="shared" si="40"/>
        <v>V</v>
      </c>
      <c r="S225" s="379"/>
      <c r="T225" s="379"/>
      <c r="U225" s="756">
        <f t="shared" si="41"/>
        <v>8480</v>
      </c>
    </row>
    <row r="226" spans="1:21" ht="14.1" customHeight="1">
      <c r="A226" s="559">
        <v>226</v>
      </c>
      <c r="B226" s="375" t="s">
        <v>503</v>
      </c>
      <c r="C226" s="552" t="s">
        <v>519</v>
      </c>
      <c r="D226" s="757">
        <f>VLOOKUP(B226,Locatieoverzicht!$A$14:$E$21,5,FALSE)</f>
        <v>1</v>
      </c>
      <c r="E226" s="373">
        <v>2</v>
      </c>
      <c r="F226" s="549" t="s">
        <v>477</v>
      </c>
      <c r="G226" s="550" t="s">
        <v>398</v>
      </c>
      <c r="H226" s="374" t="str">
        <f t="shared" si="36"/>
        <v>Gangen en hallen</v>
      </c>
      <c r="I226" s="375" t="s">
        <v>616</v>
      </c>
      <c r="J226" s="561">
        <v>88</v>
      </c>
      <c r="K226" s="612">
        <v>3200</v>
      </c>
      <c r="L226" s="376">
        <f t="shared" si="37"/>
        <v>200</v>
      </c>
      <c r="M226" s="377">
        <f t="shared" si="42"/>
        <v>0</v>
      </c>
      <c r="N226" s="377">
        <f t="shared" si="43"/>
        <v>0</v>
      </c>
      <c r="O226" s="377">
        <f t="shared" si="38"/>
        <v>0</v>
      </c>
      <c r="P226" s="377">
        <f t="shared" si="39"/>
        <v>0</v>
      </c>
      <c r="Q226" s="755">
        <v>1</v>
      </c>
      <c r="R226" s="378" t="str">
        <f t="shared" si="40"/>
        <v>V</v>
      </c>
      <c r="S226" s="379"/>
      <c r="T226" s="379"/>
      <c r="U226" s="756">
        <f t="shared" si="41"/>
        <v>17600</v>
      </c>
    </row>
    <row r="227" spans="1:21" ht="14.1" customHeight="1">
      <c r="A227" s="559">
        <v>227</v>
      </c>
      <c r="B227" s="375" t="s">
        <v>503</v>
      </c>
      <c r="C227" s="552" t="s">
        <v>519</v>
      </c>
      <c r="D227" s="757">
        <f>VLOOKUP(B227,Locatieoverzicht!$A$14:$E$21,5,FALSE)</f>
        <v>1</v>
      </c>
      <c r="E227" s="373">
        <v>2</v>
      </c>
      <c r="F227" s="549" t="s">
        <v>478</v>
      </c>
      <c r="G227" s="550" t="s">
        <v>401</v>
      </c>
      <c r="H227" s="374" t="str">
        <f t="shared" si="36"/>
        <v>Leslokaal regulier</v>
      </c>
      <c r="I227" s="375" t="s">
        <v>616</v>
      </c>
      <c r="J227" s="561">
        <v>53.4</v>
      </c>
      <c r="K227" s="612">
        <v>8040</v>
      </c>
      <c r="L227" s="376">
        <f t="shared" si="37"/>
        <v>40</v>
      </c>
      <c r="M227" s="377">
        <f t="shared" si="42"/>
        <v>0</v>
      </c>
      <c r="N227" s="377">
        <f t="shared" si="43"/>
        <v>0</v>
      </c>
      <c r="O227" s="377">
        <f t="shared" si="38"/>
        <v>0</v>
      </c>
      <c r="P227" s="377">
        <f t="shared" si="39"/>
        <v>0</v>
      </c>
      <c r="Q227" s="755">
        <v>1</v>
      </c>
      <c r="R227" s="378" t="str">
        <f t="shared" si="40"/>
        <v>L</v>
      </c>
      <c r="S227" s="379"/>
      <c r="T227" s="379"/>
      <c r="U227" s="756">
        <f t="shared" si="41"/>
        <v>2136</v>
      </c>
    </row>
    <row r="228" spans="1:21" ht="14.1" customHeight="1">
      <c r="A228" s="559">
        <v>228</v>
      </c>
      <c r="B228" s="375" t="s">
        <v>503</v>
      </c>
      <c r="C228" s="552" t="s">
        <v>519</v>
      </c>
      <c r="D228" s="757">
        <f>VLOOKUP(B228,Locatieoverzicht!$A$14:$E$21,5,FALSE)</f>
        <v>1</v>
      </c>
      <c r="E228" s="373">
        <v>2</v>
      </c>
      <c r="F228" s="549" t="s">
        <v>479</v>
      </c>
      <c r="G228" s="550" t="s">
        <v>401</v>
      </c>
      <c r="H228" s="374" t="str">
        <f t="shared" si="36"/>
        <v>Leslokaal regulier</v>
      </c>
      <c r="I228" s="375" t="s">
        <v>616</v>
      </c>
      <c r="J228" s="561">
        <v>68.2</v>
      </c>
      <c r="K228" s="612">
        <v>8040</v>
      </c>
      <c r="L228" s="376">
        <f t="shared" si="37"/>
        <v>40</v>
      </c>
      <c r="M228" s="377">
        <f t="shared" si="42"/>
        <v>0</v>
      </c>
      <c r="N228" s="377">
        <f t="shared" si="43"/>
        <v>0</v>
      </c>
      <c r="O228" s="377">
        <f t="shared" si="38"/>
        <v>0</v>
      </c>
      <c r="P228" s="377">
        <f t="shared" si="39"/>
        <v>0</v>
      </c>
      <c r="Q228" s="755">
        <v>1</v>
      </c>
      <c r="R228" s="378" t="str">
        <f t="shared" si="40"/>
        <v>L</v>
      </c>
      <c r="S228" s="379"/>
      <c r="T228" s="379"/>
      <c r="U228" s="756">
        <f t="shared" si="41"/>
        <v>2728</v>
      </c>
    </row>
    <row r="229" spans="1:21" ht="14.1" customHeight="1">
      <c r="A229" s="559">
        <v>229</v>
      </c>
      <c r="B229" s="375" t="s">
        <v>504</v>
      </c>
      <c r="C229" s="552" t="s">
        <v>520</v>
      </c>
      <c r="D229" s="757">
        <f>VLOOKUP(B229,Locatieoverzicht!$A$14:$E$21,5,FALSE)</f>
        <v>1</v>
      </c>
      <c r="E229" s="373">
        <v>0</v>
      </c>
      <c r="F229" s="549" t="s">
        <v>327</v>
      </c>
      <c r="G229" s="550" t="s">
        <v>398</v>
      </c>
      <c r="H229" s="374" t="str">
        <f t="shared" ref="H229:H270" si="44">IF($K229="",0,VLOOKUP($K229,Kengetal,3,FALSE))</f>
        <v>Gangen en hallen</v>
      </c>
      <c r="I229" s="375" t="s">
        <v>612</v>
      </c>
      <c r="J229" s="561">
        <v>53.7</v>
      </c>
      <c r="K229" s="612">
        <v>3200</v>
      </c>
      <c r="L229" s="376">
        <f t="shared" ref="L229:L270" si="45">SUM(IF(K229="",0,VLOOKUP(K229,Kengetal,2)))</f>
        <v>200</v>
      </c>
      <c r="M229" s="377">
        <f t="shared" si="42"/>
        <v>0</v>
      </c>
      <c r="N229" s="377">
        <f t="shared" si="43"/>
        <v>0</v>
      </c>
      <c r="O229" s="377">
        <f t="shared" ref="O229:O270" si="46">IF($K229="",0,VLOOKUP($K229,Kengetal,5,FALSE))</f>
        <v>0</v>
      </c>
      <c r="P229" s="377">
        <f t="shared" ref="P229:P270" si="47">IF($K229="",0,VLOOKUP($K229,Kengetal,6,FALSE))</f>
        <v>0</v>
      </c>
      <c r="Q229" s="755">
        <v>1</v>
      </c>
      <c r="R229" s="378" t="str">
        <f t="shared" ref="R229:R268" si="48">IF(K229="","",VLOOKUP(K229,Kengetal,11,FALSE))</f>
        <v>V</v>
      </c>
      <c r="S229" s="379"/>
      <c r="T229" s="379"/>
      <c r="U229" s="756">
        <f t="shared" ref="U229:U268" si="49">J229*L229</f>
        <v>10740</v>
      </c>
    </row>
    <row r="230" spans="1:21" ht="14.1" customHeight="1">
      <c r="A230" s="559">
        <v>230</v>
      </c>
      <c r="B230" s="375" t="s">
        <v>504</v>
      </c>
      <c r="C230" s="552" t="s">
        <v>520</v>
      </c>
      <c r="D230" s="757">
        <f>VLOOKUP(B230,Locatieoverzicht!$A$14:$E$21,5,FALSE)</f>
        <v>1</v>
      </c>
      <c r="E230" s="373">
        <v>0</v>
      </c>
      <c r="F230" s="549" t="s">
        <v>328</v>
      </c>
      <c r="G230" s="550" t="s">
        <v>513</v>
      </c>
      <c r="H230" s="374" t="str">
        <f t="shared" si="44"/>
        <v>Niet van toepassing</v>
      </c>
      <c r="I230" s="375" t="s">
        <v>612</v>
      </c>
      <c r="J230" s="561">
        <v>9.75</v>
      </c>
      <c r="K230" s="612" t="s">
        <v>239</v>
      </c>
      <c r="L230" s="376">
        <f t="shared" si="45"/>
        <v>0</v>
      </c>
      <c r="M230" s="377">
        <f t="shared" si="42"/>
        <v>0</v>
      </c>
      <c r="N230" s="377">
        <f t="shared" si="43"/>
        <v>0</v>
      </c>
      <c r="O230" s="377">
        <f t="shared" si="46"/>
        <v>0</v>
      </c>
      <c r="P230" s="377">
        <f t="shared" si="47"/>
        <v>0</v>
      </c>
      <c r="Q230" s="755">
        <v>1</v>
      </c>
      <c r="R230" s="378">
        <f t="shared" si="48"/>
        <v>0</v>
      </c>
      <c r="S230" s="379"/>
      <c r="T230" s="379"/>
      <c r="U230" s="756">
        <f t="shared" si="49"/>
        <v>0</v>
      </c>
    </row>
    <row r="231" spans="1:21" ht="14.1" customHeight="1">
      <c r="A231" s="559">
        <v>231</v>
      </c>
      <c r="B231" s="375" t="s">
        <v>504</v>
      </c>
      <c r="C231" s="552" t="s">
        <v>520</v>
      </c>
      <c r="D231" s="757">
        <f>VLOOKUP(B231,Locatieoverzicht!$A$14:$E$21,5,FALSE)</f>
        <v>1</v>
      </c>
      <c r="E231" s="373">
        <v>0</v>
      </c>
      <c r="F231" s="549" t="s">
        <v>329</v>
      </c>
      <c r="G231" s="550" t="s">
        <v>406</v>
      </c>
      <c r="H231" s="374" t="str">
        <f t="shared" si="44"/>
        <v>Niet van toepassing</v>
      </c>
      <c r="I231" s="375" t="s">
        <v>614</v>
      </c>
      <c r="J231" s="561">
        <v>22.4</v>
      </c>
      <c r="K231" s="612" t="s">
        <v>239</v>
      </c>
      <c r="L231" s="376">
        <f t="shared" si="45"/>
        <v>0</v>
      </c>
      <c r="M231" s="377">
        <f t="shared" si="42"/>
        <v>0</v>
      </c>
      <c r="N231" s="377">
        <f t="shared" si="43"/>
        <v>0</v>
      </c>
      <c r="O231" s="377">
        <f t="shared" si="46"/>
        <v>0</v>
      </c>
      <c r="P231" s="377">
        <f t="shared" si="47"/>
        <v>0</v>
      </c>
      <c r="Q231" s="755">
        <v>1</v>
      </c>
      <c r="R231" s="378">
        <f t="shared" si="48"/>
        <v>0</v>
      </c>
      <c r="S231" s="379"/>
      <c r="T231" s="379"/>
      <c r="U231" s="756">
        <f t="shared" si="49"/>
        <v>0</v>
      </c>
    </row>
    <row r="232" spans="1:21" ht="14.1" customHeight="1">
      <c r="A232" s="559">
        <v>232</v>
      </c>
      <c r="B232" s="375" t="s">
        <v>504</v>
      </c>
      <c r="C232" s="552" t="s">
        <v>520</v>
      </c>
      <c r="D232" s="757">
        <f>VLOOKUP(B232,Locatieoverzicht!$A$14:$E$21,5,FALSE)</f>
        <v>1</v>
      </c>
      <c r="E232" s="373">
        <v>0</v>
      </c>
      <c r="F232" s="549" t="s">
        <v>330</v>
      </c>
      <c r="G232" s="550" t="s">
        <v>401</v>
      </c>
      <c r="H232" s="374" t="str">
        <f t="shared" si="44"/>
        <v>Leslokaal regulier</v>
      </c>
      <c r="I232" s="375" t="s">
        <v>612</v>
      </c>
      <c r="J232" s="561">
        <v>63.2</v>
      </c>
      <c r="K232" s="612">
        <v>8040</v>
      </c>
      <c r="L232" s="376">
        <f t="shared" si="45"/>
        <v>40</v>
      </c>
      <c r="M232" s="377">
        <f t="shared" si="42"/>
        <v>0</v>
      </c>
      <c r="N232" s="377">
        <f t="shared" si="43"/>
        <v>0</v>
      </c>
      <c r="O232" s="377">
        <f t="shared" si="46"/>
        <v>0</v>
      </c>
      <c r="P232" s="377">
        <f t="shared" si="47"/>
        <v>0</v>
      </c>
      <c r="Q232" s="755">
        <v>1</v>
      </c>
      <c r="R232" s="378" t="str">
        <f t="shared" si="48"/>
        <v>L</v>
      </c>
      <c r="S232" s="379"/>
      <c r="T232" s="379"/>
      <c r="U232" s="756">
        <f t="shared" si="49"/>
        <v>2528</v>
      </c>
    </row>
    <row r="233" spans="1:21" ht="14.1" customHeight="1">
      <c r="A233" s="559">
        <v>233</v>
      </c>
      <c r="B233" s="375" t="s">
        <v>504</v>
      </c>
      <c r="C233" s="552" t="s">
        <v>520</v>
      </c>
      <c r="D233" s="757">
        <f>VLOOKUP(B233,Locatieoverzicht!$A$14:$E$21,5,FALSE)</f>
        <v>1</v>
      </c>
      <c r="E233" s="373">
        <v>0</v>
      </c>
      <c r="F233" s="549" t="s">
        <v>331</v>
      </c>
      <c r="G233" s="550" t="s">
        <v>407</v>
      </c>
      <c r="H233" s="374" t="str">
        <f t="shared" si="44"/>
        <v>Aula/kantine</v>
      </c>
      <c r="I233" s="375" t="s">
        <v>612</v>
      </c>
      <c r="J233" s="561">
        <v>253.6</v>
      </c>
      <c r="K233" s="612">
        <v>7200</v>
      </c>
      <c r="L233" s="376">
        <f t="shared" si="45"/>
        <v>200</v>
      </c>
      <c r="M233" s="377">
        <f t="shared" si="42"/>
        <v>0</v>
      </c>
      <c r="N233" s="377">
        <f t="shared" si="43"/>
        <v>0</v>
      </c>
      <c r="O233" s="377">
        <f t="shared" si="46"/>
        <v>0</v>
      </c>
      <c r="P233" s="377">
        <f t="shared" si="47"/>
        <v>0</v>
      </c>
      <c r="Q233" s="755">
        <v>1</v>
      </c>
      <c r="R233" s="378" t="str">
        <f t="shared" si="48"/>
        <v>V</v>
      </c>
      <c r="S233" s="379"/>
      <c r="T233" s="379"/>
      <c r="U233" s="756">
        <f t="shared" si="49"/>
        <v>50720</v>
      </c>
    </row>
    <row r="234" spans="1:21" ht="14.1" customHeight="1">
      <c r="A234" s="559">
        <v>234</v>
      </c>
      <c r="B234" s="375" t="s">
        <v>504</v>
      </c>
      <c r="C234" s="552" t="s">
        <v>520</v>
      </c>
      <c r="D234" s="757">
        <f>VLOOKUP(B234,Locatieoverzicht!$A$14:$E$21,5,FALSE)</f>
        <v>1</v>
      </c>
      <c r="E234" s="373">
        <v>0</v>
      </c>
      <c r="F234" s="549" t="s">
        <v>332</v>
      </c>
      <c r="G234" s="550" t="s">
        <v>513</v>
      </c>
      <c r="H234" s="374" t="str">
        <f t="shared" si="44"/>
        <v>Niet van toepassing</v>
      </c>
      <c r="I234" s="375" t="s">
        <v>612</v>
      </c>
      <c r="J234" s="561">
        <v>4.24</v>
      </c>
      <c r="K234" s="612" t="s">
        <v>239</v>
      </c>
      <c r="L234" s="376">
        <f t="shared" si="45"/>
        <v>0</v>
      </c>
      <c r="M234" s="377">
        <f t="shared" si="42"/>
        <v>0</v>
      </c>
      <c r="N234" s="377">
        <f t="shared" si="43"/>
        <v>0</v>
      </c>
      <c r="O234" s="377">
        <f t="shared" si="46"/>
        <v>0</v>
      </c>
      <c r="P234" s="377">
        <f t="shared" si="47"/>
        <v>0</v>
      </c>
      <c r="Q234" s="755">
        <v>1</v>
      </c>
      <c r="R234" s="378">
        <f t="shared" si="48"/>
        <v>0</v>
      </c>
      <c r="S234" s="379"/>
      <c r="T234" s="379"/>
      <c r="U234" s="756">
        <f t="shared" si="49"/>
        <v>0</v>
      </c>
    </row>
    <row r="235" spans="1:21" ht="14.1" customHeight="1">
      <c r="A235" s="559">
        <v>235</v>
      </c>
      <c r="B235" s="375" t="s">
        <v>504</v>
      </c>
      <c r="C235" s="552" t="s">
        <v>520</v>
      </c>
      <c r="D235" s="757">
        <f>VLOOKUP(B235,Locatieoverzicht!$A$14:$E$21,5,FALSE)</f>
        <v>1</v>
      </c>
      <c r="E235" s="373">
        <v>0</v>
      </c>
      <c r="F235" s="549" t="s">
        <v>333</v>
      </c>
      <c r="G235" s="550" t="s">
        <v>513</v>
      </c>
      <c r="H235" s="374" t="str">
        <f t="shared" si="44"/>
        <v>Niet van toepassing</v>
      </c>
      <c r="I235" s="375" t="s">
        <v>612</v>
      </c>
      <c r="J235" s="561">
        <v>3.28</v>
      </c>
      <c r="K235" s="612" t="s">
        <v>239</v>
      </c>
      <c r="L235" s="376">
        <f t="shared" si="45"/>
        <v>0</v>
      </c>
      <c r="M235" s="377">
        <f t="shared" si="42"/>
        <v>0</v>
      </c>
      <c r="N235" s="377">
        <f t="shared" si="43"/>
        <v>0</v>
      </c>
      <c r="O235" s="377">
        <f t="shared" si="46"/>
        <v>0</v>
      </c>
      <c r="P235" s="377">
        <f t="shared" si="47"/>
        <v>0</v>
      </c>
      <c r="Q235" s="755">
        <v>1</v>
      </c>
      <c r="R235" s="378">
        <f t="shared" si="48"/>
        <v>0</v>
      </c>
      <c r="S235" s="379"/>
      <c r="T235" s="379"/>
      <c r="U235" s="756">
        <f t="shared" si="49"/>
        <v>0</v>
      </c>
    </row>
    <row r="236" spans="1:21" ht="14.1" customHeight="1">
      <c r="A236" s="559">
        <v>236</v>
      </c>
      <c r="B236" s="375" t="s">
        <v>504</v>
      </c>
      <c r="C236" s="552" t="s">
        <v>520</v>
      </c>
      <c r="D236" s="757">
        <f>VLOOKUP(B236,Locatieoverzicht!$A$14:$E$21,5,FALSE)</f>
        <v>1</v>
      </c>
      <c r="E236" s="373">
        <v>0</v>
      </c>
      <c r="F236" s="549" t="s">
        <v>334</v>
      </c>
      <c r="G236" s="550" t="s">
        <v>495</v>
      </c>
      <c r="H236" s="374" t="str">
        <f t="shared" si="44"/>
        <v>Liften</v>
      </c>
      <c r="I236" s="375"/>
      <c r="J236" s="561">
        <v>2</v>
      </c>
      <c r="K236" s="612">
        <v>4200</v>
      </c>
      <c r="L236" s="376">
        <f t="shared" si="45"/>
        <v>200</v>
      </c>
      <c r="M236" s="377">
        <f t="shared" si="42"/>
        <v>0</v>
      </c>
      <c r="N236" s="377">
        <f t="shared" si="43"/>
        <v>0</v>
      </c>
      <c r="O236" s="377">
        <f t="shared" si="46"/>
        <v>0</v>
      </c>
      <c r="P236" s="377">
        <f t="shared" si="47"/>
        <v>0</v>
      </c>
      <c r="Q236" s="755">
        <v>1</v>
      </c>
      <c r="R236" s="378" t="str">
        <f t="shared" si="48"/>
        <v>V</v>
      </c>
      <c r="S236" s="379"/>
      <c r="T236" s="379"/>
      <c r="U236" s="756">
        <f t="shared" si="49"/>
        <v>400</v>
      </c>
    </row>
    <row r="237" spans="1:21" ht="14.1" customHeight="1">
      <c r="A237" s="559">
        <v>237</v>
      </c>
      <c r="B237" s="375" t="s">
        <v>504</v>
      </c>
      <c r="C237" s="552" t="s">
        <v>520</v>
      </c>
      <c r="D237" s="757">
        <f>VLOOKUP(B237,Locatieoverzicht!$A$14:$E$21,5,FALSE)</f>
        <v>1</v>
      </c>
      <c r="E237" s="373">
        <v>0</v>
      </c>
      <c r="F237" s="549" t="s">
        <v>335</v>
      </c>
      <c r="G237" s="550" t="s">
        <v>400</v>
      </c>
      <c r="H237" s="374" t="str">
        <f t="shared" si="44"/>
        <v>Sanitaire ruimten</v>
      </c>
      <c r="I237" s="375" t="s">
        <v>612</v>
      </c>
      <c r="J237" s="561">
        <v>7.35</v>
      </c>
      <c r="K237" s="612">
        <v>2200</v>
      </c>
      <c r="L237" s="376">
        <f t="shared" si="45"/>
        <v>200</v>
      </c>
      <c r="M237" s="377">
        <f t="shared" si="42"/>
        <v>0</v>
      </c>
      <c r="N237" s="377">
        <f t="shared" si="43"/>
        <v>0</v>
      </c>
      <c r="O237" s="377">
        <f t="shared" si="46"/>
        <v>0</v>
      </c>
      <c r="P237" s="377">
        <f t="shared" si="47"/>
        <v>0</v>
      </c>
      <c r="Q237" s="755">
        <v>1</v>
      </c>
      <c r="R237" s="378" t="str">
        <f t="shared" si="48"/>
        <v>S</v>
      </c>
      <c r="S237" s="379"/>
      <c r="T237" s="379"/>
      <c r="U237" s="756">
        <f t="shared" si="49"/>
        <v>1470</v>
      </c>
    </row>
    <row r="238" spans="1:21" ht="14.1" customHeight="1">
      <c r="A238" s="559">
        <v>238</v>
      </c>
      <c r="B238" s="375" t="s">
        <v>504</v>
      </c>
      <c r="C238" s="552" t="s">
        <v>520</v>
      </c>
      <c r="D238" s="757">
        <f>VLOOKUP(B238,Locatieoverzicht!$A$14:$E$21,5,FALSE)</f>
        <v>1</v>
      </c>
      <c r="E238" s="373">
        <v>0</v>
      </c>
      <c r="F238" s="549" t="s">
        <v>336</v>
      </c>
      <c r="G238" s="550" t="s">
        <v>400</v>
      </c>
      <c r="H238" s="374" t="str">
        <f t="shared" si="44"/>
        <v>Sanitaire ruimten</v>
      </c>
      <c r="I238" s="375" t="s">
        <v>612</v>
      </c>
      <c r="J238" s="561">
        <v>7.35</v>
      </c>
      <c r="K238" s="612">
        <v>2200</v>
      </c>
      <c r="L238" s="376">
        <f t="shared" si="45"/>
        <v>200</v>
      </c>
      <c r="M238" s="377">
        <f t="shared" si="42"/>
        <v>0</v>
      </c>
      <c r="N238" s="377">
        <f t="shared" si="43"/>
        <v>0</v>
      </c>
      <c r="O238" s="377">
        <f t="shared" si="46"/>
        <v>0</v>
      </c>
      <c r="P238" s="377">
        <f t="shared" si="47"/>
        <v>0</v>
      </c>
      <c r="Q238" s="755">
        <v>1</v>
      </c>
      <c r="R238" s="378" t="str">
        <f t="shared" si="48"/>
        <v>S</v>
      </c>
      <c r="S238" s="379"/>
      <c r="T238" s="379"/>
      <c r="U238" s="756">
        <f t="shared" si="49"/>
        <v>1470</v>
      </c>
    </row>
    <row r="239" spans="1:21" ht="14.1" customHeight="1">
      <c r="A239" s="559">
        <v>239</v>
      </c>
      <c r="B239" s="375" t="s">
        <v>504</v>
      </c>
      <c r="C239" s="552" t="s">
        <v>520</v>
      </c>
      <c r="D239" s="757">
        <f>VLOOKUP(B239,Locatieoverzicht!$A$14:$E$21,5,FALSE)</f>
        <v>1</v>
      </c>
      <c r="E239" s="373">
        <v>0</v>
      </c>
      <c r="F239" s="549" t="s">
        <v>337</v>
      </c>
      <c r="G239" s="550" t="s">
        <v>398</v>
      </c>
      <c r="H239" s="374" t="str">
        <f t="shared" si="44"/>
        <v>Gangen en hallen</v>
      </c>
      <c r="I239" s="375" t="s">
        <v>612</v>
      </c>
      <c r="J239" s="561">
        <v>49</v>
      </c>
      <c r="K239" s="612">
        <v>3200</v>
      </c>
      <c r="L239" s="376">
        <f t="shared" si="45"/>
        <v>200</v>
      </c>
      <c r="M239" s="377">
        <f t="shared" si="42"/>
        <v>0</v>
      </c>
      <c r="N239" s="377">
        <f t="shared" si="43"/>
        <v>0</v>
      </c>
      <c r="O239" s="377">
        <f t="shared" si="46"/>
        <v>0</v>
      </c>
      <c r="P239" s="377">
        <f t="shared" si="47"/>
        <v>0</v>
      </c>
      <c r="Q239" s="755">
        <v>1</v>
      </c>
      <c r="R239" s="378" t="str">
        <f t="shared" si="48"/>
        <v>V</v>
      </c>
      <c r="S239" s="379"/>
      <c r="T239" s="379"/>
      <c r="U239" s="756">
        <f t="shared" si="49"/>
        <v>9800</v>
      </c>
    </row>
    <row r="240" spans="1:21" ht="14.1" customHeight="1">
      <c r="A240" s="559">
        <v>240</v>
      </c>
      <c r="B240" s="375" t="s">
        <v>504</v>
      </c>
      <c r="C240" s="552" t="s">
        <v>520</v>
      </c>
      <c r="D240" s="757">
        <f>VLOOKUP(B240,Locatieoverzicht!$A$14:$E$21,5,FALSE)</f>
        <v>1</v>
      </c>
      <c r="E240" s="373"/>
      <c r="F240" s="549" t="s">
        <v>556</v>
      </c>
      <c r="G240" s="550" t="s">
        <v>550</v>
      </c>
      <c r="H240" s="374" t="str">
        <f t="shared" si="44"/>
        <v>Trappenhuizen</v>
      </c>
      <c r="I240" s="375" t="s">
        <v>612</v>
      </c>
      <c r="J240" s="561">
        <v>12.26</v>
      </c>
      <c r="K240" s="612">
        <v>5200</v>
      </c>
      <c r="L240" s="376">
        <f t="shared" si="45"/>
        <v>200</v>
      </c>
      <c r="M240" s="377">
        <f t="shared" si="42"/>
        <v>0</v>
      </c>
      <c r="N240" s="377">
        <f t="shared" si="43"/>
        <v>0</v>
      </c>
      <c r="O240" s="377">
        <f t="shared" si="46"/>
        <v>0</v>
      </c>
      <c r="P240" s="377">
        <f t="shared" si="47"/>
        <v>0</v>
      </c>
      <c r="Q240" s="755">
        <v>1</v>
      </c>
      <c r="R240" s="378" t="str">
        <f t="shared" si="48"/>
        <v>V</v>
      </c>
      <c r="S240" s="379"/>
      <c r="T240" s="379"/>
      <c r="U240" s="756">
        <f t="shared" si="49"/>
        <v>2452</v>
      </c>
    </row>
    <row r="241" spans="1:21" ht="14.1" customHeight="1">
      <c r="A241" s="559">
        <v>241</v>
      </c>
      <c r="B241" s="375" t="s">
        <v>504</v>
      </c>
      <c r="C241" s="552" t="s">
        <v>520</v>
      </c>
      <c r="D241" s="757">
        <f>VLOOKUP(B241,Locatieoverzicht!$A$14:$E$21,5,FALSE)</f>
        <v>1</v>
      </c>
      <c r="E241" s="373">
        <v>0</v>
      </c>
      <c r="F241" s="549" t="s">
        <v>338</v>
      </c>
      <c r="G241" s="550" t="s">
        <v>513</v>
      </c>
      <c r="H241" s="374" t="str">
        <f t="shared" si="44"/>
        <v>Niet van toepassing</v>
      </c>
      <c r="I241" s="375" t="s">
        <v>612</v>
      </c>
      <c r="J241" s="561">
        <v>9.44</v>
      </c>
      <c r="K241" s="612" t="s">
        <v>239</v>
      </c>
      <c r="L241" s="376">
        <f t="shared" si="45"/>
        <v>0</v>
      </c>
      <c r="M241" s="377">
        <f t="shared" si="42"/>
        <v>0</v>
      </c>
      <c r="N241" s="377">
        <f t="shared" si="43"/>
        <v>0</v>
      </c>
      <c r="O241" s="377">
        <f t="shared" si="46"/>
        <v>0</v>
      </c>
      <c r="P241" s="377">
        <f t="shared" si="47"/>
        <v>0</v>
      </c>
      <c r="Q241" s="755">
        <v>1</v>
      </c>
      <c r="R241" s="378">
        <f t="shared" si="48"/>
        <v>0</v>
      </c>
      <c r="S241" s="379"/>
      <c r="T241" s="379"/>
      <c r="U241" s="756">
        <f t="shared" si="49"/>
        <v>0</v>
      </c>
    </row>
    <row r="242" spans="1:21" ht="14.1" customHeight="1">
      <c r="A242" s="559">
        <v>242</v>
      </c>
      <c r="B242" s="375" t="s">
        <v>504</v>
      </c>
      <c r="C242" s="552" t="s">
        <v>520</v>
      </c>
      <c r="D242" s="757">
        <f>VLOOKUP(B242,Locatieoverzicht!$A$14:$E$21,5,FALSE)</f>
        <v>1</v>
      </c>
      <c r="E242" s="373">
        <v>0</v>
      </c>
      <c r="F242" s="549" t="s">
        <v>339</v>
      </c>
      <c r="G242" s="550" t="s">
        <v>402</v>
      </c>
      <c r="H242" s="374" t="str">
        <f t="shared" si="44"/>
        <v>Administratieve ruimten</v>
      </c>
      <c r="I242" s="375" t="s">
        <v>612</v>
      </c>
      <c r="J242" s="561">
        <v>11.8</v>
      </c>
      <c r="K242" s="612">
        <v>1040</v>
      </c>
      <c r="L242" s="376">
        <f t="shared" si="45"/>
        <v>40</v>
      </c>
      <c r="M242" s="377">
        <f t="shared" si="42"/>
        <v>0</v>
      </c>
      <c r="N242" s="377">
        <f t="shared" si="43"/>
        <v>0</v>
      </c>
      <c r="O242" s="377">
        <f t="shared" si="46"/>
        <v>0</v>
      </c>
      <c r="P242" s="377">
        <f t="shared" si="47"/>
        <v>0</v>
      </c>
      <c r="Q242" s="755">
        <v>1</v>
      </c>
      <c r="R242" s="378" t="str">
        <f t="shared" si="48"/>
        <v>B</v>
      </c>
      <c r="S242" s="379"/>
      <c r="T242" s="379"/>
      <c r="U242" s="756">
        <f t="shared" si="49"/>
        <v>472</v>
      </c>
    </row>
    <row r="243" spans="1:21" ht="14.1" customHeight="1">
      <c r="A243" s="559">
        <v>243</v>
      </c>
      <c r="B243" s="375" t="s">
        <v>504</v>
      </c>
      <c r="C243" s="552" t="s">
        <v>520</v>
      </c>
      <c r="D243" s="757">
        <f>VLOOKUP(B243,Locatieoverzicht!$A$14:$E$21,5,FALSE)</f>
        <v>1</v>
      </c>
      <c r="E243" s="373">
        <v>0</v>
      </c>
      <c r="F243" s="549" t="s">
        <v>340</v>
      </c>
      <c r="G243" s="550" t="s">
        <v>400</v>
      </c>
      <c r="H243" s="374" t="str">
        <f t="shared" si="44"/>
        <v>Sanitaire ruimten</v>
      </c>
      <c r="I243" s="375" t="s">
        <v>612</v>
      </c>
      <c r="J243" s="561">
        <v>7.2</v>
      </c>
      <c r="K243" s="612">
        <v>2200</v>
      </c>
      <c r="L243" s="376">
        <f t="shared" si="45"/>
        <v>200</v>
      </c>
      <c r="M243" s="377">
        <f t="shared" si="42"/>
        <v>0</v>
      </c>
      <c r="N243" s="377">
        <f t="shared" si="43"/>
        <v>0</v>
      </c>
      <c r="O243" s="377">
        <f t="shared" si="46"/>
        <v>0</v>
      </c>
      <c r="P243" s="377">
        <f t="shared" si="47"/>
        <v>0</v>
      </c>
      <c r="Q243" s="755">
        <v>1</v>
      </c>
      <c r="R243" s="378" t="str">
        <f t="shared" si="48"/>
        <v>S</v>
      </c>
      <c r="S243" s="379"/>
      <c r="T243" s="379"/>
      <c r="U243" s="756">
        <f t="shared" si="49"/>
        <v>1440</v>
      </c>
    </row>
    <row r="244" spans="1:21" ht="14.1" customHeight="1">
      <c r="A244" s="559">
        <v>244</v>
      </c>
      <c r="B244" s="375" t="s">
        <v>504</v>
      </c>
      <c r="C244" s="552" t="s">
        <v>520</v>
      </c>
      <c r="D244" s="757">
        <f>VLOOKUP(B244,Locatieoverzicht!$A$14:$E$21,5,FALSE)</f>
        <v>1</v>
      </c>
      <c r="E244" s="373">
        <v>0</v>
      </c>
      <c r="F244" s="549" t="s">
        <v>341</v>
      </c>
      <c r="G244" s="550" t="s">
        <v>513</v>
      </c>
      <c r="H244" s="374" t="str">
        <f t="shared" si="44"/>
        <v>Niet van toepassing</v>
      </c>
      <c r="I244" s="375" t="s">
        <v>612</v>
      </c>
      <c r="J244" s="561">
        <v>6.8</v>
      </c>
      <c r="K244" s="612" t="s">
        <v>239</v>
      </c>
      <c r="L244" s="376">
        <f t="shared" si="45"/>
        <v>0</v>
      </c>
      <c r="M244" s="377">
        <f t="shared" si="42"/>
        <v>0</v>
      </c>
      <c r="N244" s="377">
        <f t="shared" si="43"/>
        <v>0</v>
      </c>
      <c r="O244" s="377">
        <f t="shared" si="46"/>
        <v>0</v>
      </c>
      <c r="P244" s="377">
        <f t="shared" si="47"/>
        <v>0</v>
      </c>
      <c r="Q244" s="755">
        <v>1</v>
      </c>
      <c r="R244" s="378">
        <f t="shared" si="48"/>
        <v>0</v>
      </c>
      <c r="S244" s="379"/>
      <c r="T244" s="379"/>
      <c r="U244" s="756">
        <f t="shared" si="49"/>
        <v>0</v>
      </c>
    </row>
    <row r="245" spans="1:21" ht="14.1" customHeight="1">
      <c r="A245" s="559">
        <v>245</v>
      </c>
      <c r="B245" s="375" t="s">
        <v>504</v>
      </c>
      <c r="C245" s="552" t="s">
        <v>520</v>
      </c>
      <c r="D245" s="757">
        <f>VLOOKUP(B245,Locatieoverzicht!$A$14:$E$21,5,FALSE)</f>
        <v>1</v>
      </c>
      <c r="E245" s="373">
        <v>0</v>
      </c>
      <c r="F245" s="549" t="s">
        <v>342</v>
      </c>
      <c r="G245" s="550" t="s">
        <v>401</v>
      </c>
      <c r="H245" s="374" t="str">
        <f t="shared" si="44"/>
        <v>Leslokaal regulier</v>
      </c>
      <c r="I245" s="375" t="s">
        <v>612</v>
      </c>
      <c r="J245" s="561">
        <v>61.1</v>
      </c>
      <c r="K245" s="612">
        <v>8040</v>
      </c>
      <c r="L245" s="376">
        <f t="shared" si="45"/>
        <v>40</v>
      </c>
      <c r="M245" s="377">
        <f t="shared" si="42"/>
        <v>0</v>
      </c>
      <c r="N245" s="377">
        <f t="shared" si="43"/>
        <v>0</v>
      </c>
      <c r="O245" s="377">
        <f t="shared" si="46"/>
        <v>0</v>
      </c>
      <c r="P245" s="377">
        <f t="shared" si="47"/>
        <v>0</v>
      </c>
      <c r="Q245" s="755">
        <v>1</v>
      </c>
      <c r="R245" s="378" t="str">
        <f t="shared" si="48"/>
        <v>L</v>
      </c>
      <c r="S245" s="379"/>
      <c r="T245" s="379"/>
      <c r="U245" s="756">
        <f t="shared" si="49"/>
        <v>2444</v>
      </c>
    </row>
    <row r="246" spans="1:21" ht="14.1" customHeight="1">
      <c r="A246" s="559">
        <v>246</v>
      </c>
      <c r="B246" s="375" t="s">
        <v>504</v>
      </c>
      <c r="C246" s="552" t="s">
        <v>520</v>
      </c>
      <c r="D246" s="757">
        <f>VLOOKUP(B246,Locatieoverzicht!$A$14:$E$21,5,FALSE)</f>
        <v>1</v>
      </c>
      <c r="E246" s="373">
        <v>0</v>
      </c>
      <c r="F246" s="549" t="s">
        <v>343</v>
      </c>
      <c r="G246" s="550" t="s">
        <v>401</v>
      </c>
      <c r="H246" s="374" t="str">
        <f t="shared" si="44"/>
        <v>Leslokaal regulier</v>
      </c>
      <c r="I246" s="375" t="s">
        <v>612</v>
      </c>
      <c r="J246" s="561">
        <v>82.7</v>
      </c>
      <c r="K246" s="612">
        <v>8040</v>
      </c>
      <c r="L246" s="376">
        <f t="shared" si="45"/>
        <v>40</v>
      </c>
      <c r="M246" s="377">
        <f t="shared" si="42"/>
        <v>0</v>
      </c>
      <c r="N246" s="377">
        <f t="shared" si="43"/>
        <v>0</v>
      </c>
      <c r="O246" s="377">
        <f t="shared" si="46"/>
        <v>0</v>
      </c>
      <c r="P246" s="377">
        <f t="shared" si="47"/>
        <v>0</v>
      </c>
      <c r="Q246" s="755">
        <v>1</v>
      </c>
      <c r="R246" s="378" t="str">
        <f t="shared" si="48"/>
        <v>L</v>
      </c>
      <c r="S246" s="379"/>
      <c r="T246" s="379"/>
      <c r="U246" s="756">
        <f t="shared" si="49"/>
        <v>3308</v>
      </c>
    </row>
    <row r="247" spans="1:21" ht="14.1" customHeight="1">
      <c r="A247" s="559">
        <v>247</v>
      </c>
      <c r="B247" s="375" t="s">
        <v>504</v>
      </c>
      <c r="C247" s="552" t="s">
        <v>520</v>
      </c>
      <c r="D247" s="757">
        <f>VLOOKUP(B247,Locatieoverzicht!$A$14:$E$21,5,FALSE)</f>
        <v>1</v>
      </c>
      <c r="E247" s="373">
        <v>0</v>
      </c>
      <c r="F247" s="549" t="s">
        <v>344</v>
      </c>
      <c r="G247" s="550" t="s">
        <v>401</v>
      </c>
      <c r="H247" s="374" t="str">
        <f t="shared" si="44"/>
        <v>Leslokaal regulier</v>
      </c>
      <c r="I247" s="375" t="s">
        <v>612</v>
      </c>
      <c r="J247" s="561">
        <v>57.9</v>
      </c>
      <c r="K247" s="612">
        <v>8040</v>
      </c>
      <c r="L247" s="376">
        <f t="shared" si="45"/>
        <v>40</v>
      </c>
      <c r="M247" s="377">
        <f t="shared" si="42"/>
        <v>0</v>
      </c>
      <c r="N247" s="377">
        <f t="shared" si="43"/>
        <v>0</v>
      </c>
      <c r="O247" s="377">
        <f t="shared" si="46"/>
        <v>0</v>
      </c>
      <c r="P247" s="377">
        <f t="shared" si="47"/>
        <v>0</v>
      </c>
      <c r="Q247" s="755">
        <v>1</v>
      </c>
      <c r="R247" s="378" t="str">
        <f t="shared" si="48"/>
        <v>L</v>
      </c>
      <c r="S247" s="379"/>
      <c r="T247" s="379"/>
      <c r="U247" s="756">
        <f t="shared" si="49"/>
        <v>2316</v>
      </c>
    </row>
    <row r="248" spans="1:21" ht="14.1" customHeight="1">
      <c r="A248" s="559">
        <v>248</v>
      </c>
      <c r="B248" s="375" t="s">
        <v>504</v>
      </c>
      <c r="C248" s="552" t="s">
        <v>520</v>
      </c>
      <c r="D248" s="757">
        <f>VLOOKUP(B248,Locatieoverzicht!$A$14:$E$21,5,FALSE)</f>
        <v>1</v>
      </c>
      <c r="E248" s="373">
        <v>0</v>
      </c>
      <c r="F248" s="549" t="s">
        <v>345</v>
      </c>
      <c r="G248" s="550" t="s">
        <v>401</v>
      </c>
      <c r="H248" s="374" t="str">
        <f t="shared" si="44"/>
        <v>Leslokaal regulier</v>
      </c>
      <c r="I248" s="375" t="s">
        <v>612</v>
      </c>
      <c r="J248" s="561">
        <v>57.9</v>
      </c>
      <c r="K248" s="612">
        <v>8040</v>
      </c>
      <c r="L248" s="376">
        <f t="shared" si="45"/>
        <v>40</v>
      </c>
      <c r="M248" s="377">
        <f t="shared" si="42"/>
        <v>0</v>
      </c>
      <c r="N248" s="377">
        <f t="shared" si="43"/>
        <v>0</v>
      </c>
      <c r="O248" s="377">
        <f t="shared" si="46"/>
        <v>0</v>
      </c>
      <c r="P248" s="377">
        <f t="shared" si="47"/>
        <v>0</v>
      </c>
      <c r="Q248" s="755">
        <v>1</v>
      </c>
      <c r="R248" s="378" t="str">
        <f t="shared" si="48"/>
        <v>L</v>
      </c>
      <c r="S248" s="379"/>
      <c r="T248" s="379"/>
      <c r="U248" s="756">
        <f t="shared" si="49"/>
        <v>2316</v>
      </c>
    </row>
    <row r="249" spans="1:21" ht="14.1" customHeight="1">
      <c r="A249" s="559">
        <v>249</v>
      </c>
      <c r="B249" s="375" t="s">
        <v>504</v>
      </c>
      <c r="C249" s="552" t="s">
        <v>520</v>
      </c>
      <c r="D249" s="757">
        <f>VLOOKUP(B249,Locatieoverzicht!$A$14:$E$21,5,FALSE)</f>
        <v>1</v>
      </c>
      <c r="E249" s="373">
        <v>0</v>
      </c>
      <c r="F249" s="549" t="s">
        <v>346</v>
      </c>
      <c r="G249" s="550" t="s">
        <v>401</v>
      </c>
      <c r="H249" s="374" t="str">
        <f t="shared" si="44"/>
        <v>Leslokaal regulier</v>
      </c>
      <c r="I249" s="375" t="s">
        <v>612</v>
      </c>
      <c r="J249" s="561">
        <v>67.7</v>
      </c>
      <c r="K249" s="612">
        <v>8040</v>
      </c>
      <c r="L249" s="376">
        <f t="shared" si="45"/>
        <v>40</v>
      </c>
      <c r="M249" s="377">
        <f t="shared" si="42"/>
        <v>0</v>
      </c>
      <c r="N249" s="377">
        <f t="shared" si="43"/>
        <v>0</v>
      </c>
      <c r="O249" s="377">
        <f t="shared" si="46"/>
        <v>0</v>
      </c>
      <c r="P249" s="377">
        <f t="shared" si="47"/>
        <v>0</v>
      </c>
      <c r="Q249" s="755">
        <v>1</v>
      </c>
      <c r="R249" s="378" t="str">
        <f t="shared" si="48"/>
        <v>L</v>
      </c>
      <c r="S249" s="379"/>
      <c r="T249" s="379"/>
      <c r="U249" s="756">
        <f t="shared" si="49"/>
        <v>2708</v>
      </c>
    </row>
    <row r="250" spans="1:21" ht="14.1" customHeight="1">
      <c r="A250" s="559">
        <v>250</v>
      </c>
      <c r="B250" s="375" t="s">
        <v>504</v>
      </c>
      <c r="C250" s="552" t="s">
        <v>520</v>
      </c>
      <c r="D250" s="757">
        <f>VLOOKUP(B250,Locatieoverzicht!$A$14:$E$21,5,FALSE)</f>
        <v>1</v>
      </c>
      <c r="E250" s="373">
        <v>0</v>
      </c>
      <c r="F250" s="549" t="s">
        <v>347</v>
      </c>
      <c r="G250" s="550" t="s">
        <v>401</v>
      </c>
      <c r="H250" s="374" t="str">
        <f t="shared" si="44"/>
        <v>Leslokaal regulier</v>
      </c>
      <c r="I250" s="375" t="s">
        <v>612</v>
      </c>
      <c r="J250" s="561">
        <v>54.8</v>
      </c>
      <c r="K250" s="612">
        <v>8040</v>
      </c>
      <c r="L250" s="376">
        <f t="shared" si="45"/>
        <v>40</v>
      </c>
      <c r="M250" s="377">
        <f t="shared" si="42"/>
        <v>0</v>
      </c>
      <c r="N250" s="377">
        <f t="shared" si="43"/>
        <v>0</v>
      </c>
      <c r="O250" s="377">
        <f t="shared" si="46"/>
        <v>0</v>
      </c>
      <c r="P250" s="377">
        <f t="shared" si="47"/>
        <v>0</v>
      </c>
      <c r="Q250" s="755">
        <v>1</v>
      </c>
      <c r="R250" s="378" t="str">
        <f t="shared" si="48"/>
        <v>L</v>
      </c>
      <c r="S250" s="379"/>
      <c r="T250" s="379"/>
      <c r="U250" s="756">
        <f t="shared" si="49"/>
        <v>2192</v>
      </c>
    </row>
    <row r="251" spans="1:21" ht="14.1" customHeight="1">
      <c r="A251" s="559">
        <v>251</v>
      </c>
      <c r="B251" s="375" t="s">
        <v>504</v>
      </c>
      <c r="C251" s="552" t="s">
        <v>520</v>
      </c>
      <c r="D251" s="757">
        <f>VLOOKUP(B251,Locatieoverzicht!$A$14:$E$21,5,FALSE)</f>
        <v>1</v>
      </c>
      <c r="E251" s="373">
        <v>0</v>
      </c>
      <c r="F251" s="549" t="s">
        <v>348</v>
      </c>
      <c r="G251" s="550" t="s">
        <v>398</v>
      </c>
      <c r="H251" s="374" t="str">
        <f t="shared" si="44"/>
        <v>Gangen en hallen</v>
      </c>
      <c r="I251" s="375" t="s">
        <v>612</v>
      </c>
      <c r="J251" s="561">
        <v>151</v>
      </c>
      <c r="K251" s="612">
        <v>3200</v>
      </c>
      <c r="L251" s="376">
        <f t="shared" si="45"/>
        <v>200</v>
      </c>
      <c r="M251" s="377">
        <f t="shared" si="42"/>
        <v>0</v>
      </c>
      <c r="N251" s="377">
        <f t="shared" si="43"/>
        <v>0</v>
      </c>
      <c r="O251" s="377">
        <f t="shared" si="46"/>
        <v>0</v>
      </c>
      <c r="P251" s="377">
        <f t="shared" si="47"/>
        <v>0</v>
      </c>
      <c r="Q251" s="755">
        <v>1</v>
      </c>
      <c r="R251" s="378" t="str">
        <f t="shared" si="48"/>
        <v>V</v>
      </c>
      <c r="S251" s="379"/>
      <c r="T251" s="379"/>
      <c r="U251" s="756">
        <f t="shared" si="49"/>
        <v>30200</v>
      </c>
    </row>
    <row r="252" spans="1:21" ht="14.1" customHeight="1">
      <c r="A252" s="559">
        <v>252</v>
      </c>
      <c r="B252" s="375" t="s">
        <v>504</v>
      </c>
      <c r="C252" s="552" t="s">
        <v>520</v>
      </c>
      <c r="D252" s="757">
        <f>VLOOKUP(B252,Locatieoverzicht!$A$14:$E$21,5,FALSE)</f>
        <v>1</v>
      </c>
      <c r="E252" s="373">
        <v>0</v>
      </c>
      <c r="F252" s="549" t="s">
        <v>349</v>
      </c>
      <c r="G252" s="550" t="s">
        <v>400</v>
      </c>
      <c r="H252" s="374" t="str">
        <f t="shared" si="44"/>
        <v>Sanitaire ruimten</v>
      </c>
      <c r="I252" s="375" t="s">
        <v>612</v>
      </c>
      <c r="J252" s="561">
        <v>11.2</v>
      </c>
      <c r="K252" s="612">
        <v>2200</v>
      </c>
      <c r="L252" s="376">
        <f t="shared" si="45"/>
        <v>200</v>
      </c>
      <c r="M252" s="377">
        <f t="shared" si="42"/>
        <v>0</v>
      </c>
      <c r="N252" s="377">
        <f t="shared" si="43"/>
        <v>0</v>
      </c>
      <c r="O252" s="377">
        <f t="shared" si="46"/>
        <v>0</v>
      </c>
      <c r="P252" s="377">
        <f t="shared" si="47"/>
        <v>0</v>
      </c>
      <c r="Q252" s="755">
        <v>1</v>
      </c>
      <c r="R252" s="378" t="str">
        <f t="shared" si="48"/>
        <v>S</v>
      </c>
      <c r="S252" s="379"/>
      <c r="T252" s="379"/>
      <c r="U252" s="756">
        <f t="shared" si="49"/>
        <v>2240</v>
      </c>
    </row>
    <row r="253" spans="1:21" ht="14.1" customHeight="1">
      <c r="A253" s="559">
        <v>253</v>
      </c>
      <c r="B253" s="375" t="s">
        <v>504</v>
      </c>
      <c r="C253" s="552" t="s">
        <v>520</v>
      </c>
      <c r="D253" s="757">
        <f>VLOOKUP(B253,Locatieoverzicht!$A$14:$E$21,5,FALSE)</f>
        <v>1</v>
      </c>
      <c r="E253" s="373">
        <v>0</v>
      </c>
      <c r="F253" s="549" t="s">
        <v>350</v>
      </c>
      <c r="G253" s="550" t="s">
        <v>400</v>
      </c>
      <c r="H253" s="374" t="str">
        <f t="shared" si="44"/>
        <v>Sanitaire ruimten</v>
      </c>
      <c r="I253" s="375" t="s">
        <v>612</v>
      </c>
      <c r="J253" s="561">
        <v>11.2</v>
      </c>
      <c r="K253" s="612">
        <v>2200</v>
      </c>
      <c r="L253" s="376">
        <f t="shared" si="45"/>
        <v>200</v>
      </c>
      <c r="M253" s="377">
        <f t="shared" si="42"/>
        <v>0</v>
      </c>
      <c r="N253" s="377">
        <f t="shared" si="43"/>
        <v>0</v>
      </c>
      <c r="O253" s="377">
        <f t="shared" si="46"/>
        <v>0</v>
      </c>
      <c r="P253" s="377">
        <f t="shared" si="47"/>
        <v>0</v>
      </c>
      <c r="Q253" s="755">
        <v>1</v>
      </c>
      <c r="R253" s="378" t="str">
        <f t="shared" si="48"/>
        <v>S</v>
      </c>
      <c r="S253" s="379"/>
      <c r="T253" s="379"/>
      <c r="U253" s="756">
        <f t="shared" si="49"/>
        <v>2240</v>
      </c>
    </row>
    <row r="254" spans="1:21" ht="14.1" customHeight="1">
      <c r="A254" s="559">
        <v>254</v>
      </c>
      <c r="B254" s="375" t="s">
        <v>504</v>
      </c>
      <c r="C254" s="552" t="s">
        <v>520</v>
      </c>
      <c r="D254" s="757">
        <f>VLOOKUP(B254,Locatieoverzicht!$A$14:$E$21,5,FALSE)</f>
        <v>1</v>
      </c>
      <c r="E254" s="373">
        <v>0</v>
      </c>
      <c r="F254" s="549" t="s">
        <v>351</v>
      </c>
      <c r="G254" s="550" t="s">
        <v>402</v>
      </c>
      <c r="H254" s="374" t="str">
        <f t="shared" si="44"/>
        <v>Administratieve ruimten</v>
      </c>
      <c r="I254" s="375" t="s">
        <v>612</v>
      </c>
      <c r="J254" s="561">
        <v>36.4</v>
      </c>
      <c r="K254" s="612">
        <v>1040</v>
      </c>
      <c r="L254" s="376">
        <f t="shared" si="45"/>
        <v>40</v>
      </c>
      <c r="M254" s="377">
        <f t="shared" si="42"/>
        <v>0</v>
      </c>
      <c r="N254" s="377">
        <f t="shared" si="43"/>
        <v>0</v>
      </c>
      <c r="O254" s="377">
        <f t="shared" si="46"/>
        <v>0</v>
      </c>
      <c r="P254" s="377">
        <f t="shared" si="47"/>
        <v>0</v>
      </c>
      <c r="Q254" s="755">
        <v>1</v>
      </c>
      <c r="R254" s="378" t="str">
        <f t="shared" si="48"/>
        <v>B</v>
      </c>
      <c r="S254" s="379"/>
      <c r="T254" s="379"/>
      <c r="U254" s="756">
        <f t="shared" si="49"/>
        <v>1456</v>
      </c>
    </row>
    <row r="255" spans="1:21" ht="14.1" customHeight="1">
      <c r="A255" s="559">
        <v>255</v>
      </c>
      <c r="B255" s="375" t="s">
        <v>504</v>
      </c>
      <c r="C255" s="552" t="s">
        <v>520</v>
      </c>
      <c r="D255" s="757">
        <f>VLOOKUP(B255,Locatieoverzicht!$A$14:$E$21,5,FALSE)</f>
        <v>1</v>
      </c>
      <c r="E255" s="373">
        <v>0</v>
      </c>
      <c r="F255" s="647" t="s">
        <v>352</v>
      </c>
      <c r="G255" s="649" t="s">
        <v>402</v>
      </c>
      <c r="H255" s="374" t="str">
        <f t="shared" si="44"/>
        <v>Administratieve ruimten</v>
      </c>
      <c r="I255" s="375" t="s">
        <v>613</v>
      </c>
      <c r="J255" s="561">
        <v>13.3</v>
      </c>
      <c r="K255" s="612">
        <v>1040</v>
      </c>
      <c r="L255" s="376">
        <f t="shared" si="45"/>
        <v>40</v>
      </c>
      <c r="M255" s="377">
        <f t="shared" si="42"/>
        <v>0</v>
      </c>
      <c r="N255" s="377">
        <f t="shared" si="43"/>
        <v>0</v>
      </c>
      <c r="O255" s="377">
        <f t="shared" si="46"/>
        <v>0</v>
      </c>
      <c r="P255" s="377">
        <f t="shared" si="47"/>
        <v>0</v>
      </c>
      <c r="Q255" s="755">
        <v>1</v>
      </c>
      <c r="R255" s="378" t="str">
        <f t="shared" si="48"/>
        <v>B</v>
      </c>
      <c r="S255" s="379"/>
      <c r="T255" s="379"/>
      <c r="U255" s="756">
        <f t="shared" si="49"/>
        <v>532</v>
      </c>
    </row>
    <row r="256" spans="1:21" ht="14.1" customHeight="1">
      <c r="A256" s="559">
        <v>256</v>
      </c>
      <c r="B256" s="375" t="s">
        <v>504</v>
      </c>
      <c r="C256" s="552" t="s">
        <v>520</v>
      </c>
      <c r="D256" s="757">
        <f>VLOOKUP(B256,Locatieoverzicht!$A$14:$E$21,5,FALSE)</f>
        <v>1</v>
      </c>
      <c r="E256" s="603">
        <v>0</v>
      </c>
      <c r="F256" s="648" t="s">
        <v>353</v>
      </c>
      <c r="G256" s="649" t="s">
        <v>405</v>
      </c>
      <c r="H256" s="374" t="str">
        <f t="shared" si="44"/>
        <v>Niet van toepassing</v>
      </c>
      <c r="I256" s="375" t="s">
        <v>616</v>
      </c>
      <c r="J256" s="561">
        <v>10.9</v>
      </c>
      <c r="K256" s="612" t="s">
        <v>239</v>
      </c>
      <c r="L256" s="376">
        <f t="shared" si="45"/>
        <v>0</v>
      </c>
      <c r="M256" s="377">
        <f t="shared" si="42"/>
        <v>0</v>
      </c>
      <c r="N256" s="377">
        <f t="shared" si="43"/>
        <v>0</v>
      </c>
      <c r="O256" s="377">
        <f t="shared" si="46"/>
        <v>0</v>
      </c>
      <c r="P256" s="377">
        <f t="shared" si="47"/>
        <v>0</v>
      </c>
      <c r="Q256" s="755">
        <v>1</v>
      </c>
      <c r="R256" s="378">
        <f t="shared" si="48"/>
        <v>0</v>
      </c>
      <c r="S256" s="379"/>
      <c r="T256" s="379"/>
      <c r="U256" s="756">
        <f t="shared" si="49"/>
        <v>0</v>
      </c>
    </row>
    <row r="257" spans="1:21" ht="14.1" customHeight="1">
      <c r="A257" s="559">
        <v>257</v>
      </c>
      <c r="B257" s="375" t="s">
        <v>504</v>
      </c>
      <c r="C257" s="552" t="s">
        <v>520</v>
      </c>
      <c r="D257" s="757">
        <f>VLOOKUP(B257,Locatieoverzicht!$A$14:$E$21,5,FALSE)</f>
        <v>1</v>
      </c>
      <c r="E257" s="373">
        <v>0</v>
      </c>
      <c r="F257" s="648" t="s">
        <v>354</v>
      </c>
      <c r="G257" s="649" t="s">
        <v>513</v>
      </c>
      <c r="H257" s="374" t="str">
        <f t="shared" si="44"/>
        <v>Niet van toepassing</v>
      </c>
      <c r="I257" s="375" t="s">
        <v>612</v>
      </c>
      <c r="J257" s="561">
        <v>2.54</v>
      </c>
      <c r="K257" s="612" t="s">
        <v>239</v>
      </c>
      <c r="L257" s="376">
        <f t="shared" si="45"/>
        <v>0</v>
      </c>
      <c r="M257" s="377">
        <f t="shared" si="42"/>
        <v>0</v>
      </c>
      <c r="N257" s="377">
        <f t="shared" si="43"/>
        <v>0</v>
      </c>
      <c r="O257" s="377">
        <f t="shared" si="46"/>
        <v>0</v>
      </c>
      <c r="P257" s="377">
        <f t="shared" si="47"/>
        <v>0</v>
      </c>
      <c r="Q257" s="755">
        <v>1</v>
      </c>
      <c r="R257" s="378">
        <f t="shared" si="48"/>
        <v>0</v>
      </c>
      <c r="S257" s="379"/>
      <c r="T257" s="379"/>
      <c r="U257" s="756">
        <f t="shared" si="49"/>
        <v>0</v>
      </c>
    </row>
    <row r="258" spans="1:21" ht="14.1" customHeight="1">
      <c r="A258" s="559">
        <v>258</v>
      </c>
      <c r="B258" s="375" t="s">
        <v>504</v>
      </c>
      <c r="C258" s="552" t="s">
        <v>520</v>
      </c>
      <c r="D258" s="757">
        <f>VLOOKUP(B258,Locatieoverzicht!$A$14:$E$21,5,FALSE)</f>
        <v>1</v>
      </c>
      <c r="E258" s="373">
        <v>0</v>
      </c>
      <c r="F258" s="648" t="s">
        <v>355</v>
      </c>
      <c r="G258" s="649" t="s">
        <v>513</v>
      </c>
      <c r="H258" s="374" t="str">
        <f t="shared" si="44"/>
        <v>Niet van toepassing</v>
      </c>
      <c r="I258" s="375" t="s">
        <v>613</v>
      </c>
      <c r="J258" s="561">
        <v>8.65</v>
      </c>
      <c r="K258" s="612" t="s">
        <v>239</v>
      </c>
      <c r="L258" s="376">
        <f t="shared" si="45"/>
        <v>0</v>
      </c>
      <c r="M258" s="377">
        <f t="shared" si="42"/>
        <v>0</v>
      </c>
      <c r="N258" s="377">
        <f t="shared" si="43"/>
        <v>0</v>
      </c>
      <c r="O258" s="377">
        <f t="shared" si="46"/>
        <v>0</v>
      </c>
      <c r="P258" s="377">
        <f t="shared" si="47"/>
        <v>0</v>
      </c>
      <c r="Q258" s="755">
        <v>1</v>
      </c>
      <c r="R258" s="378">
        <f t="shared" si="48"/>
        <v>0</v>
      </c>
      <c r="S258" s="379"/>
      <c r="T258" s="379"/>
      <c r="U258" s="756">
        <f t="shared" si="49"/>
        <v>0</v>
      </c>
    </row>
    <row r="259" spans="1:21" ht="14.1" customHeight="1">
      <c r="A259" s="559">
        <v>259</v>
      </c>
      <c r="B259" s="375" t="s">
        <v>504</v>
      </c>
      <c r="C259" s="552" t="s">
        <v>520</v>
      </c>
      <c r="D259" s="757">
        <f>VLOOKUP(B259,Locatieoverzicht!$A$14:$E$21,5,FALSE)</f>
        <v>1</v>
      </c>
      <c r="E259" s="373">
        <v>0</v>
      </c>
      <c r="F259" s="648" t="s">
        <v>356</v>
      </c>
      <c r="G259" s="649" t="s">
        <v>398</v>
      </c>
      <c r="H259" s="374" t="str">
        <f t="shared" si="44"/>
        <v>Gangen en hallen</v>
      </c>
      <c r="I259" s="375" t="s">
        <v>613</v>
      </c>
      <c r="J259" s="561">
        <v>10</v>
      </c>
      <c r="K259" s="612">
        <v>3200</v>
      </c>
      <c r="L259" s="376">
        <f t="shared" si="45"/>
        <v>200</v>
      </c>
      <c r="M259" s="377">
        <f t="shared" si="42"/>
        <v>0</v>
      </c>
      <c r="N259" s="377">
        <f t="shared" si="43"/>
        <v>0</v>
      </c>
      <c r="O259" s="377">
        <f t="shared" si="46"/>
        <v>0</v>
      </c>
      <c r="P259" s="377">
        <f t="shared" si="47"/>
        <v>0</v>
      </c>
      <c r="Q259" s="755">
        <v>1</v>
      </c>
      <c r="R259" s="378" t="str">
        <f t="shared" si="48"/>
        <v>V</v>
      </c>
      <c r="S259" s="379"/>
      <c r="T259" s="379"/>
      <c r="U259" s="756">
        <f t="shared" si="49"/>
        <v>2000</v>
      </c>
    </row>
    <row r="260" spans="1:21" ht="14.1" customHeight="1">
      <c r="A260" s="559">
        <v>260</v>
      </c>
      <c r="B260" s="375" t="s">
        <v>504</v>
      </c>
      <c r="C260" s="552" t="s">
        <v>520</v>
      </c>
      <c r="D260" s="757">
        <f>VLOOKUP(B260,Locatieoverzicht!$A$14:$E$21,5,FALSE)</f>
        <v>1</v>
      </c>
      <c r="E260" s="373">
        <v>0</v>
      </c>
      <c r="F260" s="648" t="s">
        <v>357</v>
      </c>
      <c r="G260" s="649" t="s">
        <v>398</v>
      </c>
      <c r="H260" s="374" t="str">
        <f t="shared" si="44"/>
        <v>Gangen en hallen</v>
      </c>
      <c r="I260" s="375" t="s">
        <v>613</v>
      </c>
      <c r="J260" s="561">
        <v>8.5</v>
      </c>
      <c r="K260" s="612">
        <v>3200</v>
      </c>
      <c r="L260" s="376">
        <f t="shared" si="45"/>
        <v>200</v>
      </c>
      <c r="M260" s="377">
        <f t="shared" si="42"/>
        <v>0</v>
      </c>
      <c r="N260" s="377">
        <f t="shared" si="43"/>
        <v>0</v>
      </c>
      <c r="O260" s="377">
        <f t="shared" si="46"/>
        <v>0</v>
      </c>
      <c r="P260" s="377">
        <f t="shared" si="47"/>
        <v>0</v>
      </c>
      <c r="Q260" s="755">
        <v>1</v>
      </c>
      <c r="R260" s="378" t="str">
        <f t="shared" si="48"/>
        <v>V</v>
      </c>
      <c r="S260" s="379"/>
      <c r="T260" s="379"/>
      <c r="U260" s="756">
        <f t="shared" si="49"/>
        <v>1700</v>
      </c>
    </row>
    <row r="261" spans="1:21" ht="14.1" customHeight="1">
      <c r="A261" s="559">
        <v>261</v>
      </c>
      <c r="B261" s="375" t="s">
        <v>504</v>
      </c>
      <c r="C261" s="552" t="s">
        <v>520</v>
      </c>
      <c r="D261" s="757">
        <f>VLOOKUP(B261,Locatieoverzicht!$A$14:$E$21,5,FALSE)</f>
        <v>1</v>
      </c>
      <c r="E261" s="373">
        <v>0</v>
      </c>
      <c r="F261" s="648" t="s">
        <v>358</v>
      </c>
      <c r="G261" s="649" t="s">
        <v>402</v>
      </c>
      <c r="H261" s="374" t="str">
        <f t="shared" si="44"/>
        <v>Administratieve ruimten</v>
      </c>
      <c r="I261" s="375" t="s">
        <v>613</v>
      </c>
      <c r="J261" s="561">
        <v>13</v>
      </c>
      <c r="K261" s="612">
        <v>1040</v>
      </c>
      <c r="L261" s="376">
        <f t="shared" si="45"/>
        <v>40</v>
      </c>
      <c r="M261" s="377">
        <f t="shared" si="42"/>
        <v>0</v>
      </c>
      <c r="N261" s="377">
        <f t="shared" si="43"/>
        <v>0</v>
      </c>
      <c r="O261" s="377">
        <f t="shared" si="46"/>
        <v>0</v>
      </c>
      <c r="P261" s="377">
        <f t="shared" si="47"/>
        <v>0</v>
      </c>
      <c r="Q261" s="755">
        <v>1</v>
      </c>
      <c r="R261" s="378" t="str">
        <f t="shared" si="48"/>
        <v>B</v>
      </c>
      <c r="S261" s="379"/>
      <c r="T261" s="379"/>
      <c r="U261" s="756">
        <f t="shared" si="49"/>
        <v>520</v>
      </c>
    </row>
    <row r="262" spans="1:21" ht="14.1" customHeight="1">
      <c r="A262" s="559">
        <v>262</v>
      </c>
      <c r="B262" s="375" t="s">
        <v>504</v>
      </c>
      <c r="C262" s="552" t="s">
        <v>520</v>
      </c>
      <c r="D262" s="757">
        <f>VLOOKUP(B262,Locatieoverzicht!$A$14:$E$21,5,FALSE)</f>
        <v>1</v>
      </c>
      <c r="E262" s="373">
        <v>0</v>
      </c>
      <c r="F262" s="648" t="s">
        <v>359</v>
      </c>
      <c r="G262" s="649" t="s">
        <v>400</v>
      </c>
      <c r="H262" s="374" t="str">
        <f t="shared" si="44"/>
        <v>Sanitaire ruimten</v>
      </c>
      <c r="I262" s="375" t="s">
        <v>612</v>
      </c>
      <c r="J262" s="561">
        <v>11.25</v>
      </c>
      <c r="K262" s="612">
        <v>2200</v>
      </c>
      <c r="L262" s="376">
        <f t="shared" si="45"/>
        <v>200</v>
      </c>
      <c r="M262" s="377">
        <f t="shared" si="42"/>
        <v>0</v>
      </c>
      <c r="N262" s="377">
        <f t="shared" si="43"/>
        <v>0</v>
      </c>
      <c r="O262" s="377">
        <f t="shared" si="46"/>
        <v>0</v>
      </c>
      <c r="P262" s="377">
        <f t="shared" si="47"/>
        <v>0</v>
      </c>
      <c r="Q262" s="755">
        <v>1</v>
      </c>
      <c r="R262" s="378" t="str">
        <f t="shared" si="48"/>
        <v>S</v>
      </c>
      <c r="S262" s="379"/>
      <c r="T262" s="379"/>
      <c r="U262" s="756">
        <f t="shared" si="49"/>
        <v>2250</v>
      </c>
    </row>
    <row r="263" spans="1:21" ht="14.1" customHeight="1">
      <c r="A263" s="559">
        <v>263</v>
      </c>
      <c r="B263" s="375" t="s">
        <v>504</v>
      </c>
      <c r="C263" s="552" t="s">
        <v>520</v>
      </c>
      <c r="D263" s="757">
        <f>VLOOKUP(B263,Locatieoverzicht!$A$14:$E$21,5,FALSE)</f>
        <v>1</v>
      </c>
      <c r="E263" s="373">
        <v>0</v>
      </c>
      <c r="F263" s="648" t="s">
        <v>360</v>
      </c>
      <c r="G263" s="649" t="s">
        <v>400</v>
      </c>
      <c r="H263" s="374" t="str">
        <f t="shared" si="44"/>
        <v>Sanitaire ruimten</v>
      </c>
      <c r="I263" s="375" t="s">
        <v>612</v>
      </c>
      <c r="J263" s="561">
        <v>11.25</v>
      </c>
      <c r="K263" s="612">
        <v>2200</v>
      </c>
      <c r="L263" s="376">
        <f t="shared" si="45"/>
        <v>200</v>
      </c>
      <c r="M263" s="377">
        <f t="shared" si="42"/>
        <v>0</v>
      </c>
      <c r="N263" s="377">
        <f t="shared" si="43"/>
        <v>0</v>
      </c>
      <c r="O263" s="377">
        <f t="shared" si="46"/>
        <v>0</v>
      </c>
      <c r="P263" s="377">
        <f t="shared" si="47"/>
        <v>0</v>
      </c>
      <c r="Q263" s="755">
        <v>1</v>
      </c>
      <c r="R263" s="378" t="str">
        <f t="shared" si="48"/>
        <v>S</v>
      </c>
      <c r="S263" s="379"/>
      <c r="T263" s="379"/>
      <c r="U263" s="756">
        <f t="shared" si="49"/>
        <v>2250</v>
      </c>
    </row>
    <row r="264" spans="1:21" ht="14.1" customHeight="1">
      <c r="A264" s="559">
        <v>264</v>
      </c>
      <c r="B264" s="375" t="s">
        <v>504</v>
      </c>
      <c r="C264" s="552" t="s">
        <v>520</v>
      </c>
      <c r="D264" s="757">
        <f>VLOOKUP(B264,Locatieoverzicht!$A$14:$E$21,5,FALSE)</f>
        <v>1</v>
      </c>
      <c r="E264" s="373">
        <v>0</v>
      </c>
      <c r="F264" s="648" t="s">
        <v>361</v>
      </c>
      <c r="G264" s="649" t="s">
        <v>513</v>
      </c>
      <c r="H264" s="374" t="str">
        <f t="shared" si="44"/>
        <v>Niet van toepassing</v>
      </c>
      <c r="I264" s="375" t="s">
        <v>612</v>
      </c>
      <c r="J264" s="561">
        <v>3.34</v>
      </c>
      <c r="K264" s="612" t="s">
        <v>239</v>
      </c>
      <c r="L264" s="376">
        <f t="shared" si="45"/>
        <v>0</v>
      </c>
      <c r="M264" s="377">
        <f t="shared" si="42"/>
        <v>0</v>
      </c>
      <c r="N264" s="377">
        <f t="shared" si="43"/>
        <v>0</v>
      </c>
      <c r="O264" s="377">
        <f t="shared" si="46"/>
        <v>0</v>
      </c>
      <c r="P264" s="377">
        <f t="shared" si="47"/>
        <v>0</v>
      </c>
      <c r="Q264" s="755">
        <v>1</v>
      </c>
      <c r="R264" s="378">
        <f t="shared" si="48"/>
        <v>0</v>
      </c>
      <c r="S264" s="379"/>
      <c r="T264" s="379"/>
      <c r="U264" s="756">
        <f t="shared" si="49"/>
        <v>0</v>
      </c>
    </row>
    <row r="265" spans="1:21" ht="14.1" customHeight="1">
      <c r="A265" s="559">
        <v>265</v>
      </c>
      <c r="B265" s="375" t="s">
        <v>504</v>
      </c>
      <c r="C265" s="552" t="s">
        <v>520</v>
      </c>
      <c r="D265" s="757">
        <f>VLOOKUP(B265,Locatieoverzicht!$A$14:$E$21,5,FALSE)</f>
        <v>1</v>
      </c>
      <c r="E265" s="373">
        <v>0</v>
      </c>
      <c r="F265" s="648" t="s">
        <v>362</v>
      </c>
      <c r="G265" s="649" t="s">
        <v>401</v>
      </c>
      <c r="H265" s="374" t="str">
        <f t="shared" si="44"/>
        <v>Leslokaal regulier</v>
      </c>
      <c r="I265" s="375" t="s">
        <v>614</v>
      </c>
      <c r="J265" s="561">
        <v>100.1</v>
      </c>
      <c r="K265" s="612">
        <v>8040</v>
      </c>
      <c r="L265" s="376">
        <f t="shared" si="45"/>
        <v>40</v>
      </c>
      <c r="M265" s="377">
        <f t="shared" si="42"/>
        <v>0</v>
      </c>
      <c r="N265" s="377">
        <f t="shared" si="43"/>
        <v>0</v>
      </c>
      <c r="O265" s="377">
        <f t="shared" si="46"/>
        <v>0</v>
      </c>
      <c r="P265" s="377">
        <f t="shared" si="47"/>
        <v>0</v>
      </c>
      <c r="Q265" s="755">
        <v>1</v>
      </c>
      <c r="R265" s="378" t="str">
        <f t="shared" si="48"/>
        <v>L</v>
      </c>
      <c r="S265" s="379"/>
      <c r="T265" s="379"/>
      <c r="U265" s="756">
        <f t="shared" si="49"/>
        <v>4004</v>
      </c>
    </row>
    <row r="266" spans="1:21" ht="14.1" customHeight="1">
      <c r="A266" s="559">
        <v>266</v>
      </c>
      <c r="B266" s="375" t="s">
        <v>504</v>
      </c>
      <c r="C266" s="552" t="s">
        <v>520</v>
      </c>
      <c r="D266" s="757">
        <f>VLOOKUP(B266,Locatieoverzicht!$A$14:$E$21,5,FALSE)</f>
        <v>1</v>
      </c>
      <c r="E266" s="373">
        <v>0</v>
      </c>
      <c r="F266" s="648" t="s">
        <v>363</v>
      </c>
      <c r="G266" s="649" t="s">
        <v>550</v>
      </c>
      <c r="H266" s="374" t="str">
        <f t="shared" si="44"/>
        <v>Trappenhuizen</v>
      </c>
      <c r="I266" s="375" t="s">
        <v>612</v>
      </c>
      <c r="J266" s="561">
        <v>12.8</v>
      </c>
      <c r="K266" s="612">
        <v>5200</v>
      </c>
      <c r="L266" s="376">
        <f t="shared" si="45"/>
        <v>200</v>
      </c>
      <c r="M266" s="377">
        <f t="shared" si="42"/>
        <v>0</v>
      </c>
      <c r="N266" s="377">
        <f t="shared" si="43"/>
        <v>0</v>
      </c>
      <c r="O266" s="377">
        <f t="shared" si="46"/>
        <v>0</v>
      </c>
      <c r="P266" s="377">
        <f t="shared" si="47"/>
        <v>0</v>
      </c>
      <c r="Q266" s="755">
        <v>1</v>
      </c>
      <c r="R266" s="378" t="str">
        <f t="shared" si="48"/>
        <v>V</v>
      </c>
      <c r="S266" s="379"/>
      <c r="T266" s="379"/>
      <c r="U266" s="756">
        <f t="shared" si="49"/>
        <v>2560</v>
      </c>
    </row>
    <row r="267" spans="1:21" ht="14.1" customHeight="1">
      <c r="A267" s="559">
        <v>267</v>
      </c>
      <c r="B267" s="375" t="s">
        <v>504</v>
      </c>
      <c r="C267" s="552" t="s">
        <v>520</v>
      </c>
      <c r="D267" s="757">
        <f>VLOOKUP(B267,Locatieoverzicht!$A$14:$E$21,5,FALSE)</f>
        <v>1</v>
      </c>
      <c r="E267" s="373">
        <v>0</v>
      </c>
      <c r="F267" s="648" t="s">
        <v>364</v>
      </c>
      <c r="G267" s="649" t="s">
        <v>400</v>
      </c>
      <c r="H267" s="374" t="str">
        <f t="shared" si="44"/>
        <v>Sanitaire ruimten</v>
      </c>
      <c r="I267" s="375" t="s">
        <v>612</v>
      </c>
      <c r="J267" s="561">
        <v>3.04</v>
      </c>
      <c r="K267" s="612">
        <v>2200</v>
      </c>
      <c r="L267" s="376">
        <f t="shared" si="45"/>
        <v>200</v>
      </c>
      <c r="M267" s="377">
        <f t="shared" ref="M267:M330" si="50">O267*J267*Q267</f>
        <v>0</v>
      </c>
      <c r="N267" s="377">
        <f t="shared" ref="N267:N330" si="51">P267*J267*Q267</f>
        <v>0</v>
      </c>
      <c r="O267" s="377">
        <f t="shared" si="46"/>
        <v>0</v>
      </c>
      <c r="P267" s="377">
        <f t="shared" si="47"/>
        <v>0</v>
      </c>
      <c r="Q267" s="755">
        <v>1</v>
      </c>
      <c r="R267" s="378" t="str">
        <f t="shared" si="48"/>
        <v>S</v>
      </c>
      <c r="S267" s="379"/>
      <c r="T267" s="379"/>
      <c r="U267" s="756">
        <f t="shared" si="49"/>
        <v>608</v>
      </c>
    </row>
    <row r="268" spans="1:21" ht="14.1" customHeight="1">
      <c r="A268" s="559">
        <v>268</v>
      </c>
      <c r="B268" s="375" t="s">
        <v>504</v>
      </c>
      <c r="C268" s="552" t="s">
        <v>520</v>
      </c>
      <c r="D268" s="757">
        <f>VLOOKUP(B268,Locatieoverzicht!$A$14:$E$21,5,FALSE)</f>
        <v>1</v>
      </c>
      <c r="E268" s="373">
        <v>0</v>
      </c>
      <c r="F268" s="648" t="s">
        <v>365</v>
      </c>
      <c r="G268" s="649" t="s">
        <v>513</v>
      </c>
      <c r="H268" s="374" t="str">
        <f t="shared" si="44"/>
        <v>Niet van toepassing</v>
      </c>
      <c r="I268" s="375" t="s">
        <v>612</v>
      </c>
      <c r="J268" s="561">
        <v>10.1</v>
      </c>
      <c r="K268" s="612" t="s">
        <v>239</v>
      </c>
      <c r="L268" s="376">
        <f t="shared" si="45"/>
        <v>0</v>
      </c>
      <c r="M268" s="377">
        <f t="shared" si="50"/>
        <v>0</v>
      </c>
      <c r="N268" s="377">
        <f t="shared" si="51"/>
        <v>0</v>
      </c>
      <c r="O268" s="377">
        <f t="shared" si="46"/>
        <v>0</v>
      </c>
      <c r="P268" s="377">
        <f t="shared" si="47"/>
        <v>0</v>
      </c>
      <c r="Q268" s="755">
        <v>1</v>
      </c>
      <c r="R268" s="378">
        <f t="shared" si="48"/>
        <v>0</v>
      </c>
      <c r="S268" s="379"/>
      <c r="T268" s="379"/>
      <c r="U268" s="756">
        <f t="shared" si="49"/>
        <v>0</v>
      </c>
    </row>
    <row r="269" spans="1:21" ht="14.1" customHeight="1">
      <c r="A269" s="559">
        <v>269</v>
      </c>
      <c r="B269" s="375" t="s">
        <v>504</v>
      </c>
      <c r="C269" s="552" t="s">
        <v>520</v>
      </c>
      <c r="D269" s="757">
        <f>VLOOKUP(B269,Locatieoverzicht!$A$14:$E$21,5,FALSE)</f>
        <v>1</v>
      </c>
      <c r="E269" s="373">
        <v>0</v>
      </c>
      <c r="F269" s="648" t="s">
        <v>366</v>
      </c>
      <c r="G269" s="649" t="s">
        <v>401</v>
      </c>
      <c r="H269" s="374" t="str">
        <f t="shared" si="44"/>
        <v>Leslokaal regulier</v>
      </c>
      <c r="I269" s="375" t="s">
        <v>612</v>
      </c>
      <c r="J269" s="561">
        <v>88.8</v>
      </c>
      <c r="K269" s="612">
        <v>8040</v>
      </c>
      <c r="L269" s="376">
        <f t="shared" si="45"/>
        <v>40</v>
      </c>
      <c r="M269" s="377">
        <f t="shared" si="50"/>
        <v>0</v>
      </c>
      <c r="N269" s="377">
        <f t="shared" si="51"/>
        <v>0</v>
      </c>
      <c r="O269" s="377">
        <f t="shared" si="46"/>
        <v>0</v>
      </c>
      <c r="P269" s="377">
        <f t="shared" si="47"/>
        <v>0</v>
      </c>
      <c r="Q269" s="755">
        <v>1</v>
      </c>
      <c r="R269" s="378" t="str">
        <f t="shared" ref="R269:R332" si="52">IF(K269="","",VLOOKUP(K269,Kengetal,11,FALSE))</f>
        <v>L</v>
      </c>
      <c r="S269" s="379"/>
      <c r="T269" s="379"/>
      <c r="U269" s="756">
        <f t="shared" ref="U269:U332" si="53">J269*L269</f>
        <v>3552</v>
      </c>
    </row>
    <row r="270" spans="1:21" ht="14.1" customHeight="1">
      <c r="A270" s="559">
        <v>270</v>
      </c>
      <c r="B270" s="375" t="s">
        <v>504</v>
      </c>
      <c r="C270" s="552" t="s">
        <v>520</v>
      </c>
      <c r="D270" s="757">
        <f>VLOOKUP(B270,Locatieoverzicht!$A$14:$E$21,5,FALSE)</f>
        <v>1</v>
      </c>
      <c r="E270" s="373">
        <v>0</v>
      </c>
      <c r="F270" s="648" t="s">
        <v>367</v>
      </c>
      <c r="G270" s="649" t="s">
        <v>401</v>
      </c>
      <c r="H270" s="374" t="str">
        <f t="shared" si="44"/>
        <v>Leslokaal regulier</v>
      </c>
      <c r="I270" s="375" t="s">
        <v>612</v>
      </c>
      <c r="J270" s="561">
        <v>76.099999999999994</v>
      </c>
      <c r="K270" s="612">
        <v>8040</v>
      </c>
      <c r="L270" s="376">
        <f t="shared" si="45"/>
        <v>40</v>
      </c>
      <c r="M270" s="377">
        <f t="shared" si="50"/>
        <v>0</v>
      </c>
      <c r="N270" s="377">
        <f t="shared" si="51"/>
        <v>0</v>
      </c>
      <c r="O270" s="377">
        <f t="shared" si="46"/>
        <v>0</v>
      </c>
      <c r="P270" s="377">
        <f t="shared" si="47"/>
        <v>0</v>
      </c>
      <c r="Q270" s="755">
        <v>1</v>
      </c>
      <c r="R270" s="378" t="str">
        <f t="shared" si="52"/>
        <v>L</v>
      </c>
      <c r="S270" s="379"/>
      <c r="T270" s="379"/>
      <c r="U270" s="756">
        <f t="shared" si="53"/>
        <v>3044</v>
      </c>
    </row>
    <row r="271" spans="1:21" ht="14.1" customHeight="1">
      <c r="A271" s="559">
        <v>271</v>
      </c>
      <c r="B271" s="375" t="s">
        <v>504</v>
      </c>
      <c r="C271" s="552" t="s">
        <v>520</v>
      </c>
      <c r="D271" s="757">
        <f>VLOOKUP(B271,Locatieoverzicht!$A$14:$E$21,5,FALSE)</f>
        <v>1</v>
      </c>
      <c r="E271" s="373">
        <v>0</v>
      </c>
      <c r="F271" s="648" t="s">
        <v>368</v>
      </c>
      <c r="G271" s="649" t="s">
        <v>398</v>
      </c>
      <c r="H271" s="374" t="str">
        <f t="shared" ref="H271:H334" si="54">IF($K271="",0,VLOOKUP($K271,Kengetal,3,FALSE))</f>
        <v>Gangen en hallen</v>
      </c>
      <c r="I271" s="375" t="s">
        <v>612</v>
      </c>
      <c r="J271" s="561">
        <v>28.13</v>
      </c>
      <c r="K271" s="612">
        <v>3200</v>
      </c>
      <c r="L271" s="376">
        <f t="shared" ref="L271:L334" si="55">SUM(IF(K271="",0,VLOOKUP(K271,Kengetal,2)))</f>
        <v>200</v>
      </c>
      <c r="M271" s="377">
        <f t="shared" si="50"/>
        <v>0</v>
      </c>
      <c r="N271" s="377">
        <f t="shared" si="51"/>
        <v>0</v>
      </c>
      <c r="O271" s="377">
        <f t="shared" ref="O271:O334" si="56">IF($K271="",0,VLOOKUP($K271,Kengetal,5,FALSE))</f>
        <v>0</v>
      </c>
      <c r="P271" s="377">
        <f t="shared" ref="P271:P334" si="57">IF($K271="",0,VLOOKUP($K271,Kengetal,6,FALSE))</f>
        <v>0</v>
      </c>
      <c r="Q271" s="755">
        <v>1</v>
      </c>
      <c r="R271" s="378" t="str">
        <f t="shared" si="52"/>
        <v>V</v>
      </c>
      <c r="S271" s="379"/>
      <c r="T271" s="379"/>
      <c r="U271" s="756">
        <f t="shared" si="53"/>
        <v>5626</v>
      </c>
    </row>
    <row r="272" spans="1:21" ht="14.1" customHeight="1">
      <c r="A272" s="559">
        <v>272</v>
      </c>
      <c r="B272" s="375" t="s">
        <v>504</v>
      </c>
      <c r="C272" s="552" t="s">
        <v>520</v>
      </c>
      <c r="D272" s="757">
        <f>VLOOKUP(B272,Locatieoverzicht!$A$14:$E$21,5,FALSE)</f>
        <v>1</v>
      </c>
      <c r="E272" s="373">
        <v>0</v>
      </c>
      <c r="F272" s="648" t="s">
        <v>369</v>
      </c>
      <c r="G272" s="649" t="s">
        <v>403</v>
      </c>
      <c r="H272" s="374" t="str">
        <f t="shared" si="54"/>
        <v>Personeelsruimten</v>
      </c>
      <c r="I272" s="375" t="s">
        <v>613</v>
      </c>
      <c r="J272" s="561">
        <v>56.3</v>
      </c>
      <c r="K272" s="612">
        <v>12200</v>
      </c>
      <c r="L272" s="376">
        <f t="shared" si="55"/>
        <v>200</v>
      </c>
      <c r="M272" s="377">
        <f t="shared" si="50"/>
        <v>0</v>
      </c>
      <c r="N272" s="377">
        <f t="shared" si="51"/>
        <v>0</v>
      </c>
      <c r="O272" s="377">
        <f t="shared" si="56"/>
        <v>0</v>
      </c>
      <c r="P272" s="377">
        <f t="shared" si="57"/>
        <v>0</v>
      </c>
      <c r="Q272" s="755">
        <v>1</v>
      </c>
      <c r="R272" s="378" t="str">
        <f t="shared" si="52"/>
        <v>V</v>
      </c>
      <c r="S272" s="379"/>
      <c r="T272" s="379"/>
      <c r="U272" s="756">
        <f t="shared" si="53"/>
        <v>11260</v>
      </c>
    </row>
    <row r="273" spans="1:21" ht="14.1" customHeight="1">
      <c r="A273" s="559">
        <v>273</v>
      </c>
      <c r="B273" s="375" t="s">
        <v>504</v>
      </c>
      <c r="C273" s="552" t="s">
        <v>520</v>
      </c>
      <c r="D273" s="757">
        <f>VLOOKUP(B273,Locatieoverzicht!$A$14:$E$21,5,FALSE)</f>
        <v>1</v>
      </c>
      <c r="E273" s="373">
        <v>0</v>
      </c>
      <c r="F273" s="648" t="s">
        <v>370</v>
      </c>
      <c r="G273" s="649" t="s">
        <v>606</v>
      </c>
      <c r="H273" s="374" t="str">
        <f t="shared" si="54"/>
        <v>Pantry/koffiecorner</v>
      </c>
      <c r="I273" s="375" t="s">
        <v>612</v>
      </c>
      <c r="J273" s="561">
        <v>10</v>
      </c>
      <c r="K273" s="612">
        <v>6200</v>
      </c>
      <c r="L273" s="376">
        <f t="shared" si="55"/>
        <v>200</v>
      </c>
      <c r="M273" s="377">
        <f t="shared" si="50"/>
        <v>0</v>
      </c>
      <c r="N273" s="377">
        <f t="shared" si="51"/>
        <v>0</v>
      </c>
      <c r="O273" s="377">
        <f t="shared" si="56"/>
        <v>0</v>
      </c>
      <c r="P273" s="377">
        <f t="shared" si="57"/>
        <v>0</v>
      </c>
      <c r="Q273" s="755">
        <v>1</v>
      </c>
      <c r="R273" s="378" t="str">
        <f t="shared" si="52"/>
        <v>V</v>
      </c>
      <c r="S273" s="379"/>
      <c r="T273" s="379"/>
      <c r="U273" s="756">
        <f t="shared" si="53"/>
        <v>2000</v>
      </c>
    </row>
    <row r="274" spans="1:21" ht="14.1" customHeight="1">
      <c r="A274" s="559">
        <v>274</v>
      </c>
      <c r="B274" s="375" t="s">
        <v>504</v>
      </c>
      <c r="C274" s="552" t="s">
        <v>520</v>
      </c>
      <c r="D274" s="757">
        <f>VLOOKUP(B274,Locatieoverzicht!$A$14:$E$21,5,FALSE)</f>
        <v>1</v>
      </c>
      <c r="E274" s="373">
        <v>0</v>
      </c>
      <c r="F274" s="648" t="s">
        <v>371</v>
      </c>
      <c r="G274" s="649" t="s">
        <v>398</v>
      </c>
      <c r="H274" s="374" t="str">
        <f t="shared" si="54"/>
        <v>Gangen en hallen</v>
      </c>
      <c r="I274" s="375" t="s">
        <v>612</v>
      </c>
      <c r="J274" s="561">
        <v>40</v>
      </c>
      <c r="K274" s="612">
        <v>3200</v>
      </c>
      <c r="L274" s="376">
        <f t="shared" si="55"/>
        <v>200</v>
      </c>
      <c r="M274" s="377">
        <f t="shared" si="50"/>
        <v>0</v>
      </c>
      <c r="N274" s="377">
        <f t="shared" si="51"/>
        <v>0</v>
      </c>
      <c r="O274" s="377">
        <f t="shared" si="56"/>
        <v>0</v>
      </c>
      <c r="P274" s="377">
        <f t="shared" si="57"/>
        <v>0</v>
      </c>
      <c r="Q274" s="755">
        <v>1</v>
      </c>
      <c r="R274" s="378" t="str">
        <f t="shared" si="52"/>
        <v>V</v>
      </c>
      <c r="S274" s="379"/>
      <c r="T274" s="379"/>
      <c r="U274" s="756">
        <f t="shared" si="53"/>
        <v>8000</v>
      </c>
    </row>
    <row r="275" spans="1:21" ht="14.1" customHeight="1">
      <c r="A275" s="559">
        <v>275</v>
      </c>
      <c r="B275" s="375" t="s">
        <v>504</v>
      </c>
      <c r="C275" s="552" t="s">
        <v>520</v>
      </c>
      <c r="D275" s="757">
        <f>VLOOKUP(B275,Locatieoverzicht!$A$14:$E$21,5,FALSE)</f>
        <v>1</v>
      </c>
      <c r="E275" s="373">
        <v>0</v>
      </c>
      <c r="F275" s="648" t="s">
        <v>372</v>
      </c>
      <c r="G275" s="649" t="s">
        <v>400</v>
      </c>
      <c r="H275" s="374" t="str">
        <f t="shared" si="54"/>
        <v>Sanitaire ruimten</v>
      </c>
      <c r="I275" s="375" t="s">
        <v>612</v>
      </c>
      <c r="J275" s="561">
        <v>3.35</v>
      </c>
      <c r="K275" s="612">
        <v>2200</v>
      </c>
      <c r="L275" s="376">
        <f t="shared" si="55"/>
        <v>200</v>
      </c>
      <c r="M275" s="377">
        <f t="shared" si="50"/>
        <v>0</v>
      </c>
      <c r="N275" s="377">
        <f t="shared" si="51"/>
        <v>0</v>
      </c>
      <c r="O275" s="377">
        <f t="shared" si="56"/>
        <v>0</v>
      </c>
      <c r="P275" s="377">
        <f t="shared" si="57"/>
        <v>0</v>
      </c>
      <c r="Q275" s="755">
        <v>1</v>
      </c>
      <c r="R275" s="378" t="str">
        <f t="shared" si="52"/>
        <v>S</v>
      </c>
      <c r="S275" s="379"/>
      <c r="T275" s="379"/>
      <c r="U275" s="756">
        <f t="shared" si="53"/>
        <v>670</v>
      </c>
    </row>
    <row r="276" spans="1:21" ht="14.1" customHeight="1">
      <c r="A276" s="559">
        <v>276</v>
      </c>
      <c r="B276" s="375" t="s">
        <v>504</v>
      </c>
      <c r="C276" s="552" t="s">
        <v>520</v>
      </c>
      <c r="D276" s="757">
        <f>VLOOKUP(B276,Locatieoverzicht!$A$14:$E$21,5,FALSE)</f>
        <v>1</v>
      </c>
      <c r="E276" s="373">
        <v>0</v>
      </c>
      <c r="F276" s="648" t="s">
        <v>373</v>
      </c>
      <c r="G276" s="649" t="s">
        <v>497</v>
      </c>
      <c r="H276" s="374" t="str">
        <f t="shared" si="54"/>
        <v>Mediatheek/Bibliotheek/Computerlokaal</v>
      </c>
      <c r="I276" s="375" t="s">
        <v>612</v>
      </c>
      <c r="J276" s="561">
        <v>65.400000000000006</v>
      </c>
      <c r="K276" s="612">
        <v>14080</v>
      </c>
      <c r="L276" s="376">
        <f t="shared" si="55"/>
        <v>80</v>
      </c>
      <c r="M276" s="377">
        <f t="shared" si="50"/>
        <v>0</v>
      </c>
      <c r="N276" s="377">
        <f t="shared" si="51"/>
        <v>0</v>
      </c>
      <c r="O276" s="377">
        <f t="shared" si="56"/>
        <v>0</v>
      </c>
      <c r="P276" s="377">
        <f t="shared" si="57"/>
        <v>0</v>
      </c>
      <c r="Q276" s="755">
        <v>1</v>
      </c>
      <c r="R276" s="378" t="str">
        <f t="shared" si="52"/>
        <v>V</v>
      </c>
      <c r="S276" s="379"/>
      <c r="T276" s="379"/>
      <c r="U276" s="756">
        <f t="shared" si="53"/>
        <v>5232</v>
      </c>
    </row>
    <row r="277" spans="1:21" ht="14.1" customHeight="1">
      <c r="A277" s="559">
        <v>277</v>
      </c>
      <c r="B277" s="375" t="s">
        <v>504</v>
      </c>
      <c r="C277" s="552" t="s">
        <v>520</v>
      </c>
      <c r="D277" s="757">
        <f>VLOOKUP(B277,Locatieoverzicht!$A$14:$E$21,5,FALSE)</f>
        <v>1</v>
      </c>
      <c r="E277" s="373">
        <v>0</v>
      </c>
      <c r="F277" s="648" t="s">
        <v>374</v>
      </c>
      <c r="G277" s="649" t="s">
        <v>401</v>
      </c>
      <c r="H277" s="374" t="str">
        <f t="shared" si="54"/>
        <v>Leslokaal regulier</v>
      </c>
      <c r="I277" s="375" t="s">
        <v>612</v>
      </c>
      <c r="J277" s="561">
        <v>51.6</v>
      </c>
      <c r="K277" s="612">
        <v>8040</v>
      </c>
      <c r="L277" s="376">
        <f t="shared" si="55"/>
        <v>40</v>
      </c>
      <c r="M277" s="377">
        <f t="shared" si="50"/>
        <v>0</v>
      </c>
      <c r="N277" s="377">
        <f t="shared" si="51"/>
        <v>0</v>
      </c>
      <c r="O277" s="377">
        <f t="shared" si="56"/>
        <v>0</v>
      </c>
      <c r="P277" s="377">
        <f t="shared" si="57"/>
        <v>0</v>
      </c>
      <c r="Q277" s="755">
        <v>1</v>
      </c>
      <c r="R277" s="378" t="str">
        <f t="shared" si="52"/>
        <v>L</v>
      </c>
      <c r="S277" s="379"/>
      <c r="T277" s="379"/>
      <c r="U277" s="756">
        <f t="shared" si="53"/>
        <v>2064</v>
      </c>
    </row>
    <row r="278" spans="1:21" ht="14.1" customHeight="1">
      <c r="A278" s="559">
        <v>278</v>
      </c>
      <c r="B278" s="375" t="s">
        <v>504</v>
      </c>
      <c r="C278" s="552" t="s">
        <v>520</v>
      </c>
      <c r="D278" s="757">
        <f>VLOOKUP(B278,Locatieoverzicht!$A$14:$E$21,5,FALSE)</f>
        <v>1</v>
      </c>
      <c r="E278" s="373">
        <v>0</v>
      </c>
      <c r="F278" s="648" t="s">
        <v>375</v>
      </c>
      <c r="G278" s="649" t="s">
        <v>401</v>
      </c>
      <c r="H278" s="374" t="str">
        <f t="shared" si="54"/>
        <v>Leslokaal regulier</v>
      </c>
      <c r="I278" s="375" t="s">
        <v>612</v>
      </c>
      <c r="J278" s="561">
        <v>51.6</v>
      </c>
      <c r="K278" s="612">
        <v>8040</v>
      </c>
      <c r="L278" s="376">
        <f t="shared" si="55"/>
        <v>40</v>
      </c>
      <c r="M278" s="377">
        <f t="shared" si="50"/>
        <v>0</v>
      </c>
      <c r="N278" s="377">
        <f t="shared" si="51"/>
        <v>0</v>
      </c>
      <c r="O278" s="377">
        <f t="shared" si="56"/>
        <v>0</v>
      </c>
      <c r="P278" s="377">
        <f t="shared" si="57"/>
        <v>0</v>
      </c>
      <c r="Q278" s="755">
        <v>1</v>
      </c>
      <c r="R278" s="378" t="str">
        <f t="shared" si="52"/>
        <v>L</v>
      </c>
      <c r="S278" s="379"/>
      <c r="T278" s="379"/>
      <c r="U278" s="756">
        <f t="shared" si="53"/>
        <v>2064</v>
      </c>
    </row>
    <row r="279" spans="1:21" ht="14.1" customHeight="1">
      <c r="A279" s="559">
        <v>279</v>
      </c>
      <c r="B279" s="375" t="s">
        <v>504</v>
      </c>
      <c r="C279" s="552" t="s">
        <v>520</v>
      </c>
      <c r="D279" s="757">
        <f>VLOOKUP(B279,Locatieoverzicht!$A$14:$E$21,5,FALSE)</f>
        <v>1</v>
      </c>
      <c r="E279" s="373">
        <v>0</v>
      </c>
      <c r="F279" s="648" t="s">
        <v>376</v>
      </c>
      <c r="G279" s="649" t="s">
        <v>398</v>
      </c>
      <c r="H279" s="374" t="str">
        <f t="shared" si="54"/>
        <v>Gangen en hallen</v>
      </c>
      <c r="I279" s="375" t="s">
        <v>612</v>
      </c>
      <c r="J279" s="561">
        <v>50.92</v>
      </c>
      <c r="K279" s="612">
        <v>3200</v>
      </c>
      <c r="L279" s="376">
        <f t="shared" si="55"/>
        <v>200</v>
      </c>
      <c r="M279" s="377">
        <f t="shared" si="50"/>
        <v>0</v>
      </c>
      <c r="N279" s="377">
        <f t="shared" si="51"/>
        <v>0</v>
      </c>
      <c r="O279" s="377">
        <f t="shared" si="56"/>
        <v>0</v>
      </c>
      <c r="P279" s="377">
        <f t="shared" si="57"/>
        <v>0</v>
      </c>
      <c r="Q279" s="755">
        <v>1</v>
      </c>
      <c r="R279" s="378" t="str">
        <f t="shared" si="52"/>
        <v>V</v>
      </c>
      <c r="S279" s="379"/>
      <c r="T279" s="379"/>
      <c r="U279" s="756">
        <f t="shared" si="53"/>
        <v>10184</v>
      </c>
    </row>
    <row r="280" spans="1:21" ht="14.1" customHeight="1">
      <c r="A280" s="559">
        <v>280</v>
      </c>
      <c r="B280" s="375" t="s">
        <v>504</v>
      </c>
      <c r="C280" s="552" t="s">
        <v>520</v>
      </c>
      <c r="D280" s="757">
        <f>VLOOKUP(B280,Locatieoverzicht!$A$14:$E$21,5,FALSE)</f>
        <v>1</v>
      </c>
      <c r="E280" s="373"/>
      <c r="F280" s="647" t="s">
        <v>555</v>
      </c>
      <c r="G280" s="649" t="s">
        <v>550</v>
      </c>
      <c r="H280" s="374" t="str">
        <f t="shared" si="54"/>
        <v>Trappenhuizen</v>
      </c>
      <c r="I280" s="375" t="s">
        <v>612</v>
      </c>
      <c r="J280" s="561">
        <v>7.2750000000000004</v>
      </c>
      <c r="K280" s="612">
        <v>5200</v>
      </c>
      <c r="L280" s="376">
        <f t="shared" si="55"/>
        <v>200</v>
      </c>
      <c r="M280" s="377">
        <f t="shared" si="50"/>
        <v>0</v>
      </c>
      <c r="N280" s="377">
        <f t="shared" si="51"/>
        <v>0</v>
      </c>
      <c r="O280" s="377">
        <f t="shared" si="56"/>
        <v>0</v>
      </c>
      <c r="P280" s="377">
        <f t="shared" si="57"/>
        <v>0</v>
      </c>
      <c r="Q280" s="755">
        <v>1</v>
      </c>
      <c r="R280" s="378" t="str">
        <f t="shared" si="52"/>
        <v>V</v>
      </c>
      <c r="S280" s="379"/>
      <c r="T280" s="379"/>
      <c r="U280" s="756">
        <f t="shared" si="53"/>
        <v>1455</v>
      </c>
    </row>
    <row r="281" spans="1:21" ht="14.1" customHeight="1">
      <c r="A281" s="559">
        <v>281</v>
      </c>
      <c r="B281" s="375" t="s">
        <v>504</v>
      </c>
      <c r="C281" s="552" t="s">
        <v>520</v>
      </c>
      <c r="D281" s="757">
        <f>VLOOKUP(B281,Locatieoverzicht!$A$14:$E$21,5,FALSE)</f>
        <v>1</v>
      </c>
      <c r="E281" s="373">
        <v>0</v>
      </c>
      <c r="F281" s="647" t="s">
        <v>377</v>
      </c>
      <c r="G281" s="649" t="s">
        <v>513</v>
      </c>
      <c r="H281" s="374" t="str">
        <f t="shared" si="54"/>
        <v>Niet van toepassing</v>
      </c>
      <c r="I281" s="375" t="s">
        <v>612</v>
      </c>
      <c r="J281" s="561">
        <v>2.2999999999999998</v>
      </c>
      <c r="K281" s="612" t="s">
        <v>239</v>
      </c>
      <c r="L281" s="376">
        <f t="shared" si="55"/>
        <v>0</v>
      </c>
      <c r="M281" s="377">
        <f t="shared" si="50"/>
        <v>0</v>
      </c>
      <c r="N281" s="377">
        <f t="shared" si="51"/>
        <v>0</v>
      </c>
      <c r="O281" s="377">
        <f t="shared" si="56"/>
        <v>0</v>
      </c>
      <c r="P281" s="377">
        <f t="shared" si="57"/>
        <v>0</v>
      </c>
      <c r="Q281" s="755">
        <v>1</v>
      </c>
      <c r="R281" s="378">
        <f t="shared" si="52"/>
        <v>0</v>
      </c>
      <c r="S281" s="379"/>
      <c r="T281" s="379"/>
      <c r="U281" s="756">
        <f t="shared" si="53"/>
        <v>0</v>
      </c>
    </row>
    <row r="282" spans="1:21" ht="14.1" customHeight="1">
      <c r="A282" s="559">
        <v>282</v>
      </c>
      <c r="B282" s="375" t="s">
        <v>504</v>
      </c>
      <c r="C282" s="552" t="s">
        <v>520</v>
      </c>
      <c r="D282" s="757">
        <f>VLOOKUP(B282,Locatieoverzicht!$A$14:$E$21,5,FALSE)</f>
        <v>1</v>
      </c>
      <c r="E282" s="373">
        <v>0</v>
      </c>
      <c r="F282" s="647" t="s">
        <v>378</v>
      </c>
      <c r="G282" s="649" t="s">
        <v>400</v>
      </c>
      <c r="H282" s="374" t="str">
        <f t="shared" si="54"/>
        <v>Sanitaire ruimten</v>
      </c>
      <c r="I282" s="375" t="s">
        <v>612</v>
      </c>
      <c r="J282" s="561">
        <v>4.8499999999999996</v>
      </c>
      <c r="K282" s="612">
        <v>2200</v>
      </c>
      <c r="L282" s="376">
        <f t="shared" si="55"/>
        <v>200</v>
      </c>
      <c r="M282" s="377">
        <f t="shared" si="50"/>
        <v>0</v>
      </c>
      <c r="N282" s="377">
        <f t="shared" si="51"/>
        <v>0</v>
      </c>
      <c r="O282" s="377">
        <f t="shared" si="56"/>
        <v>0</v>
      </c>
      <c r="P282" s="377">
        <f t="shared" si="57"/>
        <v>0</v>
      </c>
      <c r="Q282" s="755">
        <v>1</v>
      </c>
      <c r="R282" s="378" t="str">
        <f t="shared" si="52"/>
        <v>S</v>
      </c>
      <c r="S282" s="379"/>
      <c r="T282" s="379"/>
      <c r="U282" s="756">
        <f t="shared" si="53"/>
        <v>969.99999999999989</v>
      </c>
    </row>
    <row r="283" spans="1:21" ht="14.1" customHeight="1">
      <c r="A283" s="559">
        <v>283</v>
      </c>
      <c r="B283" s="375" t="s">
        <v>504</v>
      </c>
      <c r="C283" s="552" t="s">
        <v>520</v>
      </c>
      <c r="D283" s="757">
        <f>VLOOKUP(B283,Locatieoverzicht!$A$14:$E$21,5,FALSE)</f>
        <v>1</v>
      </c>
      <c r="E283" s="373">
        <v>0</v>
      </c>
      <c r="F283" s="647" t="s">
        <v>379</v>
      </c>
      <c r="G283" s="649" t="s">
        <v>400</v>
      </c>
      <c r="H283" s="374" t="str">
        <f t="shared" si="54"/>
        <v>Sanitaire ruimten</v>
      </c>
      <c r="I283" s="375" t="s">
        <v>612</v>
      </c>
      <c r="J283" s="561">
        <v>8.8000000000000007</v>
      </c>
      <c r="K283" s="612">
        <v>2200</v>
      </c>
      <c r="L283" s="376">
        <f t="shared" si="55"/>
        <v>200</v>
      </c>
      <c r="M283" s="377">
        <f t="shared" si="50"/>
        <v>0</v>
      </c>
      <c r="N283" s="377">
        <f t="shared" si="51"/>
        <v>0</v>
      </c>
      <c r="O283" s="377">
        <f t="shared" si="56"/>
        <v>0</v>
      </c>
      <c r="P283" s="377">
        <f t="shared" si="57"/>
        <v>0</v>
      </c>
      <c r="Q283" s="755">
        <v>1</v>
      </c>
      <c r="R283" s="378" t="str">
        <f t="shared" si="52"/>
        <v>S</v>
      </c>
      <c r="S283" s="379"/>
      <c r="T283" s="379"/>
      <c r="U283" s="756">
        <f t="shared" si="53"/>
        <v>1760.0000000000002</v>
      </c>
    </row>
    <row r="284" spans="1:21" ht="14.1" customHeight="1">
      <c r="A284" s="559">
        <v>284</v>
      </c>
      <c r="B284" s="375" t="s">
        <v>504</v>
      </c>
      <c r="C284" s="552" t="s">
        <v>520</v>
      </c>
      <c r="D284" s="757">
        <f>VLOOKUP(B284,Locatieoverzicht!$A$14:$E$21,5,FALSE)</f>
        <v>1</v>
      </c>
      <c r="E284" s="373">
        <v>0</v>
      </c>
      <c r="F284" s="647" t="s">
        <v>380</v>
      </c>
      <c r="G284" s="649" t="s">
        <v>401</v>
      </c>
      <c r="H284" s="374" t="str">
        <f t="shared" si="54"/>
        <v>Leslokaal regulier</v>
      </c>
      <c r="I284" s="375" t="s">
        <v>612</v>
      </c>
      <c r="J284" s="561">
        <v>51.5</v>
      </c>
      <c r="K284" s="612">
        <v>8040</v>
      </c>
      <c r="L284" s="376">
        <f t="shared" si="55"/>
        <v>40</v>
      </c>
      <c r="M284" s="377">
        <f t="shared" si="50"/>
        <v>0</v>
      </c>
      <c r="N284" s="377">
        <f t="shared" si="51"/>
        <v>0</v>
      </c>
      <c r="O284" s="377">
        <f t="shared" si="56"/>
        <v>0</v>
      </c>
      <c r="P284" s="377">
        <f t="shared" si="57"/>
        <v>0</v>
      </c>
      <c r="Q284" s="755">
        <v>1</v>
      </c>
      <c r="R284" s="378" t="str">
        <f t="shared" si="52"/>
        <v>L</v>
      </c>
      <c r="S284" s="379"/>
      <c r="T284" s="379"/>
      <c r="U284" s="756">
        <f t="shared" si="53"/>
        <v>2060</v>
      </c>
    </row>
    <row r="285" spans="1:21" ht="14.1" customHeight="1">
      <c r="A285" s="559">
        <v>285</v>
      </c>
      <c r="B285" s="375" t="s">
        <v>504</v>
      </c>
      <c r="C285" s="552" t="s">
        <v>520</v>
      </c>
      <c r="D285" s="757">
        <f>VLOOKUP(B285,Locatieoverzicht!$A$14:$E$21,5,FALSE)</f>
        <v>1</v>
      </c>
      <c r="E285" s="373">
        <v>0</v>
      </c>
      <c r="F285" s="647" t="s">
        <v>505</v>
      </c>
      <c r="G285" s="649" t="s">
        <v>400</v>
      </c>
      <c r="H285" s="374" t="str">
        <f t="shared" si="54"/>
        <v>Sanitaire ruimten</v>
      </c>
      <c r="I285" s="375" t="s">
        <v>612</v>
      </c>
      <c r="J285" s="561">
        <v>8.8000000000000007</v>
      </c>
      <c r="K285" s="612">
        <v>2200</v>
      </c>
      <c r="L285" s="376">
        <f t="shared" si="55"/>
        <v>200</v>
      </c>
      <c r="M285" s="377">
        <f t="shared" si="50"/>
        <v>0</v>
      </c>
      <c r="N285" s="377">
        <f t="shared" si="51"/>
        <v>0</v>
      </c>
      <c r="O285" s="377">
        <f t="shared" si="56"/>
        <v>0</v>
      </c>
      <c r="P285" s="377">
        <f t="shared" si="57"/>
        <v>0</v>
      </c>
      <c r="Q285" s="755">
        <v>1</v>
      </c>
      <c r="R285" s="378" t="str">
        <f t="shared" si="52"/>
        <v>S</v>
      </c>
      <c r="S285" s="379"/>
      <c r="T285" s="379"/>
      <c r="U285" s="756">
        <f t="shared" si="53"/>
        <v>1760.0000000000002</v>
      </c>
    </row>
    <row r="286" spans="1:21" ht="14.1" customHeight="1">
      <c r="A286" s="559">
        <v>286</v>
      </c>
      <c r="B286" s="375" t="s">
        <v>504</v>
      </c>
      <c r="C286" s="552" t="s">
        <v>520</v>
      </c>
      <c r="D286" s="757">
        <f>VLOOKUP(B286,Locatieoverzicht!$A$14:$E$21,5,FALSE)</f>
        <v>1</v>
      </c>
      <c r="E286" s="373">
        <v>0</v>
      </c>
      <c r="F286" s="647" t="s">
        <v>506</v>
      </c>
      <c r="G286" s="649" t="s">
        <v>402</v>
      </c>
      <c r="H286" s="374" t="str">
        <f t="shared" si="54"/>
        <v>Administratieve ruimten</v>
      </c>
      <c r="I286" s="375" t="s">
        <v>612</v>
      </c>
      <c r="J286" s="561">
        <v>16.5</v>
      </c>
      <c r="K286" s="612">
        <v>1040</v>
      </c>
      <c r="L286" s="376">
        <f t="shared" si="55"/>
        <v>40</v>
      </c>
      <c r="M286" s="377">
        <f t="shared" si="50"/>
        <v>0</v>
      </c>
      <c r="N286" s="377">
        <f t="shared" si="51"/>
        <v>0</v>
      </c>
      <c r="O286" s="377">
        <f t="shared" si="56"/>
        <v>0</v>
      </c>
      <c r="P286" s="377">
        <f t="shared" si="57"/>
        <v>0</v>
      </c>
      <c r="Q286" s="755">
        <v>1</v>
      </c>
      <c r="R286" s="378" t="str">
        <f t="shared" si="52"/>
        <v>B</v>
      </c>
      <c r="S286" s="379"/>
      <c r="T286" s="379"/>
      <c r="U286" s="756">
        <f t="shared" si="53"/>
        <v>660</v>
      </c>
    </row>
    <row r="287" spans="1:21" ht="14.1" customHeight="1">
      <c r="A287" s="559">
        <v>287</v>
      </c>
      <c r="B287" s="375" t="s">
        <v>504</v>
      </c>
      <c r="C287" s="552" t="s">
        <v>520</v>
      </c>
      <c r="D287" s="757">
        <f>VLOOKUP(B287,Locatieoverzicht!$A$14:$E$21,5,FALSE)</f>
        <v>1</v>
      </c>
      <c r="E287" s="373">
        <v>0</v>
      </c>
      <c r="F287" s="647" t="s">
        <v>507</v>
      </c>
      <c r="G287" s="649" t="s">
        <v>401</v>
      </c>
      <c r="H287" s="374" t="str">
        <f t="shared" si="54"/>
        <v>Leslokaal regulier</v>
      </c>
      <c r="I287" s="375" t="s">
        <v>612</v>
      </c>
      <c r="J287" s="561">
        <v>51.4</v>
      </c>
      <c r="K287" s="612">
        <v>8040</v>
      </c>
      <c r="L287" s="376">
        <f t="shared" si="55"/>
        <v>40</v>
      </c>
      <c r="M287" s="377">
        <f t="shared" si="50"/>
        <v>0</v>
      </c>
      <c r="N287" s="377">
        <f t="shared" si="51"/>
        <v>0</v>
      </c>
      <c r="O287" s="377">
        <f t="shared" si="56"/>
        <v>0</v>
      </c>
      <c r="P287" s="377">
        <f t="shared" si="57"/>
        <v>0</v>
      </c>
      <c r="Q287" s="755">
        <v>1</v>
      </c>
      <c r="R287" s="378" t="str">
        <f t="shared" si="52"/>
        <v>L</v>
      </c>
      <c r="S287" s="379"/>
      <c r="T287" s="379"/>
      <c r="U287" s="756">
        <f t="shared" si="53"/>
        <v>2056</v>
      </c>
    </row>
    <row r="288" spans="1:21" ht="14.1" customHeight="1">
      <c r="A288" s="559">
        <v>288</v>
      </c>
      <c r="B288" s="375" t="s">
        <v>504</v>
      </c>
      <c r="C288" s="552" t="s">
        <v>520</v>
      </c>
      <c r="D288" s="757">
        <f>VLOOKUP(B288,Locatieoverzicht!$A$14:$E$21,5,FALSE)</f>
        <v>1</v>
      </c>
      <c r="E288" s="373">
        <v>0</v>
      </c>
      <c r="F288" s="647" t="s">
        <v>508</v>
      </c>
      <c r="G288" s="650" t="s">
        <v>402</v>
      </c>
      <c r="H288" s="374" t="str">
        <f t="shared" si="54"/>
        <v>Administratieve ruimten</v>
      </c>
      <c r="I288" s="375" t="s">
        <v>612</v>
      </c>
      <c r="J288" s="561">
        <v>12.7</v>
      </c>
      <c r="K288" s="612">
        <v>1040</v>
      </c>
      <c r="L288" s="376">
        <f t="shared" si="55"/>
        <v>40</v>
      </c>
      <c r="M288" s="377">
        <f t="shared" si="50"/>
        <v>0</v>
      </c>
      <c r="N288" s="377">
        <f t="shared" si="51"/>
        <v>0</v>
      </c>
      <c r="O288" s="377">
        <f t="shared" si="56"/>
        <v>0</v>
      </c>
      <c r="P288" s="377">
        <f t="shared" si="57"/>
        <v>0</v>
      </c>
      <c r="Q288" s="755">
        <v>1</v>
      </c>
      <c r="R288" s="378" t="str">
        <f t="shared" si="52"/>
        <v>B</v>
      </c>
      <c r="S288" s="379"/>
      <c r="T288" s="379"/>
      <c r="U288" s="756">
        <f t="shared" si="53"/>
        <v>508</v>
      </c>
    </row>
    <row r="289" spans="1:21" ht="14.1" customHeight="1">
      <c r="A289" s="559">
        <v>289</v>
      </c>
      <c r="B289" s="375" t="s">
        <v>504</v>
      </c>
      <c r="C289" s="552" t="s">
        <v>520</v>
      </c>
      <c r="D289" s="757">
        <f>VLOOKUP(B289,Locatieoverzicht!$A$14:$E$21,5,FALSE)</f>
        <v>1</v>
      </c>
      <c r="E289" s="373">
        <v>0</v>
      </c>
      <c r="F289" s="647" t="s">
        <v>509</v>
      </c>
      <c r="G289" s="649" t="s">
        <v>401</v>
      </c>
      <c r="H289" s="374" t="str">
        <f t="shared" si="54"/>
        <v>Leslokaal regulier</v>
      </c>
      <c r="I289" s="375" t="s">
        <v>612</v>
      </c>
      <c r="J289" s="561">
        <v>32</v>
      </c>
      <c r="K289" s="612">
        <v>8040</v>
      </c>
      <c r="L289" s="376">
        <f t="shared" si="55"/>
        <v>40</v>
      </c>
      <c r="M289" s="377">
        <f t="shared" si="50"/>
        <v>0</v>
      </c>
      <c r="N289" s="377">
        <f t="shared" si="51"/>
        <v>0</v>
      </c>
      <c r="O289" s="377">
        <f t="shared" si="56"/>
        <v>0</v>
      </c>
      <c r="P289" s="377">
        <f t="shared" si="57"/>
        <v>0</v>
      </c>
      <c r="Q289" s="755">
        <v>1</v>
      </c>
      <c r="R289" s="378" t="str">
        <f t="shared" si="52"/>
        <v>L</v>
      </c>
      <c r="S289" s="379"/>
      <c r="T289" s="379"/>
      <c r="U289" s="756">
        <f t="shared" si="53"/>
        <v>1280</v>
      </c>
    </row>
    <row r="290" spans="1:21" ht="14.1" customHeight="1">
      <c r="A290" s="559">
        <v>290</v>
      </c>
      <c r="B290" s="375" t="s">
        <v>504</v>
      </c>
      <c r="C290" s="552" t="s">
        <v>520</v>
      </c>
      <c r="D290" s="757">
        <f>VLOOKUP(B290,Locatieoverzicht!$A$14:$E$21,5,FALSE)</f>
        <v>1</v>
      </c>
      <c r="E290" s="373">
        <v>0</v>
      </c>
      <c r="F290" s="647" t="s">
        <v>510</v>
      </c>
      <c r="G290" s="649" t="s">
        <v>550</v>
      </c>
      <c r="H290" s="374" t="str">
        <f t="shared" si="54"/>
        <v>Trappenhuizen</v>
      </c>
      <c r="I290" s="375" t="s">
        <v>612</v>
      </c>
      <c r="J290" s="561">
        <v>16.7</v>
      </c>
      <c r="K290" s="612">
        <v>5200</v>
      </c>
      <c r="L290" s="376">
        <f t="shared" si="55"/>
        <v>200</v>
      </c>
      <c r="M290" s="377">
        <f t="shared" si="50"/>
        <v>0</v>
      </c>
      <c r="N290" s="377">
        <f t="shared" si="51"/>
        <v>0</v>
      </c>
      <c r="O290" s="377">
        <f t="shared" si="56"/>
        <v>0</v>
      </c>
      <c r="P290" s="377">
        <f t="shared" si="57"/>
        <v>0</v>
      </c>
      <c r="Q290" s="755">
        <v>1</v>
      </c>
      <c r="R290" s="378" t="str">
        <f t="shared" si="52"/>
        <v>V</v>
      </c>
      <c r="S290" s="379"/>
      <c r="T290" s="379"/>
      <c r="U290" s="756">
        <f t="shared" si="53"/>
        <v>3340</v>
      </c>
    </row>
    <row r="291" spans="1:21" ht="14.1" customHeight="1">
      <c r="A291" s="559">
        <v>291</v>
      </c>
      <c r="B291" s="375" t="s">
        <v>504</v>
      </c>
      <c r="C291" s="552" t="s">
        <v>520</v>
      </c>
      <c r="D291" s="757">
        <f>VLOOKUP(B291,Locatieoverzicht!$A$14:$E$21,5,FALSE)</f>
        <v>1</v>
      </c>
      <c r="E291" s="373">
        <v>0</v>
      </c>
      <c r="F291" s="647" t="s">
        <v>511</v>
      </c>
      <c r="G291" s="649" t="s">
        <v>398</v>
      </c>
      <c r="H291" s="374" t="str">
        <f t="shared" si="54"/>
        <v>Gangen en hallen</v>
      </c>
      <c r="I291" s="375" t="s">
        <v>612</v>
      </c>
      <c r="J291" s="561">
        <v>41.05</v>
      </c>
      <c r="K291" s="612">
        <v>3200</v>
      </c>
      <c r="L291" s="376">
        <f t="shared" si="55"/>
        <v>200</v>
      </c>
      <c r="M291" s="377">
        <f t="shared" si="50"/>
        <v>0</v>
      </c>
      <c r="N291" s="377">
        <f t="shared" si="51"/>
        <v>0</v>
      </c>
      <c r="O291" s="377">
        <f t="shared" si="56"/>
        <v>0</v>
      </c>
      <c r="P291" s="377">
        <f t="shared" si="57"/>
        <v>0</v>
      </c>
      <c r="Q291" s="755">
        <v>1</v>
      </c>
      <c r="R291" s="378" t="str">
        <f t="shared" si="52"/>
        <v>V</v>
      </c>
      <c r="S291" s="379"/>
      <c r="T291" s="379"/>
      <c r="U291" s="756">
        <f t="shared" si="53"/>
        <v>8210</v>
      </c>
    </row>
    <row r="292" spans="1:21" ht="14.1" customHeight="1">
      <c r="A292" s="559">
        <v>292</v>
      </c>
      <c r="B292" s="375" t="s">
        <v>504</v>
      </c>
      <c r="C292" s="552" t="s">
        <v>520</v>
      </c>
      <c r="D292" s="757">
        <f>VLOOKUP(B292,Locatieoverzicht!$A$14:$E$21,5,FALSE)</f>
        <v>1</v>
      </c>
      <c r="E292" s="373">
        <v>1</v>
      </c>
      <c r="F292" s="647" t="s">
        <v>408</v>
      </c>
      <c r="G292" s="649" t="s">
        <v>398</v>
      </c>
      <c r="H292" s="374" t="str">
        <f t="shared" si="54"/>
        <v>Gangen en hallen</v>
      </c>
      <c r="I292" s="375" t="s">
        <v>612</v>
      </c>
      <c r="J292" s="561">
        <v>12.8</v>
      </c>
      <c r="K292" s="612">
        <v>3200</v>
      </c>
      <c r="L292" s="376">
        <f t="shared" si="55"/>
        <v>200</v>
      </c>
      <c r="M292" s="377">
        <f t="shared" si="50"/>
        <v>0</v>
      </c>
      <c r="N292" s="377">
        <f t="shared" si="51"/>
        <v>0</v>
      </c>
      <c r="O292" s="377">
        <f t="shared" si="56"/>
        <v>0</v>
      </c>
      <c r="P292" s="377">
        <f t="shared" si="57"/>
        <v>0</v>
      </c>
      <c r="Q292" s="755">
        <v>1</v>
      </c>
      <c r="R292" s="378" t="str">
        <f t="shared" si="52"/>
        <v>V</v>
      </c>
      <c r="S292" s="379"/>
      <c r="T292" s="379"/>
      <c r="U292" s="756">
        <f t="shared" si="53"/>
        <v>2560</v>
      </c>
    </row>
    <row r="293" spans="1:21" ht="14.1" customHeight="1">
      <c r="A293" s="559">
        <v>293</v>
      </c>
      <c r="B293" s="375" t="s">
        <v>504</v>
      </c>
      <c r="C293" s="552" t="s">
        <v>520</v>
      </c>
      <c r="D293" s="757">
        <f>VLOOKUP(B293,Locatieoverzicht!$A$14:$E$21,5,FALSE)</f>
        <v>1</v>
      </c>
      <c r="E293" s="373">
        <v>1</v>
      </c>
      <c r="F293" s="647" t="s">
        <v>409</v>
      </c>
      <c r="G293" s="649" t="s">
        <v>400</v>
      </c>
      <c r="H293" s="374" t="str">
        <f t="shared" si="54"/>
        <v>Sanitaire ruimten</v>
      </c>
      <c r="I293" s="375" t="s">
        <v>612</v>
      </c>
      <c r="J293" s="561">
        <v>2.1</v>
      </c>
      <c r="K293" s="612">
        <v>2200</v>
      </c>
      <c r="L293" s="376">
        <f t="shared" si="55"/>
        <v>200</v>
      </c>
      <c r="M293" s="377">
        <f t="shared" si="50"/>
        <v>0</v>
      </c>
      <c r="N293" s="377">
        <f t="shared" si="51"/>
        <v>0</v>
      </c>
      <c r="O293" s="377">
        <f t="shared" si="56"/>
        <v>0</v>
      </c>
      <c r="P293" s="377">
        <f t="shared" si="57"/>
        <v>0</v>
      </c>
      <c r="Q293" s="755">
        <v>1</v>
      </c>
      <c r="R293" s="378" t="str">
        <f t="shared" si="52"/>
        <v>S</v>
      </c>
      <c r="S293" s="379"/>
      <c r="T293" s="379"/>
      <c r="U293" s="756">
        <f t="shared" si="53"/>
        <v>420</v>
      </c>
    </row>
    <row r="294" spans="1:21" ht="14.1" customHeight="1">
      <c r="A294" s="559">
        <v>294</v>
      </c>
      <c r="B294" s="375" t="s">
        <v>504</v>
      </c>
      <c r="C294" s="552" t="s">
        <v>520</v>
      </c>
      <c r="D294" s="757">
        <f>VLOOKUP(B294,Locatieoverzicht!$A$14:$E$21,5,FALSE)</f>
        <v>1</v>
      </c>
      <c r="E294" s="373">
        <v>1</v>
      </c>
      <c r="F294" s="647" t="s">
        <v>410</v>
      </c>
      <c r="G294" s="649" t="s">
        <v>398</v>
      </c>
      <c r="H294" s="374" t="str">
        <f t="shared" si="54"/>
        <v>Gangen en hallen</v>
      </c>
      <c r="I294" s="375" t="s">
        <v>612</v>
      </c>
      <c r="J294" s="561">
        <v>50.3</v>
      </c>
      <c r="K294" s="612">
        <v>3200</v>
      </c>
      <c r="L294" s="376">
        <f t="shared" si="55"/>
        <v>200</v>
      </c>
      <c r="M294" s="377">
        <f t="shared" si="50"/>
        <v>0</v>
      </c>
      <c r="N294" s="377">
        <f t="shared" si="51"/>
        <v>0</v>
      </c>
      <c r="O294" s="377">
        <f t="shared" si="56"/>
        <v>0</v>
      </c>
      <c r="P294" s="377">
        <f t="shared" si="57"/>
        <v>0</v>
      </c>
      <c r="Q294" s="755">
        <v>1</v>
      </c>
      <c r="R294" s="378" t="str">
        <f t="shared" si="52"/>
        <v>V</v>
      </c>
      <c r="S294" s="379"/>
      <c r="T294" s="379"/>
      <c r="U294" s="756">
        <f t="shared" si="53"/>
        <v>10060</v>
      </c>
    </row>
    <row r="295" spans="1:21" ht="14.1" customHeight="1">
      <c r="A295" s="559">
        <v>295</v>
      </c>
      <c r="B295" s="375" t="s">
        <v>504</v>
      </c>
      <c r="C295" s="552" t="s">
        <v>520</v>
      </c>
      <c r="D295" s="757">
        <f>VLOOKUP(B295,Locatieoverzicht!$A$14:$E$21,5,FALSE)</f>
        <v>1</v>
      </c>
      <c r="E295" s="373">
        <v>1</v>
      </c>
      <c r="F295" s="647" t="s">
        <v>411</v>
      </c>
      <c r="G295" s="649" t="s">
        <v>401</v>
      </c>
      <c r="H295" s="374" t="str">
        <f t="shared" si="54"/>
        <v>Leslokaal regulier</v>
      </c>
      <c r="I295" s="375" t="s">
        <v>613</v>
      </c>
      <c r="J295" s="561">
        <v>35.4</v>
      </c>
      <c r="K295" s="612">
        <v>8040</v>
      </c>
      <c r="L295" s="376">
        <f t="shared" si="55"/>
        <v>40</v>
      </c>
      <c r="M295" s="377">
        <f t="shared" si="50"/>
        <v>0</v>
      </c>
      <c r="N295" s="377">
        <f t="shared" si="51"/>
        <v>0</v>
      </c>
      <c r="O295" s="377">
        <f t="shared" si="56"/>
        <v>0</v>
      </c>
      <c r="P295" s="377">
        <f t="shared" si="57"/>
        <v>0</v>
      </c>
      <c r="Q295" s="755">
        <v>1</v>
      </c>
      <c r="R295" s="378" t="str">
        <f t="shared" si="52"/>
        <v>L</v>
      </c>
      <c r="S295" s="379"/>
      <c r="T295" s="379"/>
      <c r="U295" s="756">
        <f t="shared" si="53"/>
        <v>1416</v>
      </c>
    </row>
    <row r="296" spans="1:21" ht="14.1" customHeight="1">
      <c r="A296" s="559">
        <v>296</v>
      </c>
      <c r="B296" s="375" t="s">
        <v>504</v>
      </c>
      <c r="C296" s="552" t="s">
        <v>520</v>
      </c>
      <c r="D296" s="757">
        <f>VLOOKUP(B296,Locatieoverzicht!$A$14:$E$21,5,FALSE)</f>
        <v>1</v>
      </c>
      <c r="E296" s="373">
        <v>1</v>
      </c>
      <c r="F296" s="647" t="s">
        <v>412</v>
      </c>
      <c r="G296" s="649" t="s">
        <v>402</v>
      </c>
      <c r="H296" s="374" t="str">
        <f t="shared" si="54"/>
        <v>Administratieve ruimten</v>
      </c>
      <c r="I296" s="375" t="s">
        <v>613</v>
      </c>
      <c r="J296" s="561">
        <v>25.5</v>
      </c>
      <c r="K296" s="612">
        <v>1040</v>
      </c>
      <c r="L296" s="376">
        <f t="shared" si="55"/>
        <v>40</v>
      </c>
      <c r="M296" s="377">
        <f t="shared" si="50"/>
        <v>0</v>
      </c>
      <c r="N296" s="377">
        <f t="shared" si="51"/>
        <v>0</v>
      </c>
      <c r="O296" s="377">
        <f t="shared" si="56"/>
        <v>0</v>
      </c>
      <c r="P296" s="377">
        <f t="shared" si="57"/>
        <v>0</v>
      </c>
      <c r="Q296" s="755">
        <v>1</v>
      </c>
      <c r="R296" s="378" t="str">
        <f t="shared" si="52"/>
        <v>B</v>
      </c>
      <c r="S296" s="379"/>
      <c r="T296" s="379"/>
      <c r="U296" s="756">
        <f t="shared" si="53"/>
        <v>1020</v>
      </c>
    </row>
    <row r="297" spans="1:21" ht="14.1" customHeight="1">
      <c r="A297" s="559">
        <v>297</v>
      </c>
      <c r="B297" s="375" t="s">
        <v>504</v>
      </c>
      <c r="C297" s="552" t="s">
        <v>520</v>
      </c>
      <c r="D297" s="757">
        <f>VLOOKUP(B297,Locatieoverzicht!$A$14:$E$21,5,FALSE)</f>
        <v>1</v>
      </c>
      <c r="E297" s="373">
        <v>1</v>
      </c>
      <c r="F297" s="647" t="s">
        <v>413</v>
      </c>
      <c r="G297" s="649" t="s">
        <v>402</v>
      </c>
      <c r="H297" s="374" t="str">
        <f t="shared" si="54"/>
        <v>Administratieve ruimten</v>
      </c>
      <c r="I297" s="375" t="s">
        <v>613</v>
      </c>
      <c r="J297" s="561">
        <v>40.4</v>
      </c>
      <c r="K297" s="612">
        <v>1040</v>
      </c>
      <c r="L297" s="376">
        <f t="shared" si="55"/>
        <v>40</v>
      </c>
      <c r="M297" s="377">
        <f t="shared" si="50"/>
        <v>0</v>
      </c>
      <c r="N297" s="377">
        <f t="shared" si="51"/>
        <v>0</v>
      </c>
      <c r="O297" s="377">
        <f t="shared" si="56"/>
        <v>0</v>
      </c>
      <c r="P297" s="377">
        <f t="shared" si="57"/>
        <v>0</v>
      </c>
      <c r="Q297" s="755">
        <v>1</v>
      </c>
      <c r="R297" s="378" t="str">
        <f t="shared" si="52"/>
        <v>B</v>
      </c>
      <c r="S297" s="379"/>
      <c r="T297" s="379"/>
      <c r="U297" s="756">
        <f t="shared" si="53"/>
        <v>1616</v>
      </c>
    </row>
    <row r="298" spans="1:21" ht="14.1" customHeight="1">
      <c r="A298" s="559">
        <v>298</v>
      </c>
      <c r="B298" s="375" t="s">
        <v>504</v>
      </c>
      <c r="C298" s="552" t="s">
        <v>520</v>
      </c>
      <c r="D298" s="757">
        <f>VLOOKUP(B298,Locatieoverzicht!$A$14:$E$21,5,FALSE)</f>
        <v>1</v>
      </c>
      <c r="E298" s="373">
        <v>1</v>
      </c>
      <c r="F298" s="647" t="s">
        <v>414</v>
      </c>
      <c r="G298" s="649" t="s">
        <v>402</v>
      </c>
      <c r="H298" s="374" t="str">
        <f t="shared" si="54"/>
        <v>Administratieve ruimten</v>
      </c>
      <c r="I298" s="375" t="s">
        <v>613</v>
      </c>
      <c r="J298" s="561">
        <v>23.6</v>
      </c>
      <c r="K298" s="612">
        <v>1040</v>
      </c>
      <c r="L298" s="376">
        <f t="shared" si="55"/>
        <v>40</v>
      </c>
      <c r="M298" s="377">
        <f t="shared" si="50"/>
        <v>0</v>
      </c>
      <c r="N298" s="377">
        <f t="shared" si="51"/>
        <v>0</v>
      </c>
      <c r="O298" s="377">
        <f t="shared" si="56"/>
        <v>0</v>
      </c>
      <c r="P298" s="377">
        <f t="shared" si="57"/>
        <v>0</v>
      </c>
      <c r="Q298" s="755">
        <v>1</v>
      </c>
      <c r="R298" s="378" t="str">
        <f t="shared" si="52"/>
        <v>B</v>
      </c>
      <c r="S298" s="379"/>
      <c r="T298" s="379"/>
      <c r="U298" s="756">
        <f t="shared" si="53"/>
        <v>944</v>
      </c>
    </row>
    <row r="299" spans="1:21" ht="14.1" customHeight="1">
      <c r="A299" s="559">
        <v>299</v>
      </c>
      <c r="B299" s="375" t="s">
        <v>504</v>
      </c>
      <c r="C299" s="552" t="s">
        <v>520</v>
      </c>
      <c r="D299" s="757">
        <f>VLOOKUP(B299,Locatieoverzicht!$A$14:$E$21,5,FALSE)</f>
        <v>1</v>
      </c>
      <c r="E299" s="373">
        <v>1</v>
      </c>
      <c r="F299" s="647" t="s">
        <v>415</v>
      </c>
      <c r="G299" s="649" t="s">
        <v>401</v>
      </c>
      <c r="H299" s="374" t="str">
        <f t="shared" si="54"/>
        <v>Leslokaal regulier</v>
      </c>
      <c r="I299" s="375" t="s">
        <v>612</v>
      </c>
      <c r="J299" s="561">
        <v>55.1</v>
      </c>
      <c r="K299" s="612">
        <v>8040</v>
      </c>
      <c r="L299" s="376">
        <f t="shared" si="55"/>
        <v>40</v>
      </c>
      <c r="M299" s="377">
        <f t="shared" si="50"/>
        <v>0</v>
      </c>
      <c r="N299" s="377">
        <f t="shared" si="51"/>
        <v>0</v>
      </c>
      <c r="O299" s="377">
        <f t="shared" si="56"/>
        <v>0</v>
      </c>
      <c r="P299" s="377">
        <f t="shared" si="57"/>
        <v>0</v>
      </c>
      <c r="Q299" s="755">
        <v>1</v>
      </c>
      <c r="R299" s="378" t="str">
        <f t="shared" si="52"/>
        <v>L</v>
      </c>
      <c r="S299" s="379"/>
      <c r="T299" s="379"/>
      <c r="U299" s="756">
        <f t="shared" si="53"/>
        <v>2204</v>
      </c>
    </row>
    <row r="300" spans="1:21" ht="14.1" customHeight="1">
      <c r="A300" s="559">
        <v>300</v>
      </c>
      <c r="B300" s="375" t="s">
        <v>504</v>
      </c>
      <c r="C300" s="552" t="s">
        <v>520</v>
      </c>
      <c r="D300" s="757">
        <f>VLOOKUP(B300,Locatieoverzicht!$A$14:$E$21,5,FALSE)</f>
        <v>1</v>
      </c>
      <c r="E300" s="373">
        <v>1</v>
      </c>
      <c r="F300" s="647" t="s">
        <v>416</v>
      </c>
      <c r="G300" s="649" t="s">
        <v>401</v>
      </c>
      <c r="H300" s="374" t="str">
        <f t="shared" si="54"/>
        <v>Leslokaal regulier</v>
      </c>
      <c r="I300" s="375" t="s">
        <v>612</v>
      </c>
      <c r="J300" s="561">
        <v>17</v>
      </c>
      <c r="K300" s="612">
        <v>8040</v>
      </c>
      <c r="L300" s="376">
        <f t="shared" si="55"/>
        <v>40</v>
      </c>
      <c r="M300" s="377">
        <f t="shared" si="50"/>
        <v>0</v>
      </c>
      <c r="N300" s="377">
        <f t="shared" si="51"/>
        <v>0</v>
      </c>
      <c r="O300" s="377">
        <f t="shared" si="56"/>
        <v>0</v>
      </c>
      <c r="P300" s="377">
        <f t="shared" si="57"/>
        <v>0</v>
      </c>
      <c r="Q300" s="755">
        <v>1</v>
      </c>
      <c r="R300" s="378" t="str">
        <f t="shared" si="52"/>
        <v>L</v>
      </c>
      <c r="S300" s="379"/>
      <c r="T300" s="379"/>
      <c r="U300" s="756">
        <f t="shared" si="53"/>
        <v>680</v>
      </c>
    </row>
    <row r="301" spans="1:21" ht="14.1" customHeight="1">
      <c r="A301" s="559">
        <v>301</v>
      </c>
      <c r="B301" s="375" t="s">
        <v>504</v>
      </c>
      <c r="C301" s="552" t="s">
        <v>520</v>
      </c>
      <c r="D301" s="757">
        <f>VLOOKUP(B301,Locatieoverzicht!$A$14:$E$21,5,FALSE)</f>
        <v>1</v>
      </c>
      <c r="E301" s="373">
        <v>1</v>
      </c>
      <c r="F301" s="647" t="s">
        <v>417</v>
      </c>
      <c r="G301" s="649" t="s">
        <v>398</v>
      </c>
      <c r="H301" s="374" t="str">
        <f t="shared" si="54"/>
        <v>Gangen en hallen</v>
      </c>
      <c r="I301" s="375" t="s">
        <v>612</v>
      </c>
      <c r="J301" s="561">
        <v>55.6</v>
      </c>
      <c r="K301" s="612">
        <v>3200</v>
      </c>
      <c r="L301" s="376">
        <f t="shared" si="55"/>
        <v>200</v>
      </c>
      <c r="M301" s="377">
        <f t="shared" si="50"/>
        <v>0</v>
      </c>
      <c r="N301" s="377">
        <f t="shared" si="51"/>
        <v>0</v>
      </c>
      <c r="O301" s="377">
        <f t="shared" si="56"/>
        <v>0</v>
      </c>
      <c r="P301" s="377">
        <f t="shared" si="57"/>
        <v>0</v>
      </c>
      <c r="Q301" s="755">
        <v>1</v>
      </c>
      <c r="R301" s="378" t="str">
        <f t="shared" si="52"/>
        <v>V</v>
      </c>
      <c r="S301" s="379"/>
      <c r="T301" s="379"/>
      <c r="U301" s="756">
        <f t="shared" si="53"/>
        <v>11120</v>
      </c>
    </row>
    <row r="302" spans="1:21" ht="14.1" customHeight="1">
      <c r="A302" s="559">
        <v>302</v>
      </c>
      <c r="B302" s="375" t="s">
        <v>504</v>
      </c>
      <c r="C302" s="552" t="s">
        <v>520</v>
      </c>
      <c r="D302" s="757">
        <f>VLOOKUP(B302,Locatieoverzicht!$A$14:$E$21,5,FALSE)</f>
        <v>1</v>
      </c>
      <c r="E302" s="373">
        <v>1</v>
      </c>
      <c r="F302" s="647" t="s">
        <v>418</v>
      </c>
      <c r="G302" s="649" t="s">
        <v>401</v>
      </c>
      <c r="H302" s="374" t="str">
        <f t="shared" si="54"/>
        <v>Leslokaal regulier</v>
      </c>
      <c r="I302" s="375" t="s">
        <v>612</v>
      </c>
      <c r="J302" s="561">
        <v>63.2</v>
      </c>
      <c r="K302" s="612">
        <v>8040</v>
      </c>
      <c r="L302" s="376">
        <f t="shared" si="55"/>
        <v>40</v>
      </c>
      <c r="M302" s="377">
        <f t="shared" si="50"/>
        <v>0</v>
      </c>
      <c r="N302" s="377">
        <f t="shared" si="51"/>
        <v>0</v>
      </c>
      <c r="O302" s="377">
        <f t="shared" si="56"/>
        <v>0</v>
      </c>
      <c r="P302" s="377">
        <f t="shared" si="57"/>
        <v>0</v>
      </c>
      <c r="Q302" s="755">
        <v>1</v>
      </c>
      <c r="R302" s="378" t="str">
        <f t="shared" si="52"/>
        <v>L</v>
      </c>
      <c r="S302" s="379"/>
      <c r="T302" s="379"/>
      <c r="U302" s="756">
        <f t="shared" si="53"/>
        <v>2528</v>
      </c>
    </row>
    <row r="303" spans="1:21" ht="14.1" customHeight="1">
      <c r="A303" s="559">
        <v>303</v>
      </c>
      <c r="B303" s="375" t="s">
        <v>504</v>
      </c>
      <c r="C303" s="552" t="s">
        <v>520</v>
      </c>
      <c r="D303" s="757">
        <f>VLOOKUP(B303,Locatieoverzicht!$A$14:$E$21,5,FALSE)</f>
        <v>1</v>
      </c>
      <c r="E303" s="373">
        <v>1</v>
      </c>
      <c r="F303" s="647" t="s">
        <v>419</v>
      </c>
      <c r="G303" s="649" t="s">
        <v>398</v>
      </c>
      <c r="H303" s="374" t="str">
        <f t="shared" si="54"/>
        <v>Gangen en hallen</v>
      </c>
      <c r="I303" s="375" t="s">
        <v>612</v>
      </c>
      <c r="J303" s="561">
        <v>161.77000000000001</v>
      </c>
      <c r="K303" s="612">
        <v>3200</v>
      </c>
      <c r="L303" s="376">
        <f t="shared" si="55"/>
        <v>200</v>
      </c>
      <c r="M303" s="377">
        <f t="shared" si="50"/>
        <v>0</v>
      </c>
      <c r="N303" s="377">
        <f t="shared" si="51"/>
        <v>0</v>
      </c>
      <c r="O303" s="377">
        <f t="shared" si="56"/>
        <v>0</v>
      </c>
      <c r="P303" s="377">
        <f t="shared" si="57"/>
        <v>0</v>
      </c>
      <c r="Q303" s="755">
        <v>1</v>
      </c>
      <c r="R303" s="378" t="str">
        <f t="shared" si="52"/>
        <v>V</v>
      </c>
      <c r="S303" s="379"/>
      <c r="T303" s="379"/>
      <c r="U303" s="756">
        <f t="shared" si="53"/>
        <v>32354.000000000004</v>
      </c>
    </row>
    <row r="304" spans="1:21" ht="14.1" customHeight="1">
      <c r="A304" s="559">
        <v>304</v>
      </c>
      <c r="B304" s="375" t="s">
        <v>504</v>
      </c>
      <c r="C304" s="552" t="s">
        <v>520</v>
      </c>
      <c r="D304" s="757">
        <f>VLOOKUP(B304,Locatieoverzicht!$A$14:$E$21,5,FALSE)</f>
        <v>1</v>
      </c>
      <c r="E304" s="373">
        <v>1</v>
      </c>
      <c r="F304" s="647" t="s">
        <v>420</v>
      </c>
      <c r="G304" s="649" t="s">
        <v>402</v>
      </c>
      <c r="H304" s="374" t="str">
        <f t="shared" si="54"/>
        <v>Administratieve ruimten</v>
      </c>
      <c r="I304" s="375" t="s">
        <v>612</v>
      </c>
      <c r="J304" s="561">
        <v>13.96</v>
      </c>
      <c r="K304" s="612">
        <v>1040</v>
      </c>
      <c r="L304" s="376">
        <f t="shared" si="55"/>
        <v>40</v>
      </c>
      <c r="M304" s="377">
        <f t="shared" si="50"/>
        <v>0</v>
      </c>
      <c r="N304" s="377">
        <f t="shared" si="51"/>
        <v>0</v>
      </c>
      <c r="O304" s="377">
        <f t="shared" si="56"/>
        <v>0</v>
      </c>
      <c r="P304" s="377">
        <f t="shared" si="57"/>
        <v>0</v>
      </c>
      <c r="Q304" s="755">
        <v>1</v>
      </c>
      <c r="R304" s="378" t="str">
        <f t="shared" si="52"/>
        <v>B</v>
      </c>
      <c r="S304" s="379"/>
      <c r="T304" s="379"/>
      <c r="U304" s="756">
        <f t="shared" si="53"/>
        <v>558.40000000000009</v>
      </c>
    </row>
    <row r="305" spans="1:21" ht="14.1" customHeight="1">
      <c r="A305" s="559">
        <v>305</v>
      </c>
      <c r="B305" s="375" t="s">
        <v>504</v>
      </c>
      <c r="C305" s="552" t="s">
        <v>520</v>
      </c>
      <c r="D305" s="757">
        <f>VLOOKUP(B305,Locatieoverzicht!$A$14:$E$21,5,FALSE)</f>
        <v>1</v>
      </c>
      <c r="E305" s="373">
        <v>1</v>
      </c>
      <c r="F305" s="647" t="s">
        <v>512</v>
      </c>
      <c r="G305" s="649" t="s">
        <v>402</v>
      </c>
      <c r="H305" s="374" t="str">
        <f t="shared" si="54"/>
        <v>Administratieve ruimten</v>
      </c>
      <c r="I305" s="375" t="s">
        <v>612</v>
      </c>
      <c r="J305" s="561">
        <v>14.4</v>
      </c>
      <c r="K305" s="612">
        <v>1040</v>
      </c>
      <c r="L305" s="376">
        <f t="shared" si="55"/>
        <v>40</v>
      </c>
      <c r="M305" s="377">
        <f t="shared" si="50"/>
        <v>0</v>
      </c>
      <c r="N305" s="377">
        <f t="shared" si="51"/>
        <v>0</v>
      </c>
      <c r="O305" s="377">
        <f t="shared" si="56"/>
        <v>0</v>
      </c>
      <c r="P305" s="377">
        <f t="shared" si="57"/>
        <v>0</v>
      </c>
      <c r="Q305" s="755">
        <v>1</v>
      </c>
      <c r="R305" s="378" t="str">
        <f t="shared" si="52"/>
        <v>B</v>
      </c>
      <c r="S305" s="379"/>
      <c r="T305" s="379"/>
      <c r="U305" s="756">
        <f t="shared" si="53"/>
        <v>576</v>
      </c>
    </row>
    <row r="306" spans="1:21" ht="14.1" customHeight="1">
      <c r="A306" s="559">
        <v>306</v>
      </c>
      <c r="B306" s="375" t="s">
        <v>504</v>
      </c>
      <c r="C306" s="552" t="s">
        <v>520</v>
      </c>
      <c r="D306" s="757">
        <f>VLOOKUP(B306,Locatieoverzicht!$A$14:$E$21,5,FALSE)</f>
        <v>1</v>
      </c>
      <c r="E306" s="373">
        <v>1</v>
      </c>
      <c r="F306" s="647" t="s">
        <v>421</v>
      </c>
      <c r="G306" s="649" t="s">
        <v>513</v>
      </c>
      <c r="H306" s="374" t="str">
        <f t="shared" si="54"/>
        <v>Niet van toepassing</v>
      </c>
      <c r="I306" s="375" t="s">
        <v>612</v>
      </c>
      <c r="J306" s="561">
        <v>18.600000000000001</v>
      </c>
      <c r="K306" s="612" t="s">
        <v>239</v>
      </c>
      <c r="L306" s="376">
        <f t="shared" si="55"/>
        <v>0</v>
      </c>
      <c r="M306" s="377">
        <f t="shared" si="50"/>
        <v>0</v>
      </c>
      <c r="N306" s="377">
        <f t="shared" si="51"/>
        <v>0</v>
      </c>
      <c r="O306" s="377">
        <f t="shared" si="56"/>
        <v>0</v>
      </c>
      <c r="P306" s="377">
        <f t="shared" si="57"/>
        <v>0</v>
      </c>
      <c r="Q306" s="755">
        <v>1</v>
      </c>
      <c r="R306" s="378">
        <f t="shared" si="52"/>
        <v>0</v>
      </c>
      <c r="S306" s="379"/>
      <c r="T306" s="379"/>
      <c r="U306" s="756">
        <f t="shared" si="53"/>
        <v>0</v>
      </c>
    </row>
    <row r="307" spans="1:21" ht="14.1" customHeight="1">
      <c r="A307" s="559">
        <v>307</v>
      </c>
      <c r="B307" s="375" t="s">
        <v>504</v>
      </c>
      <c r="C307" s="552" t="s">
        <v>520</v>
      </c>
      <c r="D307" s="757">
        <f>VLOOKUP(B307,Locatieoverzicht!$A$14:$E$21,5,FALSE)</f>
        <v>1</v>
      </c>
      <c r="E307" s="373">
        <v>1</v>
      </c>
      <c r="F307" s="647" t="s">
        <v>422</v>
      </c>
      <c r="G307" s="649" t="s">
        <v>513</v>
      </c>
      <c r="H307" s="374" t="str">
        <f t="shared" si="54"/>
        <v>Niet van toepassing</v>
      </c>
      <c r="I307" s="375" t="s">
        <v>612</v>
      </c>
      <c r="J307" s="561">
        <v>3.6</v>
      </c>
      <c r="K307" s="612" t="s">
        <v>239</v>
      </c>
      <c r="L307" s="376">
        <f t="shared" si="55"/>
        <v>0</v>
      </c>
      <c r="M307" s="377">
        <f t="shared" si="50"/>
        <v>0</v>
      </c>
      <c r="N307" s="377">
        <f t="shared" si="51"/>
        <v>0</v>
      </c>
      <c r="O307" s="377">
        <f t="shared" si="56"/>
        <v>0</v>
      </c>
      <c r="P307" s="377">
        <f t="shared" si="57"/>
        <v>0</v>
      </c>
      <c r="Q307" s="755">
        <v>1</v>
      </c>
      <c r="R307" s="378">
        <f t="shared" si="52"/>
        <v>0</v>
      </c>
      <c r="S307" s="379"/>
      <c r="T307" s="379"/>
      <c r="U307" s="756">
        <f t="shared" si="53"/>
        <v>0</v>
      </c>
    </row>
    <row r="308" spans="1:21" ht="14.1" customHeight="1">
      <c r="A308" s="559">
        <v>308</v>
      </c>
      <c r="B308" s="375" t="s">
        <v>504</v>
      </c>
      <c r="C308" s="552" t="s">
        <v>520</v>
      </c>
      <c r="D308" s="757">
        <f>VLOOKUP(B308,Locatieoverzicht!$A$14:$E$21,5,FALSE)</f>
        <v>1</v>
      </c>
      <c r="E308" s="373">
        <v>1</v>
      </c>
      <c r="F308" s="647" t="s">
        <v>423</v>
      </c>
      <c r="G308" s="649" t="s">
        <v>540</v>
      </c>
      <c r="H308" s="374" t="str">
        <f t="shared" si="54"/>
        <v>Niet van toepassing</v>
      </c>
      <c r="I308" s="375"/>
      <c r="J308" s="561">
        <v>2</v>
      </c>
      <c r="K308" s="612" t="s">
        <v>239</v>
      </c>
      <c r="L308" s="376">
        <f t="shared" si="55"/>
        <v>0</v>
      </c>
      <c r="M308" s="377">
        <f t="shared" si="50"/>
        <v>0</v>
      </c>
      <c r="N308" s="377">
        <f t="shared" si="51"/>
        <v>0</v>
      </c>
      <c r="O308" s="377">
        <f t="shared" si="56"/>
        <v>0</v>
      </c>
      <c r="P308" s="377">
        <f t="shared" si="57"/>
        <v>0</v>
      </c>
      <c r="Q308" s="755">
        <v>1</v>
      </c>
      <c r="R308" s="378">
        <f t="shared" si="52"/>
        <v>0</v>
      </c>
      <c r="S308" s="379"/>
      <c r="T308" s="379"/>
      <c r="U308" s="756">
        <f t="shared" si="53"/>
        <v>0</v>
      </c>
    </row>
    <row r="309" spans="1:21" ht="14.1" customHeight="1">
      <c r="A309" s="559">
        <v>309</v>
      </c>
      <c r="B309" s="375" t="s">
        <v>504</v>
      </c>
      <c r="C309" s="552" t="s">
        <v>520</v>
      </c>
      <c r="D309" s="757">
        <f>VLOOKUP(B309,Locatieoverzicht!$A$14:$E$21,5,FALSE)</f>
        <v>1</v>
      </c>
      <c r="E309" s="373">
        <v>1</v>
      </c>
      <c r="F309" s="647" t="s">
        <v>424</v>
      </c>
      <c r="G309" s="649" t="s">
        <v>400</v>
      </c>
      <c r="H309" s="374" t="str">
        <f t="shared" si="54"/>
        <v>Sanitaire ruimten</v>
      </c>
      <c r="I309" s="375" t="s">
        <v>612</v>
      </c>
      <c r="J309" s="561">
        <v>5.3</v>
      </c>
      <c r="K309" s="612">
        <v>2200</v>
      </c>
      <c r="L309" s="376">
        <f t="shared" si="55"/>
        <v>200</v>
      </c>
      <c r="M309" s="377">
        <f t="shared" si="50"/>
        <v>0</v>
      </c>
      <c r="N309" s="377">
        <f t="shared" si="51"/>
        <v>0</v>
      </c>
      <c r="O309" s="377">
        <f t="shared" si="56"/>
        <v>0</v>
      </c>
      <c r="P309" s="377">
        <f t="shared" si="57"/>
        <v>0</v>
      </c>
      <c r="Q309" s="755">
        <v>1</v>
      </c>
      <c r="R309" s="378" t="str">
        <f t="shared" si="52"/>
        <v>S</v>
      </c>
      <c r="S309" s="379"/>
      <c r="T309" s="379"/>
      <c r="U309" s="756">
        <f t="shared" si="53"/>
        <v>1060</v>
      </c>
    </row>
    <row r="310" spans="1:21" ht="14.1" customHeight="1">
      <c r="A310" s="559">
        <v>310</v>
      </c>
      <c r="B310" s="375" t="s">
        <v>504</v>
      </c>
      <c r="C310" s="552" t="s">
        <v>520</v>
      </c>
      <c r="D310" s="757">
        <f>VLOOKUP(B310,Locatieoverzicht!$A$14:$E$21,5,FALSE)</f>
        <v>1</v>
      </c>
      <c r="E310" s="373">
        <v>1</v>
      </c>
      <c r="F310" s="647" t="s">
        <v>425</v>
      </c>
      <c r="G310" s="649" t="s">
        <v>402</v>
      </c>
      <c r="H310" s="374" t="str">
        <f t="shared" si="54"/>
        <v>Administratieve ruimten</v>
      </c>
      <c r="I310" s="375" t="s">
        <v>612</v>
      </c>
      <c r="J310" s="561">
        <v>7.3</v>
      </c>
      <c r="K310" s="612">
        <v>1040</v>
      </c>
      <c r="L310" s="376">
        <f t="shared" si="55"/>
        <v>40</v>
      </c>
      <c r="M310" s="377">
        <f t="shared" si="50"/>
        <v>0</v>
      </c>
      <c r="N310" s="377">
        <f t="shared" si="51"/>
        <v>0</v>
      </c>
      <c r="O310" s="377">
        <f t="shared" si="56"/>
        <v>0</v>
      </c>
      <c r="P310" s="377">
        <f t="shared" si="57"/>
        <v>0</v>
      </c>
      <c r="Q310" s="755">
        <v>1</v>
      </c>
      <c r="R310" s="378" t="str">
        <f t="shared" si="52"/>
        <v>B</v>
      </c>
      <c r="S310" s="379"/>
      <c r="T310" s="379"/>
      <c r="U310" s="756">
        <f t="shared" si="53"/>
        <v>292</v>
      </c>
    </row>
    <row r="311" spans="1:21" ht="14.1" customHeight="1">
      <c r="A311" s="559">
        <v>311</v>
      </c>
      <c r="B311" s="375" t="s">
        <v>504</v>
      </c>
      <c r="C311" s="552" t="s">
        <v>520</v>
      </c>
      <c r="D311" s="757">
        <f>VLOOKUP(B311,Locatieoverzicht!$A$14:$E$21,5,FALSE)</f>
        <v>1</v>
      </c>
      <c r="E311" s="373">
        <v>1</v>
      </c>
      <c r="F311" s="647" t="s">
        <v>426</v>
      </c>
      <c r="G311" s="649" t="s">
        <v>402</v>
      </c>
      <c r="H311" s="374" t="str">
        <f t="shared" si="54"/>
        <v>Administratieve ruimten</v>
      </c>
      <c r="I311" s="375" t="s">
        <v>613</v>
      </c>
      <c r="J311" s="561">
        <v>15.6</v>
      </c>
      <c r="K311" s="612">
        <v>1040</v>
      </c>
      <c r="L311" s="376">
        <f t="shared" si="55"/>
        <v>40</v>
      </c>
      <c r="M311" s="377">
        <f t="shared" si="50"/>
        <v>0</v>
      </c>
      <c r="N311" s="377">
        <f t="shared" si="51"/>
        <v>0</v>
      </c>
      <c r="O311" s="377">
        <f t="shared" si="56"/>
        <v>0</v>
      </c>
      <c r="P311" s="377">
        <f t="shared" si="57"/>
        <v>0</v>
      </c>
      <c r="Q311" s="755">
        <v>1</v>
      </c>
      <c r="R311" s="378" t="str">
        <f t="shared" si="52"/>
        <v>B</v>
      </c>
      <c r="S311" s="379"/>
      <c r="T311" s="379"/>
      <c r="U311" s="756">
        <f t="shared" si="53"/>
        <v>624</v>
      </c>
    </row>
    <row r="312" spans="1:21" ht="14.1" customHeight="1">
      <c r="A312" s="559">
        <v>312</v>
      </c>
      <c r="B312" s="375" t="s">
        <v>504</v>
      </c>
      <c r="C312" s="552" t="s">
        <v>520</v>
      </c>
      <c r="D312" s="757">
        <f>VLOOKUP(B312,Locatieoverzicht!$A$14:$E$21,5,FALSE)</f>
        <v>1</v>
      </c>
      <c r="E312" s="373">
        <v>1</v>
      </c>
      <c r="F312" s="647" t="s">
        <v>427</v>
      </c>
      <c r="G312" s="649" t="s">
        <v>401</v>
      </c>
      <c r="H312" s="374" t="str">
        <f t="shared" si="54"/>
        <v>Leslokaal regulier</v>
      </c>
      <c r="I312" s="375" t="s">
        <v>612</v>
      </c>
      <c r="J312" s="561">
        <v>61.5</v>
      </c>
      <c r="K312" s="612">
        <v>8040</v>
      </c>
      <c r="L312" s="376">
        <f t="shared" si="55"/>
        <v>40</v>
      </c>
      <c r="M312" s="377">
        <f t="shared" si="50"/>
        <v>0</v>
      </c>
      <c r="N312" s="377">
        <f t="shared" si="51"/>
        <v>0</v>
      </c>
      <c r="O312" s="377">
        <f t="shared" si="56"/>
        <v>0</v>
      </c>
      <c r="P312" s="377">
        <f t="shared" si="57"/>
        <v>0</v>
      </c>
      <c r="Q312" s="755">
        <v>1</v>
      </c>
      <c r="R312" s="378" t="str">
        <f t="shared" si="52"/>
        <v>L</v>
      </c>
      <c r="S312" s="379"/>
      <c r="T312" s="379"/>
      <c r="U312" s="756">
        <f t="shared" si="53"/>
        <v>2460</v>
      </c>
    </row>
    <row r="313" spans="1:21" ht="14.1" customHeight="1">
      <c r="A313" s="559">
        <v>313</v>
      </c>
      <c r="B313" s="375" t="s">
        <v>504</v>
      </c>
      <c r="C313" s="552" t="s">
        <v>520</v>
      </c>
      <c r="D313" s="757">
        <f>VLOOKUP(B313,Locatieoverzicht!$A$14:$E$21,5,FALSE)</f>
        <v>1</v>
      </c>
      <c r="E313" s="373">
        <v>1</v>
      </c>
      <c r="F313" s="647" t="s">
        <v>428</v>
      </c>
      <c r="G313" s="649" t="s">
        <v>398</v>
      </c>
      <c r="H313" s="374" t="str">
        <f t="shared" si="54"/>
        <v>Gangen en hallen</v>
      </c>
      <c r="I313" s="375" t="s">
        <v>612</v>
      </c>
      <c r="J313" s="561">
        <v>208</v>
      </c>
      <c r="K313" s="612">
        <v>3200</v>
      </c>
      <c r="L313" s="376">
        <f t="shared" si="55"/>
        <v>200</v>
      </c>
      <c r="M313" s="377">
        <f t="shared" si="50"/>
        <v>0</v>
      </c>
      <c r="N313" s="377">
        <f t="shared" si="51"/>
        <v>0</v>
      </c>
      <c r="O313" s="377">
        <f t="shared" si="56"/>
        <v>0</v>
      </c>
      <c r="P313" s="377">
        <f t="shared" si="57"/>
        <v>0</v>
      </c>
      <c r="Q313" s="755">
        <v>1</v>
      </c>
      <c r="R313" s="378" t="str">
        <f t="shared" si="52"/>
        <v>V</v>
      </c>
      <c r="S313" s="379"/>
      <c r="T313" s="379"/>
      <c r="U313" s="756">
        <f t="shared" si="53"/>
        <v>41600</v>
      </c>
    </row>
    <row r="314" spans="1:21" ht="14.1" customHeight="1">
      <c r="A314" s="559">
        <v>314</v>
      </c>
      <c r="B314" s="375" t="s">
        <v>504</v>
      </c>
      <c r="C314" s="552" t="s">
        <v>520</v>
      </c>
      <c r="D314" s="757">
        <f>VLOOKUP(B314,Locatieoverzicht!$A$14:$E$21,5,FALSE)</f>
        <v>1</v>
      </c>
      <c r="E314" s="373">
        <v>1</v>
      </c>
      <c r="F314" s="647" t="s">
        <v>429</v>
      </c>
      <c r="G314" s="649" t="s">
        <v>497</v>
      </c>
      <c r="H314" s="374" t="str">
        <f t="shared" si="54"/>
        <v>Mediatheek/Bibliotheek/Computerlokaal</v>
      </c>
      <c r="I314" s="375" t="s">
        <v>612</v>
      </c>
      <c r="J314" s="561">
        <v>84</v>
      </c>
      <c r="K314" s="612">
        <v>14080</v>
      </c>
      <c r="L314" s="376">
        <f t="shared" si="55"/>
        <v>80</v>
      </c>
      <c r="M314" s="377">
        <f t="shared" si="50"/>
        <v>0</v>
      </c>
      <c r="N314" s="377">
        <f t="shared" si="51"/>
        <v>0</v>
      </c>
      <c r="O314" s="377">
        <f t="shared" si="56"/>
        <v>0</v>
      </c>
      <c r="P314" s="377">
        <f t="shared" si="57"/>
        <v>0</v>
      </c>
      <c r="Q314" s="755">
        <v>1</v>
      </c>
      <c r="R314" s="378" t="str">
        <f t="shared" si="52"/>
        <v>V</v>
      </c>
      <c r="S314" s="379"/>
      <c r="T314" s="379"/>
      <c r="U314" s="756">
        <f t="shared" si="53"/>
        <v>6720</v>
      </c>
    </row>
    <row r="315" spans="1:21" ht="14.1" customHeight="1">
      <c r="A315" s="559">
        <v>315</v>
      </c>
      <c r="B315" s="375" t="s">
        <v>504</v>
      </c>
      <c r="C315" s="552" t="s">
        <v>520</v>
      </c>
      <c r="D315" s="757">
        <f>VLOOKUP(B315,Locatieoverzicht!$A$14:$E$21,5,FALSE)</f>
        <v>1</v>
      </c>
      <c r="E315" s="373">
        <v>1</v>
      </c>
      <c r="F315" s="647" t="s">
        <v>430</v>
      </c>
      <c r="G315" s="649" t="s">
        <v>401</v>
      </c>
      <c r="H315" s="374" t="str">
        <f t="shared" si="54"/>
        <v>Leslokaal regulier</v>
      </c>
      <c r="I315" s="375" t="s">
        <v>612</v>
      </c>
      <c r="J315" s="561">
        <v>61.2</v>
      </c>
      <c r="K315" s="612">
        <v>8040</v>
      </c>
      <c r="L315" s="376">
        <f t="shared" si="55"/>
        <v>40</v>
      </c>
      <c r="M315" s="377">
        <f t="shared" si="50"/>
        <v>0</v>
      </c>
      <c r="N315" s="377">
        <f t="shared" si="51"/>
        <v>0</v>
      </c>
      <c r="O315" s="377">
        <f t="shared" si="56"/>
        <v>0</v>
      </c>
      <c r="P315" s="377">
        <f t="shared" si="57"/>
        <v>0</v>
      </c>
      <c r="Q315" s="755">
        <v>1</v>
      </c>
      <c r="R315" s="378" t="str">
        <f t="shared" si="52"/>
        <v>L</v>
      </c>
      <c r="S315" s="379"/>
      <c r="T315" s="379"/>
      <c r="U315" s="756">
        <f t="shared" si="53"/>
        <v>2448</v>
      </c>
    </row>
    <row r="316" spans="1:21" ht="14.1" customHeight="1">
      <c r="A316" s="559">
        <v>316</v>
      </c>
      <c r="B316" s="375" t="s">
        <v>504</v>
      </c>
      <c r="C316" s="552" t="s">
        <v>520</v>
      </c>
      <c r="D316" s="757">
        <f>VLOOKUP(B316,Locatieoverzicht!$A$14:$E$21,5,FALSE)</f>
        <v>1</v>
      </c>
      <c r="E316" s="373">
        <v>1</v>
      </c>
      <c r="F316" s="647" t="s">
        <v>431</v>
      </c>
      <c r="G316" s="649" t="s">
        <v>398</v>
      </c>
      <c r="H316" s="374" t="str">
        <f t="shared" si="54"/>
        <v>Gangen en hallen</v>
      </c>
      <c r="I316" s="375" t="s">
        <v>612</v>
      </c>
      <c r="J316" s="561">
        <v>79.900000000000006</v>
      </c>
      <c r="K316" s="612">
        <v>3200</v>
      </c>
      <c r="L316" s="376">
        <f t="shared" si="55"/>
        <v>200</v>
      </c>
      <c r="M316" s="377">
        <f t="shared" si="50"/>
        <v>0</v>
      </c>
      <c r="N316" s="377">
        <f t="shared" si="51"/>
        <v>0</v>
      </c>
      <c r="O316" s="377">
        <f t="shared" si="56"/>
        <v>0</v>
      </c>
      <c r="P316" s="377">
        <f t="shared" si="57"/>
        <v>0</v>
      </c>
      <c r="Q316" s="755">
        <v>1</v>
      </c>
      <c r="R316" s="378" t="str">
        <f t="shared" si="52"/>
        <v>V</v>
      </c>
      <c r="S316" s="379"/>
      <c r="T316" s="379"/>
      <c r="U316" s="756">
        <f t="shared" si="53"/>
        <v>15980.000000000002</v>
      </c>
    </row>
    <row r="317" spans="1:21" ht="14.1" customHeight="1">
      <c r="A317" s="559">
        <v>317</v>
      </c>
      <c r="B317" s="375" t="s">
        <v>504</v>
      </c>
      <c r="C317" s="552" t="s">
        <v>520</v>
      </c>
      <c r="D317" s="757">
        <f>VLOOKUP(B317,Locatieoverzicht!$A$14:$E$21,5,FALSE)</f>
        <v>1</v>
      </c>
      <c r="E317" s="373">
        <v>1</v>
      </c>
      <c r="F317" s="647" t="s">
        <v>432</v>
      </c>
      <c r="G317" s="649" t="s">
        <v>400</v>
      </c>
      <c r="H317" s="374" t="str">
        <f t="shared" si="54"/>
        <v>Sanitaire ruimten</v>
      </c>
      <c r="I317" s="375" t="s">
        <v>612</v>
      </c>
      <c r="J317" s="561">
        <v>3.35</v>
      </c>
      <c r="K317" s="612">
        <v>2200</v>
      </c>
      <c r="L317" s="376">
        <f t="shared" si="55"/>
        <v>200</v>
      </c>
      <c r="M317" s="377">
        <f t="shared" si="50"/>
        <v>0</v>
      </c>
      <c r="N317" s="377">
        <f t="shared" si="51"/>
        <v>0</v>
      </c>
      <c r="O317" s="377">
        <f t="shared" si="56"/>
        <v>0</v>
      </c>
      <c r="P317" s="377">
        <f t="shared" si="57"/>
        <v>0</v>
      </c>
      <c r="Q317" s="755">
        <v>1</v>
      </c>
      <c r="R317" s="378" t="str">
        <f t="shared" si="52"/>
        <v>S</v>
      </c>
      <c r="S317" s="379"/>
      <c r="T317" s="379"/>
      <c r="U317" s="756">
        <f t="shared" si="53"/>
        <v>670</v>
      </c>
    </row>
    <row r="318" spans="1:21" ht="14.1" customHeight="1">
      <c r="A318" s="559">
        <v>318</v>
      </c>
      <c r="B318" s="375" t="s">
        <v>504</v>
      </c>
      <c r="C318" s="552" t="s">
        <v>520</v>
      </c>
      <c r="D318" s="757">
        <f>VLOOKUP(B318,Locatieoverzicht!$A$14:$E$21,5,FALSE)</f>
        <v>1</v>
      </c>
      <c r="E318" s="373">
        <v>1</v>
      </c>
      <c r="F318" s="647" t="s">
        <v>433</v>
      </c>
      <c r="G318" s="649" t="s">
        <v>497</v>
      </c>
      <c r="H318" s="374" t="str">
        <f t="shared" si="54"/>
        <v>Mediatheek/Bibliotheek/Computerlokaal</v>
      </c>
      <c r="I318" s="375" t="s">
        <v>612</v>
      </c>
      <c r="J318" s="561">
        <v>65.400000000000006</v>
      </c>
      <c r="K318" s="612">
        <v>14080</v>
      </c>
      <c r="L318" s="376">
        <f t="shared" si="55"/>
        <v>80</v>
      </c>
      <c r="M318" s="377">
        <f t="shared" si="50"/>
        <v>0</v>
      </c>
      <c r="N318" s="377">
        <f t="shared" si="51"/>
        <v>0</v>
      </c>
      <c r="O318" s="377">
        <f t="shared" si="56"/>
        <v>0</v>
      </c>
      <c r="P318" s="377">
        <f t="shared" si="57"/>
        <v>0</v>
      </c>
      <c r="Q318" s="755">
        <v>1</v>
      </c>
      <c r="R318" s="378" t="str">
        <f t="shared" si="52"/>
        <v>V</v>
      </c>
      <c r="S318" s="379"/>
      <c r="T318" s="379"/>
      <c r="U318" s="756">
        <f t="shared" si="53"/>
        <v>5232</v>
      </c>
    </row>
    <row r="319" spans="1:21" ht="14.1" customHeight="1">
      <c r="A319" s="559">
        <v>319</v>
      </c>
      <c r="B319" s="375" t="s">
        <v>504</v>
      </c>
      <c r="C319" s="552" t="s">
        <v>520</v>
      </c>
      <c r="D319" s="757">
        <f>VLOOKUP(B319,Locatieoverzicht!$A$14:$E$21,5,FALSE)</f>
        <v>1</v>
      </c>
      <c r="E319" s="373">
        <v>1</v>
      </c>
      <c r="F319" s="647" t="s">
        <v>434</v>
      </c>
      <c r="G319" s="649" t="s">
        <v>401</v>
      </c>
      <c r="H319" s="374" t="str">
        <f t="shared" si="54"/>
        <v>Leslokaal regulier</v>
      </c>
      <c r="I319" s="375" t="s">
        <v>612</v>
      </c>
      <c r="J319" s="561">
        <v>51.6</v>
      </c>
      <c r="K319" s="612">
        <v>8040</v>
      </c>
      <c r="L319" s="376">
        <f t="shared" si="55"/>
        <v>40</v>
      </c>
      <c r="M319" s="377">
        <f t="shared" si="50"/>
        <v>0</v>
      </c>
      <c r="N319" s="377">
        <f t="shared" si="51"/>
        <v>0</v>
      </c>
      <c r="O319" s="377">
        <f t="shared" si="56"/>
        <v>0</v>
      </c>
      <c r="P319" s="377">
        <f t="shared" si="57"/>
        <v>0</v>
      </c>
      <c r="Q319" s="755">
        <v>1</v>
      </c>
      <c r="R319" s="378" t="str">
        <f t="shared" si="52"/>
        <v>L</v>
      </c>
      <c r="S319" s="379"/>
      <c r="T319" s="379"/>
      <c r="U319" s="756">
        <f t="shared" si="53"/>
        <v>2064</v>
      </c>
    </row>
    <row r="320" spans="1:21" ht="14.1" customHeight="1">
      <c r="A320" s="559">
        <v>320</v>
      </c>
      <c r="B320" s="375" t="s">
        <v>504</v>
      </c>
      <c r="C320" s="552" t="s">
        <v>520</v>
      </c>
      <c r="D320" s="757">
        <f>VLOOKUP(B320,Locatieoverzicht!$A$14:$E$21,5,FALSE)</f>
        <v>1</v>
      </c>
      <c r="E320" s="373">
        <v>1</v>
      </c>
      <c r="F320" s="647" t="s">
        <v>435</v>
      </c>
      <c r="G320" s="649" t="s">
        <v>401</v>
      </c>
      <c r="H320" s="374" t="str">
        <f t="shared" si="54"/>
        <v>Leslokaal regulier</v>
      </c>
      <c r="I320" s="375" t="s">
        <v>612</v>
      </c>
      <c r="J320" s="561">
        <v>51.6</v>
      </c>
      <c r="K320" s="612">
        <v>8040</v>
      </c>
      <c r="L320" s="376">
        <f t="shared" si="55"/>
        <v>40</v>
      </c>
      <c r="M320" s="377">
        <f t="shared" si="50"/>
        <v>0</v>
      </c>
      <c r="N320" s="377">
        <f t="shared" si="51"/>
        <v>0</v>
      </c>
      <c r="O320" s="377">
        <f t="shared" si="56"/>
        <v>0</v>
      </c>
      <c r="P320" s="377">
        <f t="shared" si="57"/>
        <v>0</v>
      </c>
      <c r="Q320" s="755">
        <v>1</v>
      </c>
      <c r="R320" s="378" t="str">
        <f t="shared" si="52"/>
        <v>L</v>
      </c>
      <c r="S320" s="379"/>
      <c r="T320" s="379"/>
      <c r="U320" s="756">
        <f t="shared" si="53"/>
        <v>2064</v>
      </c>
    </row>
    <row r="321" spans="1:21" ht="14.1" customHeight="1">
      <c r="A321" s="559">
        <v>321</v>
      </c>
      <c r="B321" s="375" t="s">
        <v>504</v>
      </c>
      <c r="C321" s="552" t="s">
        <v>520</v>
      </c>
      <c r="D321" s="757">
        <f>VLOOKUP(B321,Locatieoverzicht!$A$14:$E$21,5,FALSE)</f>
        <v>1</v>
      </c>
      <c r="E321" s="373">
        <v>1</v>
      </c>
      <c r="F321" s="647" t="s">
        <v>436</v>
      </c>
      <c r="G321" s="649" t="s">
        <v>398</v>
      </c>
      <c r="H321" s="374" t="str">
        <f t="shared" si="54"/>
        <v>Gangen en hallen</v>
      </c>
      <c r="I321" s="375" t="s">
        <v>612</v>
      </c>
      <c r="J321" s="561">
        <v>58.2</v>
      </c>
      <c r="K321" s="612">
        <v>3200</v>
      </c>
      <c r="L321" s="376">
        <f t="shared" si="55"/>
        <v>200</v>
      </c>
      <c r="M321" s="377">
        <f t="shared" si="50"/>
        <v>0</v>
      </c>
      <c r="N321" s="377">
        <f t="shared" si="51"/>
        <v>0</v>
      </c>
      <c r="O321" s="377">
        <f t="shared" si="56"/>
        <v>0</v>
      </c>
      <c r="P321" s="377">
        <f t="shared" si="57"/>
        <v>0</v>
      </c>
      <c r="Q321" s="755">
        <v>1</v>
      </c>
      <c r="R321" s="378" t="str">
        <f t="shared" si="52"/>
        <v>V</v>
      </c>
      <c r="S321" s="379"/>
      <c r="T321" s="379"/>
      <c r="U321" s="756">
        <f t="shared" si="53"/>
        <v>11640</v>
      </c>
    </row>
    <row r="322" spans="1:21" ht="14.1" customHeight="1">
      <c r="A322" s="559">
        <v>322</v>
      </c>
      <c r="B322" s="375" t="s">
        <v>504</v>
      </c>
      <c r="C322" s="552" t="s">
        <v>520</v>
      </c>
      <c r="D322" s="757">
        <f>VLOOKUP(B322,Locatieoverzicht!$A$14:$E$21,5,FALSE)</f>
        <v>1</v>
      </c>
      <c r="E322" s="373">
        <v>1</v>
      </c>
      <c r="F322" s="647" t="s">
        <v>437</v>
      </c>
      <c r="G322" s="650" t="s">
        <v>513</v>
      </c>
      <c r="H322" s="374" t="str">
        <f t="shared" si="54"/>
        <v>Niet van toepassing</v>
      </c>
      <c r="I322" s="375" t="s">
        <v>612</v>
      </c>
      <c r="J322" s="561">
        <v>2.2999999999999998</v>
      </c>
      <c r="K322" s="612" t="s">
        <v>239</v>
      </c>
      <c r="L322" s="376">
        <f t="shared" si="55"/>
        <v>0</v>
      </c>
      <c r="M322" s="377">
        <f t="shared" si="50"/>
        <v>0</v>
      </c>
      <c r="N322" s="377">
        <f t="shared" si="51"/>
        <v>0</v>
      </c>
      <c r="O322" s="377">
        <f t="shared" si="56"/>
        <v>0</v>
      </c>
      <c r="P322" s="377">
        <f t="shared" si="57"/>
        <v>0</v>
      </c>
      <c r="Q322" s="755">
        <v>1</v>
      </c>
      <c r="R322" s="378">
        <f t="shared" si="52"/>
        <v>0</v>
      </c>
      <c r="S322" s="379"/>
      <c r="T322" s="379"/>
      <c r="U322" s="756">
        <f t="shared" si="53"/>
        <v>0</v>
      </c>
    </row>
    <row r="323" spans="1:21" ht="14.1" customHeight="1">
      <c r="A323" s="559">
        <v>323</v>
      </c>
      <c r="B323" s="375" t="s">
        <v>504</v>
      </c>
      <c r="C323" s="552" t="s">
        <v>520</v>
      </c>
      <c r="D323" s="757">
        <f>VLOOKUP(B323,Locatieoverzicht!$A$14:$E$21,5,FALSE)</f>
        <v>1</v>
      </c>
      <c r="E323" s="373">
        <v>1</v>
      </c>
      <c r="F323" s="647" t="s">
        <v>438</v>
      </c>
      <c r="G323" s="649" t="s">
        <v>400</v>
      </c>
      <c r="H323" s="374" t="str">
        <f t="shared" si="54"/>
        <v>Sanitaire ruimten</v>
      </c>
      <c r="I323" s="375" t="s">
        <v>612</v>
      </c>
      <c r="J323" s="561">
        <v>4.8499999999999996</v>
      </c>
      <c r="K323" s="612">
        <v>2200</v>
      </c>
      <c r="L323" s="376">
        <f t="shared" si="55"/>
        <v>200</v>
      </c>
      <c r="M323" s="377">
        <f t="shared" si="50"/>
        <v>0</v>
      </c>
      <c r="N323" s="377">
        <f t="shared" si="51"/>
        <v>0</v>
      </c>
      <c r="O323" s="377">
        <f t="shared" si="56"/>
        <v>0</v>
      </c>
      <c r="P323" s="377">
        <f t="shared" si="57"/>
        <v>0</v>
      </c>
      <c r="Q323" s="755">
        <v>1</v>
      </c>
      <c r="R323" s="378" t="str">
        <f t="shared" si="52"/>
        <v>S</v>
      </c>
      <c r="S323" s="379"/>
      <c r="T323" s="379"/>
      <c r="U323" s="756">
        <f t="shared" si="53"/>
        <v>969.99999999999989</v>
      </c>
    </row>
    <row r="324" spans="1:21" ht="14.1" customHeight="1">
      <c r="A324" s="559">
        <v>324</v>
      </c>
      <c r="B324" s="375" t="s">
        <v>504</v>
      </c>
      <c r="C324" s="552" t="s">
        <v>520</v>
      </c>
      <c r="D324" s="757">
        <f>VLOOKUP(B324,Locatieoverzicht!$A$14:$E$21,5,FALSE)</f>
        <v>1</v>
      </c>
      <c r="E324" s="373">
        <v>1</v>
      </c>
      <c r="F324" s="647" t="s">
        <v>439</v>
      </c>
      <c r="G324" s="649" t="s">
        <v>400</v>
      </c>
      <c r="H324" s="374" t="str">
        <f t="shared" si="54"/>
        <v>Sanitaire ruimten</v>
      </c>
      <c r="I324" s="375" t="s">
        <v>612</v>
      </c>
      <c r="J324" s="561">
        <v>8.6</v>
      </c>
      <c r="K324" s="612">
        <v>2200</v>
      </c>
      <c r="L324" s="376">
        <f t="shared" si="55"/>
        <v>200</v>
      </c>
      <c r="M324" s="377">
        <f t="shared" si="50"/>
        <v>0</v>
      </c>
      <c r="N324" s="377">
        <f t="shared" si="51"/>
        <v>0</v>
      </c>
      <c r="O324" s="377">
        <f t="shared" si="56"/>
        <v>0</v>
      </c>
      <c r="P324" s="377">
        <f t="shared" si="57"/>
        <v>0</v>
      </c>
      <c r="Q324" s="755">
        <v>1</v>
      </c>
      <c r="R324" s="378" t="str">
        <f t="shared" si="52"/>
        <v>S</v>
      </c>
      <c r="S324" s="379"/>
      <c r="T324" s="379"/>
      <c r="U324" s="756">
        <f t="shared" si="53"/>
        <v>1720</v>
      </c>
    </row>
    <row r="325" spans="1:21" ht="14.1" customHeight="1">
      <c r="A325" s="559">
        <v>325</v>
      </c>
      <c r="B325" s="375" t="s">
        <v>504</v>
      </c>
      <c r="C325" s="552" t="s">
        <v>520</v>
      </c>
      <c r="D325" s="757">
        <f>VLOOKUP(B325,Locatieoverzicht!$A$14:$E$21,5,FALSE)</f>
        <v>1</v>
      </c>
      <c r="E325" s="373">
        <v>1</v>
      </c>
      <c r="F325" s="647" t="s">
        <v>440</v>
      </c>
      <c r="G325" s="649" t="s">
        <v>401</v>
      </c>
      <c r="H325" s="374" t="str">
        <f t="shared" si="54"/>
        <v>Leslokaal regulier</v>
      </c>
      <c r="I325" s="375" t="s">
        <v>612</v>
      </c>
      <c r="J325" s="561">
        <v>51.5</v>
      </c>
      <c r="K325" s="612">
        <v>8040</v>
      </c>
      <c r="L325" s="376">
        <f t="shared" si="55"/>
        <v>40</v>
      </c>
      <c r="M325" s="377">
        <f t="shared" si="50"/>
        <v>0</v>
      </c>
      <c r="N325" s="377">
        <f t="shared" si="51"/>
        <v>0</v>
      </c>
      <c r="O325" s="377">
        <f t="shared" si="56"/>
        <v>0</v>
      </c>
      <c r="P325" s="377">
        <f t="shared" si="57"/>
        <v>0</v>
      </c>
      <c r="Q325" s="755">
        <v>1</v>
      </c>
      <c r="R325" s="378" t="str">
        <f t="shared" si="52"/>
        <v>L</v>
      </c>
      <c r="S325" s="379"/>
      <c r="T325" s="379"/>
      <c r="U325" s="756">
        <f t="shared" si="53"/>
        <v>2060</v>
      </c>
    </row>
    <row r="326" spans="1:21" ht="14.1" customHeight="1">
      <c r="A326" s="559">
        <v>326</v>
      </c>
      <c r="B326" s="375" t="s">
        <v>504</v>
      </c>
      <c r="C326" s="552" t="s">
        <v>520</v>
      </c>
      <c r="D326" s="757">
        <f>VLOOKUP(B326,Locatieoverzicht!$A$14:$E$21,5,FALSE)</f>
        <v>1</v>
      </c>
      <c r="E326" s="373">
        <v>1</v>
      </c>
      <c r="F326" s="647" t="s">
        <v>441</v>
      </c>
      <c r="G326" s="649" t="s">
        <v>400</v>
      </c>
      <c r="H326" s="374" t="str">
        <f t="shared" si="54"/>
        <v>Sanitaire ruimten</v>
      </c>
      <c r="I326" s="375" t="s">
        <v>612</v>
      </c>
      <c r="J326" s="561">
        <v>8.6</v>
      </c>
      <c r="K326" s="612">
        <v>2200</v>
      </c>
      <c r="L326" s="376">
        <f t="shared" si="55"/>
        <v>200</v>
      </c>
      <c r="M326" s="377">
        <f t="shared" si="50"/>
        <v>0</v>
      </c>
      <c r="N326" s="377">
        <f t="shared" si="51"/>
        <v>0</v>
      </c>
      <c r="O326" s="377">
        <f t="shared" si="56"/>
        <v>0</v>
      </c>
      <c r="P326" s="377">
        <f t="shared" si="57"/>
        <v>0</v>
      </c>
      <c r="Q326" s="755">
        <v>1</v>
      </c>
      <c r="R326" s="378" t="str">
        <f t="shared" si="52"/>
        <v>S</v>
      </c>
      <c r="S326" s="379"/>
      <c r="T326" s="379"/>
      <c r="U326" s="756">
        <f t="shared" si="53"/>
        <v>1720</v>
      </c>
    </row>
    <row r="327" spans="1:21" ht="14.1" customHeight="1">
      <c r="A327" s="559">
        <v>327</v>
      </c>
      <c r="B327" s="375" t="s">
        <v>504</v>
      </c>
      <c r="C327" s="552" t="s">
        <v>520</v>
      </c>
      <c r="D327" s="757">
        <f>VLOOKUP(B327,Locatieoverzicht!$A$14:$E$21,5,FALSE)</f>
        <v>1</v>
      </c>
      <c r="E327" s="373">
        <v>1</v>
      </c>
      <c r="F327" s="647" t="s">
        <v>442</v>
      </c>
      <c r="G327" s="649" t="s">
        <v>402</v>
      </c>
      <c r="H327" s="374" t="str">
        <f t="shared" si="54"/>
        <v>Administratieve ruimten</v>
      </c>
      <c r="I327" s="375" t="s">
        <v>612</v>
      </c>
      <c r="J327" s="561">
        <v>16.5</v>
      </c>
      <c r="K327" s="612">
        <v>1040</v>
      </c>
      <c r="L327" s="376">
        <f t="shared" si="55"/>
        <v>40</v>
      </c>
      <c r="M327" s="377">
        <f t="shared" si="50"/>
        <v>0</v>
      </c>
      <c r="N327" s="377">
        <f t="shared" si="51"/>
        <v>0</v>
      </c>
      <c r="O327" s="377">
        <f t="shared" si="56"/>
        <v>0</v>
      </c>
      <c r="P327" s="377">
        <f t="shared" si="57"/>
        <v>0</v>
      </c>
      <c r="Q327" s="755">
        <v>1</v>
      </c>
      <c r="R327" s="378" t="str">
        <f t="shared" si="52"/>
        <v>B</v>
      </c>
      <c r="S327" s="379"/>
      <c r="T327" s="379"/>
      <c r="U327" s="756">
        <f t="shared" si="53"/>
        <v>660</v>
      </c>
    </row>
    <row r="328" spans="1:21" ht="14.1" customHeight="1">
      <c r="A328" s="559">
        <v>328</v>
      </c>
      <c r="B328" s="375" t="s">
        <v>504</v>
      </c>
      <c r="C328" s="552" t="s">
        <v>520</v>
      </c>
      <c r="D328" s="757">
        <f>VLOOKUP(B328,Locatieoverzicht!$A$14:$E$21,5,FALSE)</f>
        <v>1</v>
      </c>
      <c r="E328" s="373">
        <v>1</v>
      </c>
      <c r="F328" s="647" t="s">
        <v>443</v>
      </c>
      <c r="G328" s="649" t="s">
        <v>401</v>
      </c>
      <c r="H328" s="374" t="str">
        <f t="shared" si="54"/>
        <v>Leslokaal regulier</v>
      </c>
      <c r="I328" s="375" t="s">
        <v>612</v>
      </c>
      <c r="J328" s="561">
        <v>51.4</v>
      </c>
      <c r="K328" s="612">
        <v>8040</v>
      </c>
      <c r="L328" s="376">
        <f t="shared" si="55"/>
        <v>40</v>
      </c>
      <c r="M328" s="377">
        <f t="shared" si="50"/>
        <v>0</v>
      </c>
      <c r="N328" s="377">
        <f t="shared" si="51"/>
        <v>0</v>
      </c>
      <c r="O328" s="377">
        <f t="shared" si="56"/>
        <v>0</v>
      </c>
      <c r="P328" s="377">
        <f t="shared" si="57"/>
        <v>0</v>
      </c>
      <c r="Q328" s="755">
        <v>1</v>
      </c>
      <c r="R328" s="378" t="str">
        <f t="shared" si="52"/>
        <v>L</v>
      </c>
      <c r="S328" s="379"/>
      <c r="T328" s="379"/>
      <c r="U328" s="756">
        <f t="shared" si="53"/>
        <v>2056</v>
      </c>
    </row>
    <row r="329" spans="1:21" ht="14.1" customHeight="1">
      <c r="A329" s="559">
        <v>329</v>
      </c>
      <c r="B329" s="375" t="s">
        <v>504</v>
      </c>
      <c r="C329" s="552" t="s">
        <v>520</v>
      </c>
      <c r="D329" s="757">
        <f>VLOOKUP(B329,Locatieoverzicht!$A$14:$E$21,5,FALSE)</f>
        <v>1</v>
      </c>
      <c r="E329" s="373">
        <v>1</v>
      </c>
      <c r="F329" s="647" t="s">
        <v>444</v>
      </c>
      <c r="G329" s="649" t="s">
        <v>402</v>
      </c>
      <c r="H329" s="374" t="str">
        <f t="shared" si="54"/>
        <v>Administratieve ruimten</v>
      </c>
      <c r="I329" s="375" t="s">
        <v>612</v>
      </c>
      <c r="J329" s="561">
        <v>12.7</v>
      </c>
      <c r="K329" s="612">
        <v>1040</v>
      </c>
      <c r="L329" s="376">
        <f t="shared" si="55"/>
        <v>40</v>
      </c>
      <c r="M329" s="377">
        <f t="shared" si="50"/>
        <v>0</v>
      </c>
      <c r="N329" s="377">
        <f t="shared" si="51"/>
        <v>0</v>
      </c>
      <c r="O329" s="377">
        <f t="shared" si="56"/>
        <v>0</v>
      </c>
      <c r="P329" s="377">
        <f t="shared" si="57"/>
        <v>0</v>
      </c>
      <c r="Q329" s="755">
        <v>1</v>
      </c>
      <c r="R329" s="378" t="str">
        <f t="shared" si="52"/>
        <v>B</v>
      </c>
      <c r="S329" s="379"/>
      <c r="T329" s="379"/>
      <c r="U329" s="756">
        <f t="shared" si="53"/>
        <v>508</v>
      </c>
    </row>
    <row r="330" spans="1:21" ht="14.1" customHeight="1">
      <c r="A330" s="559">
        <v>330</v>
      </c>
      <c r="B330" s="375" t="s">
        <v>504</v>
      </c>
      <c r="C330" s="552" t="s">
        <v>520</v>
      </c>
      <c r="D330" s="757">
        <f>VLOOKUP(B330,Locatieoverzicht!$A$14:$E$21,5,FALSE)</f>
        <v>1</v>
      </c>
      <c r="E330" s="373">
        <v>1</v>
      </c>
      <c r="F330" s="647" t="s">
        <v>445</v>
      </c>
      <c r="G330" s="649" t="s">
        <v>401</v>
      </c>
      <c r="H330" s="374" t="str">
        <f t="shared" si="54"/>
        <v>Leslokaal regulier</v>
      </c>
      <c r="I330" s="375" t="s">
        <v>612</v>
      </c>
      <c r="J330" s="561">
        <v>32</v>
      </c>
      <c r="K330" s="612">
        <v>8040</v>
      </c>
      <c r="L330" s="376">
        <f t="shared" si="55"/>
        <v>40</v>
      </c>
      <c r="M330" s="377">
        <f t="shared" si="50"/>
        <v>0</v>
      </c>
      <c r="N330" s="377">
        <f t="shared" si="51"/>
        <v>0</v>
      </c>
      <c r="O330" s="377">
        <f t="shared" si="56"/>
        <v>0</v>
      </c>
      <c r="P330" s="377">
        <f t="shared" si="57"/>
        <v>0</v>
      </c>
      <c r="Q330" s="755">
        <v>1</v>
      </c>
      <c r="R330" s="378" t="str">
        <f t="shared" si="52"/>
        <v>L</v>
      </c>
      <c r="S330" s="379"/>
      <c r="T330" s="379"/>
      <c r="U330" s="756">
        <f t="shared" si="53"/>
        <v>1280</v>
      </c>
    </row>
    <row r="331" spans="1:21" ht="14.1" customHeight="1">
      <c r="A331" s="559">
        <v>331</v>
      </c>
      <c r="B331" s="375" t="s">
        <v>504</v>
      </c>
      <c r="C331" s="552" t="s">
        <v>520</v>
      </c>
      <c r="D331" s="757">
        <f>VLOOKUP(B331,Locatieoverzicht!$A$14:$E$21,5,FALSE)</f>
        <v>1</v>
      </c>
      <c r="E331" s="373">
        <v>1</v>
      </c>
      <c r="F331" s="647" t="s">
        <v>446</v>
      </c>
      <c r="G331" s="649" t="s">
        <v>398</v>
      </c>
      <c r="H331" s="374" t="str">
        <f t="shared" si="54"/>
        <v>Gangen en hallen</v>
      </c>
      <c r="I331" s="375" t="s">
        <v>612</v>
      </c>
      <c r="J331" s="561">
        <v>16.7</v>
      </c>
      <c r="K331" s="612">
        <v>3200</v>
      </c>
      <c r="L331" s="376">
        <f t="shared" si="55"/>
        <v>200</v>
      </c>
      <c r="M331" s="377">
        <f t="shared" ref="M331:M394" si="58">O331*J331*Q331</f>
        <v>0</v>
      </c>
      <c r="N331" s="377">
        <f t="shared" ref="N331:N394" si="59">P331*J331*Q331</f>
        <v>0</v>
      </c>
      <c r="O331" s="377">
        <f t="shared" si="56"/>
        <v>0</v>
      </c>
      <c r="P331" s="377">
        <f t="shared" si="57"/>
        <v>0</v>
      </c>
      <c r="Q331" s="755">
        <v>1</v>
      </c>
      <c r="R331" s="378" t="str">
        <f t="shared" si="52"/>
        <v>V</v>
      </c>
      <c r="S331" s="379"/>
      <c r="T331" s="379"/>
      <c r="U331" s="756">
        <f t="shared" si="53"/>
        <v>3340</v>
      </c>
    </row>
    <row r="332" spans="1:21" ht="14.1" customHeight="1">
      <c r="A332" s="559">
        <v>332</v>
      </c>
      <c r="B332" s="375" t="s">
        <v>504</v>
      </c>
      <c r="C332" s="552" t="s">
        <v>520</v>
      </c>
      <c r="D332" s="757">
        <f>VLOOKUP(B332,Locatieoverzicht!$A$14:$E$21,5,FALSE)</f>
        <v>1</v>
      </c>
      <c r="E332" s="373">
        <v>1</v>
      </c>
      <c r="F332" s="647" t="s">
        <v>447</v>
      </c>
      <c r="G332" s="649" t="s">
        <v>398</v>
      </c>
      <c r="H332" s="374" t="str">
        <f t="shared" si="54"/>
        <v>Gangen en hallen</v>
      </c>
      <c r="I332" s="375" t="s">
        <v>612</v>
      </c>
      <c r="J332" s="561">
        <v>16.2</v>
      </c>
      <c r="K332" s="612">
        <v>3200</v>
      </c>
      <c r="L332" s="376">
        <f t="shared" si="55"/>
        <v>200</v>
      </c>
      <c r="M332" s="377">
        <f t="shared" si="58"/>
        <v>0</v>
      </c>
      <c r="N332" s="377">
        <f t="shared" si="59"/>
        <v>0</v>
      </c>
      <c r="O332" s="377">
        <f t="shared" si="56"/>
        <v>0</v>
      </c>
      <c r="P332" s="377">
        <f t="shared" si="57"/>
        <v>0</v>
      </c>
      <c r="Q332" s="755">
        <v>1</v>
      </c>
      <c r="R332" s="378" t="str">
        <f t="shared" si="52"/>
        <v>V</v>
      </c>
      <c r="S332" s="379"/>
      <c r="T332" s="379"/>
      <c r="U332" s="756">
        <f t="shared" si="53"/>
        <v>3240</v>
      </c>
    </row>
    <row r="333" spans="1:21" ht="14.1" customHeight="1">
      <c r="A333" s="559">
        <v>333</v>
      </c>
      <c r="B333" s="375" t="s">
        <v>504</v>
      </c>
      <c r="C333" s="552" t="s">
        <v>520</v>
      </c>
      <c r="D333" s="757">
        <f>VLOOKUP(B333,Locatieoverzicht!$A$14:$E$21,5,FALSE)</f>
        <v>1</v>
      </c>
      <c r="E333" s="373">
        <v>1</v>
      </c>
      <c r="F333" s="647" t="s">
        <v>448</v>
      </c>
      <c r="G333" s="649" t="s">
        <v>401</v>
      </c>
      <c r="H333" s="374" t="str">
        <f t="shared" si="54"/>
        <v>Leslokaal regulier</v>
      </c>
      <c r="I333" s="375" t="s">
        <v>612</v>
      </c>
      <c r="J333" s="561">
        <v>54.8</v>
      </c>
      <c r="K333" s="612">
        <v>8040</v>
      </c>
      <c r="L333" s="376">
        <f t="shared" si="55"/>
        <v>40</v>
      </c>
      <c r="M333" s="377">
        <f t="shared" si="58"/>
        <v>0</v>
      </c>
      <c r="N333" s="377">
        <f t="shared" si="59"/>
        <v>0</v>
      </c>
      <c r="O333" s="377">
        <f t="shared" si="56"/>
        <v>0</v>
      </c>
      <c r="P333" s="377">
        <f t="shared" si="57"/>
        <v>0</v>
      </c>
      <c r="Q333" s="755">
        <v>1</v>
      </c>
      <c r="R333" s="378" t="str">
        <f t="shared" ref="R333:R361" si="60">IF(K333="","",VLOOKUP(K333,Kengetal,11,FALSE))</f>
        <v>L</v>
      </c>
      <c r="S333" s="379"/>
      <c r="T333" s="379"/>
      <c r="U333" s="756">
        <f t="shared" ref="U333:U361" si="61">J333*L333</f>
        <v>2192</v>
      </c>
    </row>
    <row r="334" spans="1:21" ht="14.1" customHeight="1">
      <c r="A334" s="559">
        <v>334</v>
      </c>
      <c r="B334" s="375" t="s">
        <v>504</v>
      </c>
      <c r="C334" s="552" t="s">
        <v>520</v>
      </c>
      <c r="D334" s="757">
        <f>VLOOKUP(B334,Locatieoverzicht!$A$14:$E$21,5,FALSE)</f>
        <v>1</v>
      </c>
      <c r="E334" s="373">
        <v>1</v>
      </c>
      <c r="F334" s="647" t="s">
        <v>449</v>
      </c>
      <c r="G334" s="649" t="s">
        <v>401</v>
      </c>
      <c r="H334" s="374" t="str">
        <f t="shared" si="54"/>
        <v>Leslokaal regulier</v>
      </c>
      <c r="I334" s="375" t="s">
        <v>612</v>
      </c>
      <c r="J334" s="561">
        <v>55.4</v>
      </c>
      <c r="K334" s="612">
        <v>8040</v>
      </c>
      <c r="L334" s="376">
        <f t="shared" si="55"/>
        <v>40</v>
      </c>
      <c r="M334" s="377">
        <f t="shared" si="58"/>
        <v>0</v>
      </c>
      <c r="N334" s="377">
        <f t="shared" si="59"/>
        <v>0</v>
      </c>
      <c r="O334" s="377">
        <f t="shared" si="56"/>
        <v>0</v>
      </c>
      <c r="P334" s="377">
        <f t="shared" si="57"/>
        <v>0</v>
      </c>
      <c r="Q334" s="755">
        <v>1</v>
      </c>
      <c r="R334" s="378" t="str">
        <f t="shared" si="60"/>
        <v>L</v>
      </c>
      <c r="S334" s="379"/>
      <c r="T334" s="379"/>
      <c r="U334" s="756">
        <f t="shared" si="61"/>
        <v>2216</v>
      </c>
    </row>
    <row r="335" spans="1:21" ht="14.1" customHeight="1">
      <c r="A335" s="559">
        <v>335</v>
      </c>
      <c r="B335" s="375" t="s">
        <v>504</v>
      </c>
      <c r="C335" s="552" t="s">
        <v>520</v>
      </c>
      <c r="D335" s="757">
        <f>VLOOKUP(B335,Locatieoverzicht!$A$14:$E$21,5,FALSE)</f>
        <v>1</v>
      </c>
      <c r="E335" s="373">
        <v>1</v>
      </c>
      <c r="F335" s="647" t="s">
        <v>450</v>
      </c>
      <c r="G335" s="649" t="s">
        <v>400</v>
      </c>
      <c r="H335" s="374" t="str">
        <f t="shared" ref="H335:H361" si="62">IF($K335="",0,VLOOKUP($K335,Kengetal,3,FALSE))</f>
        <v>Sanitaire ruimten</v>
      </c>
      <c r="I335" s="375" t="s">
        <v>612</v>
      </c>
      <c r="J335" s="561">
        <v>11.25</v>
      </c>
      <c r="K335" s="612">
        <v>2200</v>
      </c>
      <c r="L335" s="376">
        <f t="shared" ref="L335:L361" si="63">SUM(IF(K335="",0,VLOOKUP(K335,Kengetal,2)))</f>
        <v>200</v>
      </c>
      <c r="M335" s="377">
        <f t="shared" si="58"/>
        <v>0</v>
      </c>
      <c r="N335" s="377">
        <f t="shared" si="59"/>
        <v>0</v>
      </c>
      <c r="O335" s="377">
        <f t="shared" ref="O335:O361" si="64">IF($K335="",0,VLOOKUP($K335,Kengetal,5,FALSE))</f>
        <v>0</v>
      </c>
      <c r="P335" s="377">
        <f t="shared" ref="P335:P361" si="65">IF($K335="",0,VLOOKUP($K335,Kengetal,6,FALSE))</f>
        <v>0</v>
      </c>
      <c r="Q335" s="755">
        <v>1</v>
      </c>
      <c r="R335" s="378" t="str">
        <f t="shared" si="60"/>
        <v>S</v>
      </c>
      <c r="S335" s="379"/>
      <c r="T335" s="379"/>
      <c r="U335" s="756">
        <f t="shared" si="61"/>
        <v>2250</v>
      </c>
    </row>
    <row r="336" spans="1:21" ht="14.1" customHeight="1">
      <c r="A336" s="559">
        <v>336</v>
      </c>
      <c r="B336" s="375" t="s">
        <v>504</v>
      </c>
      <c r="C336" s="552" t="s">
        <v>520</v>
      </c>
      <c r="D336" s="757">
        <f>VLOOKUP(B336,Locatieoverzicht!$A$14:$E$21,5,FALSE)</f>
        <v>1</v>
      </c>
      <c r="E336" s="373">
        <v>1</v>
      </c>
      <c r="F336" s="647" t="s">
        <v>451</v>
      </c>
      <c r="G336" s="649" t="s">
        <v>400</v>
      </c>
      <c r="H336" s="374" t="str">
        <f t="shared" si="62"/>
        <v>Sanitaire ruimten</v>
      </c>
      <c r="I336" s="375" t="s">
        <v>612</v>
      </c>
      <c r="J336" s="561">
        <v>11.25</v>
      </c>
      <c r="K336" s="612">
        <v>2200</v>
      </c>
      <c r="L336" s="376">
        <f t="shared" si="63"/>
        <v>200</v>
      </c>
      <c r="M336" s="377">
        <f t="shared" si="58"/>
        <v>0</v>
      </c>
      <c r="N336" s="377">
        <f t="shared" si="59"/>
        <v>0</v>
      </c>
      <c r="O336" s="377">
        <f t="shared" si="64"/>
        <v>0</v>
      </c>
      <c r="P336" s="377">
        <f t="shared" si="65"/>
        <v>0</v>
      </c>
      <c r="Q336" s="755">
        <v>1</v>
      </c>
      <c r="R336" s="378" t="str">
        <f t="shared" si="60"/>
        <v>S</v>
      </c>
      <c r="S336" s="379"/>
      <c r="T336" s="379"/>
      <c r="U336" s="756">
        <f t="shared" si="61"/>
        <v>2250</v>
      </c>
    </row>
    <row r="337" spans="1:21" ht="14.1" customHeight="1">
      <c r="A337" s="559">
        <v>337</v>
      </c>
      <c r="B337" s="375" t="s">
        <v>504</v>
      </c>
      <c r="C337" s="552" t="s">
        <v>520</v>
      </c>
      <c r="D337" s="757">
        <f>VLOOKUP(B337,Locatieoverzicht!$A$14:$E$21,5,FALSE)</f>
        <v>1</v>
      </c>
      <c r="E337" s="373">
        <v>1</v>
      </c>
      <c r="F337" s="647" t="s">
        <v>452</v>
      </c>
      <c r="G337" s="649" t="s">
        <v>401</v>
      </c>
      <c r="H337" s="374" t="str">
        <f t="shared" si="62"/>
        <v>Leslokaal regulier</v>
      </c>
      <c r="I337" s="375" t="s">
        <v>612</v>
      </c>
      <c r="J337" s="561">
        <v>55.7</v>
      </c>
      <c r="K337" s="612">
        <v>8040</v>
      </c>
      <c r="L337" s="376">
        <f t="shared" si="63"/>
        <v>40</v>
      </c>
      <c r="M337" s="377">
        <f t="shared" si="58"/>
        <v>0</v>
      </c>
      <c r="N337" s="377">
        <f t="shared" si="59"/>
        <v>0</v>
      </c>
      <c r="O337" s="377">
        <f t="shared" si="64"/>
        <v>0</v>
      </c>
      <c r="P337" s="377">
        <f t="shared" si="65"/>
        <v>0</v>
      </c>
      <c r="Q337" s="755">
        <v>1</v>
      </c>
      <c r="R337" s="378" t="str">
        <f t="shared" si="60"/>
        <v>L</v>
      </c>
      <c r="S337" s="379"/>
      <c r="T337" s="379"/>
      <c r="U337" s="756">
        <f t="shared" si="61"/>
        <v>2228</v>
      </c>
    </row>
    <row r="338" spans="1:21" ht="14.1" customHeight="1">
      <c r="A338" s="559">
        <v>338</v>
      </c>
      <c r="B338" s="375" t="s">
        <v>504</v>
      </c>
      <c r="C338" s="552" t="s">
        <v>520</v>
      </c>
      <c r="D338" s="757">
        <f>VLOOKUP(B338,Locatieoverzicht!$A$14:$E$21,5,FALSE)</f>
        <v>1</v>
      </c>
      <c r="E338" s="373">
        <v>1</v>
      </c>
      <c r="F338" s="647" t="s">
        <v>453</v>
      </c>
      <c r="G338" s="649" t="s">
        <v>513</v>
      </c>
      <c r="H338" s="374" t="str">
        <f t="shared" si="62"/>
        <v>Niet van toepassing</v>
      </c>
      <c r="I338" s="375" t="s">
        <v>612</v>
      </c>
      <c r="J338" s="561">
        <v>2.25</v>
      </c>
      <c r="K338" s="612" t="s">
        <v>239</v>
      </c>
      <c r="L338" s="376">
        <f t="shared" si="63"/>
        <v>0</v>
      </c>
      <c r="M338" s="377">
        <f t="shared" si="58"/>
        <v>0</v>
      </c>
      <c r="N338" s="377">
        <f t="shared" si="59"/>
        <v>0</v>
      </c>
      <c r="O338" s="377">
        <f t="shared" si="64"/>
        <v>0</v>
      </c>
      <c r="P338" s="377">
        <f t="shared" si="65"/>
        <v>0</v>
      </c>
      <c r="Q338" s="755">
        <v>1</v>
      </c>
      <c r="R338" s="378">
        <f t="shared" si="60"/>
        <v>0</v>
      </c>
      <c r="S338" s="379"/>
      <c r="T338" s="379"/>
      <c r="U338" s="756">
        <f t="shared" si="61"/>
        <v>0</v>
      </c>
    </row>
    <row r="339" spans="1:21" ht="14.1" customHeight="1">
      <c r="A339" s="559">
        <v>339</v>
      </c>
      <c r="B339" s="375" t="s">
        <v>504</v>
      </c>
      <c r="C339" s="552" t="s">
        <v>520</v>
      </c>
      <c r="D339" s="757">
        <f>VLOOKUP(B339,Locatieoverzicht!$A$14:$E$21,5,FALSE)</f>
        <v>1</v>
      </c>
      <c r="E339" s="373">
        <v>1</v>
      </c>
      <c r="F339" s="647" t="s">
        <v>454</v>
      </c>
      <c r="G339" s="649" t="s">
        <v>402</v>
      </c>
      <c r="H339" s="374" t="str">
        <f t="shared" si="62"/>
        <v>Administratieve ruimten</v>
      </c>
      <c r="I339" s="375" t="s">
        <v>613</v>
      </c>
      <c r="J339" s="561">
        <v>19.3</v>
      </c>
      <c r="K339" s="612">
        <v>1040</v>
      </c>
      <c r="L339" s="376">
        <f t="shared" si="63"/>
        <v>40</v>
      </c>
      <c r="M339" s="377">
        <f t="shared" si="58"/>
        <v>0</v>
      </c>
      <c r="N339" s="377">
        <f t="shared" si="59"/>
        <v>0</v>
      </c>
      <c r="O339" s="377">
        <f t="shared" si="64"/>
        <v>0</v>
      </c>
      <c r="P339" s="377">
        <f t="shared" si="65"/>
        <v>0</v>
      </c>
      <c r="Q339" s="755">
        <v>1</v>
      </c>
      <c r="R339" s="378" t="str">
        <f t="shared" si="60"/>
        <v>B</v>
      </c>
      <c r="S339" s="379"/>
      <c r="T339" s="379"/>
      <c r="U339" s="756">
        <f t="shared" si="61"/>
        <v>772</v>
      </c>
    </row>
    <row r="340" spans="1:21" ht="14.1" customHeight="1">
      <c r="A340" s="559">
        <v>340</v>
      </c>
      <c r="B340" s="375" t="s">
        <v>504</v>
      </c>
      <c r="C340" s="552" t="s">
        <v>520</v>
      </c>
      <c r="D340" s="757">
        <f>VLOOKUP(B340,Locatieoverzicht!$A$14:$E$21,5,FALSE)</f>
        <v>1</v>
      </c>
      <c r="E340" s="373">
        <v>1</v>
      </c>
      <c r="F340" s="647" t="s">
        <v>455</v>
      </c>
      <c r="G340" s="649" t="s">
        <v>497</v>
      </c>
      <c r="H340" s="374" t="str">
        <f t="shared" si="62"/>
        <v>Mediatheek/Bibliotheek/Computerlokaal</v>
      </c>
      <c r="I340" s="375" t="s">
        <v>612</v>
      </c>
      <c r="J340" s="561">
        <v>84.6</v>
      </c>
      <c r="K340" s="612">
        <v>14080</v>
      </c>
      <c r="L340" s="376">
        <f t="shared" si="63"/>
        <v>80</v>
      </c>
      <c r="M340" s="377">
        <f t="shared" si="58"/>
        <v>0</v>
      </c>
      <c r="N340" s="377">
        <f t="shared" si="59"/>
        <v>0</v>
      </c>
      <c r="O340" s="377">
        <f t="shared" si="64"/>
        <v>0</v>
      </c>
      <c r="P340" s="377">
        <f t="shared" si="65"/>
        <v>0</v>
      </c>
      <c r="Q340" s="755">
        <v>1</v>
      </c>
      <c r="R340" s="378" t="str">
        <f t="shared" si="60"/>
        <v>V</v>
      </c>
      <c r="S340" s="379"/>
      <c r="T340" s="379"/>
      <c r="U340" s="756">
        <f t="shared" si="61"/>
        <v>6768</v>
      </c>
    </row>
    <row r="341" spans="1:21" ht="14.1" customHeight="1">
      <c r="A341" s="559">
        <v>341</v>
      </c>
      <c r="B341" s="375" t="s">
        <v>504</v>
      </c>
      <c r="C341" s="552" t="s">
        <v>520</v>
      </c>
      <c r="D341" s="757">
        <f>VLOOKUP(B341,Locatieoverzicht!$A$14:$E$21,5,FALSE)</f>
        <v>1</v>
      </c>
      <c r="E341" s="373">
        <v>1</v>
      </c>
      <c r="F341" s="647" t="s">
        <v>456</v>
      </c>
      <c r="G341" s="650" t="s">
        <v>497</v>
      </c>
      <c r="H341" s="374" t="str">
        <f t="shared" si="62"/>
        <v>Mediatheek/Bibliotheek/Computerlokaal</v>
      </c>
      <c r="I341" s="375" t="s">
        <v>612</v>
      </c>
      <c r="J341" s="561">
        <v>73.599999999999994</v>
      </c>
      <c r="K341" s="612">
        <v>14080</v>
      </c>
      <c r="L341" s="376">
        <f t="shared" si="63"/>
        <v>80</v>
      </c>
      <c r="M341" s="377">
        <f t="shared" si="58"/>
        <v>0</v>
      </c>
      <c r="N341" s="377">
        <f t="shared" si="59"/>
        <v>0</v>
      </c>
      <c r="O341" s="377">
        <f t="shared" si="64"/>
        <v>0</v>
      </c>
      <c r="P341" s="377">
        <f t="shared" si="65"/>
        <v>0</v>
      </c>
      <c r="Q341" s="755">
        <v>1</v>
      </c>
      <c r="R341" s="378" t="str">
        <f t="shared" si="60"/>
        <v>V</v>
      </c>
      <c r="S341" s="379"/>
      <c r="T341" s="379"/>
      <c r="U341" s="756">
        <f t="shared" si="61"/>
        <v>5888</v>
      </c>
    </row>
    <row r="342" spans="1:21" ht="14.1" customHeight="1">
      <c r="A342" s="559">
        <v>342</v>
      </c>
      <c r="B342" s="375" t="s">
        <v>504</v>
      </c>
      <c r="C342" s="552" t="s">
        <v>520</v>
      </c>
      <c r="D342" s="757">
        <f>VLOOKUP(B342,Locatieoverzicht!$A$14:$E$21,5,FALSE)</f>
        <v>1</v>
      </c>
      <c r="E342" s="373">
        <v>1</v>
      </c>
      <c r="F342" s="647" t="s">
        <v>457</v>
      </c>
      <c r="G342" s="650" t="s">
        <v>513</v>
      </c>
      <c r="H342" s="374" t="str">
        <f t="shared" si="62"/>
        <v>Niet van toepassing</v>
      </c>
      <c r="I342" s="375" t="s">
        <v>613</v>
      </c>
      <c r="J342" s="561">
        <v>9.19</v>
      </c>
      <c r="K342" s="612" t="s">
        <v>239</v>
      </c>
      <c r="L342" s="376">
        <f t="shared" si="63"/>
        <v>0</v>
      </c>
      <c r="M342" s="377">
        <f t="shared" si="58"/>
        <v>0</v>
      </c>
      <c r="N342" s="377">
        <f t="shared" si="59"/>
        <v>0</v>
      </c>
      <c r="O342" s="377">
        <f t="shared" si="64"/>
        <v>0</v>
      </c>
      <c r="P342" s="377">
        <f t="shared" si="65"/>
        <v>0</v>
      </c>
      <c r="Q342" s="755">
        <v>1</v>
      </c>
      <c r="R342" s="378">
        <f t="shared" si="60"/>
        <v>0</v>
      </c>
      <c r="S342" s="379"/>
      <c r="T342" s="379"/>
      <c r="U342" s="756">
        <f t="shared" si="61"/>
        <v>0</v>
      </c>
    </row>
    <row r="343" spans="1:21" ht="14.1" customHeight="1">
      <c r="A343" s="559">
        <v>343</v>
      </c>
      <c r="B343" s="375" t="s">
        <v>504</v>
      </c>
      <c r="C343" s="552" t="s">
        <v>520</v>
      </c>
      <c r="D343" s="757">
        <f>VLOOKUP(B343,Locatieoverzicht!$A$14:$E$21,5,FALSE)</f>
        <v>1</v>
      </c>
      <c r="E343" s="373">
        <v>1</v>
      </c>
      <c r="F343" s="647" t="s">
        <v>458</v>
      </c>
      <c r="G343" s="649" t="s">
        <v>400</v>
      </c>
      <c r="H343" s="374" t="str">
        <f t="shared" si="62"/>
        <v>Sanitaire ruimten</v>
      </c>
      <c r="I343" s="375" t="s">
        <v>612</v>
      </c>
      <c r="J343" s="561">
        <v>11</v>
      </c>
      <c r="K343" s="612">
        <v>2200</v>
      </c>
      <c r="L343" s="376">
        <f t="shared" si="63"/>
        <v>200</v>
      </c>
      <c r="M343" s="377">
        <f t="shared" si="58"/>
        <v>0</v>
      </c>
      <c r="N343" s="377">
        <f t="shared" si="59"/>
        <v>0</v>
      </c>
      <c r="O343" s="377">
        <f t="shared" si="64"/>
        <v>0</v>
      </c>
      <c r="P343" s="377">
        <f t="shared" si="65"/>
        <v>0</v>
      </c>
      <c r="Q343" s="755">
        <v>1</v>
      </c>
      <c r="R343" s="378" t="str">
        <f t="shared" si="60"/>
        <v>S</v>
      </c>
      <c r="S343" s="379"/>
      <c r="T343" s="379"/>
      <c r="U343" s="756">
        <f t="shared" si="61"/>
        <v>2200</v>
      </c>
    </row>
    <row r="344" spans="1:21" ht="14.1" customHeight="1">
      <c r="A344" s="559">
        <v>344</v>
      </c>
      <c r="B344" s="375" t="s">
        <v>504</v>
      </c>
      <c r="C344" s="552" t="s">
        <v>520</v>
      </c>
      <c r="D344" s="757">
        <f>VLOOKUP(B344,Locatieoverzicht!$A$14:$E$21,5,FALSE)</f>
        <v>1</v>
      </c>
      <c r="E344" s="373">
        <v>1</v>
      </c>
      <c r="F344" s="647" t="s">
        <v>459</v>
      </c>
      <c r="G344" s="649" t="s">
        <v>400</v>
      </c>
      <c r="H344" s="374" t="str">
        <f t="shared" si="62"/>
        <v>Sanitaire ruimten</v>
      </c>
      <c r="I344" s="375" t="s">
        <v>612</v>
      </c>
      <c r="J344" s="561">
        <v>11</v>
      </c>
      <c r="K344" s="612">
        <v>2200</v>
      </c>
      <c r="L344" s="376">
        <f t="shared" si="63"/>
        <v>200</v>
      </c>
      <c r="M344" s="377">
        <f t="shared" si="58"/>
        <v>0</v>
      </c>
      <c r="N344" s="377">
        <f t="shared" si="59"/>
        <v>0</v>
      </c>
      <c r="O344" s="377">
        <f t="shared" si="64"/>
        <v>0</v>
      </c>
      <c r="P344" s="377">
        <f t="shared" si="65"/>
        <v>0</v>
      </c>
      <c r="Q344" s="755">
        <v>1</v>
      </c>
      <c r="R344" s="378" t="str">
        <f t="shared" si="60"/>
        <v>S</v>
      </c>
      <c r="S344" s="379"/>
      <c r="T344" s="379"/>
      <c r="U344" s="756">
        <f t="shared" si="61"/>
        <v>2200</v>
      </c>
    </row>
    <row r="345" spans="1:21" ht="14.1" customHeight="1">
      <c r="A345" s="559">
        <v>345</v>
      </c>
      <c r="B345" s="375" t="s">
        <v>504</v>
      </c>
      <c r="C345" s="552" t="s">
        <v>520</v>
      </c>
      <c r="D345" s="757">
        <f>VLOOKUP(B345,Locatieoverzicht!$A$14:$E$21,5,FALSE)</f>
        <v>1</v>
      </c>
      <c r="E345" s="373">
        <v>1</v>
      </c>
      <c r="F345" s="647" t="s">
        <v>460</v>
      </c>
      <c r="G345" s="649" t="s">
        <v>401</v>
      </c>
      <c r="H345" s="374" t="str">
        <f t="shared" si="62"/>
        <v>Leslokaal regulier</v>
      </c>
      <c r="I345" s="375" t="s">
        <v>612</v>
      </c>
      <c r="J345" s="561">
        <v>70.599999999999994</v>
      </c>
      <c r="K345" s="612">
        <v>8040</v>
      </c>
      <c r="L345" s="376">
        <f t="shared" si="63"/>
        <v>40</v>
      </c>
      <c r="M345" s="377">
        <f t="shared" si="58"/>
        <v>0</v>
      </c>
      <c r="N345" s="377">
        <f t="shared" si="59"/>
        <v>0</v>
      </c>
      <c r="O345" s="377">
        <f t="shared" si="64"/>
        <v>0</v>
      </c>
      <c r="P345" s="377">
        <f t="shared" si="65"/>
        <v>0</v>
      </c>
      <c r="Q345" s="755">
        <v>1</v>
      </c>
      <c r="R345" s="378" t="str">
        <f t="shared" si="60"/>
        <v>L</v>
      </c>
      <c r="S345" s="379"/>
      <c r="T345" s="379"/>
      <c r="U345" s="756">
        <f t="shared" si="61"/>
        <v>2824</v>
      </c>
    </row>
    <row r="346" spans="1:21" ht="14.1" customHeight="1">
      <c r="A346" s="559">
        <v>346</v>
      </c>
      <c r="B346" s="375" t="s">
        <v>504</v>
      </c>
      <c r="C346" s="552" t="s">
        <v>520</v>
      </c>
      <c r="D346" s="757">
        <f>VLOOKUP(B346,Locatieoverzicht!$A$14:$E$21,5,FALSE)</f>
        <v>1</v>
      </c>
      <c r="E346" s="373">
        <v>1</v>
      </c>
      <c r="F346" s="647" t="s">
        <v>461</v>
      </c>
      <c r="G346" s="649" t="s">
        <v>513</v>
      </c>
      <c r="H346" s="374" t="str">
        <f t="shared" si="62"/>
        <v>Niet van toepassing</v>
      </c>
      <c r="I346" s="375" t="s">
        <v>612</v>
      </c>
      <c r="J346" s="561">
        <v>10.3</v>
      </c>
      <c r="K346" s="612" t="s">
        <v>239</v>
      </c>
      <c r="L346" s="376">
        <f t="shared" si="63"/>
        <v>0</v>
      </c>
      <c r="M346" s="377">
        <f t="shared" si="58"/>
        <v>0</v>
      </c>
      <c r="N346" s="377">
        <f t="shared" si="59"/>
        <v>0</v>
      </c>
      <c r="O346" s="377">
        <f t="shared" si="64"/>
        <v>0</v>
      </c>
      <c r="P346" s="377">
        <f t="shared" si="65"/>
        <v>0</v>
      </c>
      <c r="Q346" s="755">
        <v>1</v>
      </c>
      <c r="R346" s="378">
        <f t="shared" si="60"/>
        <v>0</v>
      </c>
      <c r="S346" s="379"/>
      <c r="T346" s="379"/>
      <c r="U346" s="756">
        <f t="shared" si="61"/>
        <v>0</v>
      </c>
    </row>
    <row r="347" spans="1:21" ht="14.1" customHeight="1">
      <c r="A347" s="559">
        <v>347</v>
      </c>
      <c r="B347" s="375" t="s">
        <v>504</v>
      </c>
      <c r="C347" s="552" t="s">
        <v>520</v>
      </c>
      <c r="D347" s="757">
        <f>VLOOKUP(B347,Locatieoverzicht!$A$14:$E$21,5,FALSE)</f>
        <v>1</v>
      </c>
      <c r="E347" s="373">
        <v>1</v>
      </c>
      <c r="F347" s="647" t="s">
        <v>462</v>
      </c>
      <c r="G347" s="649" t="s">
        <v>402</v>
      </c>
      <c r="H347" s="374" t="str">
        <f t="shared" si="62"/>
        <v>Administratieve ruimten</v>
      </c>
      <c r="I347" s="375" t="s">
        <v>613</v>
      </c>
      <c r="J347" s="561">
        <v>23</v>
      </c>
      <c r="K347" s="612">
        <v>1040</v>
      </c>
      <c r="L347" s="376">
        <f t="shared" si="63"/>
        <v>40</v>
      </c>
      <c r="M347" s="377">
        <f t="shared" si="58"/>
        <v>0</v>
      </c>
      <c r="N347" s="377">
        <f t="shared" si="59"/>
        <v>0</v>
      </c>
      <c r="O347" s="377">
        <f t="shared" si="64"/>
        <v>0</v>
      </c>
      <c r="P347" s="377">
        <f t="shared" si="65"/>
        <v>0</v>
      </c>
      <c r="Q347" s="755">
        <v>1</v>
      </c>
      <c r="R347" s="378" t="str">
        <f t="shared" si="60"/>
        <v>B</v>
      </c>
      <c r="S347" s="379"/>
      <c r="T347" s="379"/>
      <c r="U347" s="756">
        <f t="shared" si="61"/>
        <v>920</v>
      </c>
    </row>
    <row r="348" spans="1:21" ht="14.1" customHeight="1">
      <c r="A348" s="559">
        <v>348</v>
      </c>
      <c r="B348" s="375" t="s">
        <v>504</v>
      </c>
      <c r="C348" s="552" t="s">
        <v>520</v>
      </c>
      <c r="D348" s="757">
        <f>VLOOKUP(B348,Locatieoverzicht!$A$14:$E$21,5,FALSE)</f>
        <v>1</v>
      </c>
      <c r="E348" s="373">
        <v>1</v>
      </c>
      <c r="F348" s="647" t="s">
        <v>463</v>
      </c>
      <c r="G348" s="649" t="s">
        <v>398</v>
      </c>
      <c r="H348" s="374" t="str">
        <f t="shared" si="62"/>
        <v>Gangen en hallen</v>
      </c>
      <c r="I348" s="375" t="s">
        <v>612</v>
      </c>
      <c r="J348" s="561">
        <v>3.4</v>
      </c>
      <c r="K348" s="612">
        <v>3200</v>
      </c>
      <c r="L348" s="376">
        <f t="shared" si="63"/>
        <v>200</v>
      </c>
      <c r="M348" s="377">
        <f t="shared" si="58"/>
        <v>0</v>
      </c>
      <c r="N348" s="377">
        <f t="shared" si="59"/>
        <v>0</v>
      </c>
      <c r="O348" s="377">
        <f t="shared" si="64"/>
        <v>0</v>
      </c>
      <c r="P348" s="377">
        <f t="shared" si="65"/>
        <v>0</v>
      </c>
      <c r="Q348" s="755">
        <v>1</v>
      </c>
      <c r="R348" s="378" t="str">
        <f t="shared" si="60"/>
        <v>V</v>
      </c>
      <c r="S348" s="379"/>
      <c r="T348" s="379"/>
      <c r="U348" s="756">
        <f t="shared" si="61"/>
        <v>680</v>
      </c>
    </row>
    <row r="349" spans="1:21" ht="14.1" customHeight="1">
      <c r="A349" s="559">
        <v>349</v>
      </c>
      <c r="B349" s="375" t="s">
        <v>502</v>
      </c>
      <c r="C349" s="646" t="s">
        <v>518</v>
      </c>
      <c r="D349" s="757">
        <f>VLOOKUP(B349,Locatieoverzicht!$A$14:$E$21,5,FALSE)</f>
        <v>1</v>
      </c>
      <c r="E349" s="373">
        <v>1</v>
      </c>
      <c r="F349" s="647" t="s">
        <v>408</v>
      </c>
      <c r="G349" s="649" t="s">
        <v>550</v>
      </c>
      <c r="H349" s="374" t="str">
        <f t="shared" si="62"/>
        <v>Trappenhuizen</v>
      </c>
      <c r="I349" s="375"/>
      <c r="J349" s="561">
        <v>11.12</v>
      </c>
      <c r="K349" s="612">
        <v>5200</v>
      </c>
      <c r="L349" s="376">
        <f t="shared" si="63"/>
        <v>200</v>
      </c>
      <c r="M349" s="377">
        <f t="shared" si="58"/>
        <v>0</v>
      </c>
      <c r="N349" s="377">
        <f t="shared" si="59"/>
        <v>0</v>
      </c>
      <c r="O349" s="377">
        <f t="shared" si="64"/>
        <v>0</v>
      </c>
      <c r="P349" s="377">
        <f t="shared" si="65"/>
        <v>0</v>
      </c>
      <c r="Q349" s="755">
        <v>1</v>
      </c>
      <c r="R349" s="378" t="str">
        <f t="shared" si="60"/>
        <v>V</v>
      </c>
      <c r="S349" s="379"/>
      <c r="T349" s="379"/>
      <c r="U349" s="756">
        <f t="shared" si="61"/>
        <v>2224</v>
      </c>
    </row>
    <row r="350" spans="1:21" ht="14.1" customHeight="1">
      <c r="A350" s="559">
        <v>350</v>
      </c>
      <c r="B350" s="375" t="s">
        <v>502</v>
      </c>
      <c r="C350" s="646" t="s">
        <v>518</v>
      </c>
      <c r="D350" s="757">
        <f>VLOOKUP(B350,Locatieoverzicht!$A$14:$E$21,5,FALSE)</f>
        <v>1</v>
      </c>
      <c r="E350" s="373">
        <v>1</v>
      </c>
      <c r="F350" s="647" t="s">
        <v>409</v>
      </c>
      <c r="G350" s="649" t="s">
        <v>402</v>
      </c>
      <c r="H350" s="374" t="str">
        <f t="shared" si="62"/>
        <v>Administratieve ruimten</v>
      </c>
      <c r="I350" s="375"/>
      <c r="J350" s="561">
        <v>10.92</v>
      </c>
      <c r="K350" s="612">
        <v>1040</v>
      </c>
      <c r="L350" s="376">
        <f t="shared" si="63"/>
        <v>40</v>
      </c>
      <c r="M350" s="377">
        <f t="shared" si="58"/>
        <v>0</v>
      </c>
      <c r="N350" s="377">
        <f t="shared" si="59"/>
        <v>0</v>
      </c>
      <c r="O350" s="377">
        <f t="shared" si="64"/>
        <v>0</v>
      </c>
      <c r="P350" s="377">
        <f t="shared" si="65"/>
        <v>0</v>
      </c>
      <c r="Q350" s="755">
        <v>1</v>
      </c>
      <c r="R350" s="378" t="str">
        <f t="shared" si="60"/>
        <v>B</v>
      </c>
      <c r="S350" s="379"/>
      <c r="T350" s="379"/>
      <c r="U350" s="756">
        <f t="shared" si="61"/>
        <v>436.8</v>
      </c>
    </row>
    <row r="351" spans="1:21" ht="14.1" customHeight="1">
      <c r="A351" s="559">
        <v>351</v>
      </c>
      <c r="B351" s="375" t="s">
        <v>502</v>
      </c>
      <c r="C351" s="646" t="s">
        <v>518</v>
      </c>
      <c r="D351" s="757">
        <f>VLOOKUP(B351,Locatieoverzicht!$A$14:$E$21,5,FALSE)</f>
        <v>1</v>
      </c>
      <c r="E351" s="373">
        <v>1</v>
      </c>
      <c r="F351" s="647" t="s">
        <v>410</v>
      </c>
      <c r="G351" s="649" t="s">
        <v>401</v>
      </c>
      <c r="H351" s="374" t="str">
        <f t="shared" si="62"/>
        <v>Leslokaal regulier</v>
      </c>
      <c r="I351" s="375"/>
      <c r="J351" s="561">
        <v>55.93</v>
      </c>
      <c r="K351" s="612">
        <v>8040</v>
      </c>
      <c r="L351" s="376">
        <f t="shared" si="63"/>
        <v>40</v>
      </c>
      <c r="M351" s="377">
        <f t="shared" si="58"/>
        <v>0</v>
      </c>
      <c r="N351" s="377">
        <f t="shared" si="59"/>
        <v>0</v>
      </c>
      <c r="O351" s="377">
        <f t="shared" si="64"/>
        <v>0</v>
      </c>
      <c r="P351" s="377">
        <f t="shared" si="65"/>
        <v>0</v>
      </c>
      <c r="Q351" s="755">
        <v>1</v>
      </c>
      <c r="R351" s="378" t="str">
        <f t="shared" si="60"/>
        <v>L</v>
      </c>
      <c r="S351" s="379"/>
      <c r="T351" s="379"/>
      <c r="U351" s="756">
        <f t="shared" si="61"/>
        <v>2237.1999999999998</v>
      </c>
    </row>
    <row r="352" spans="1:21" ht="14.1" customHeight="1">
      <c r="A352" s="559">
        <v>352</v>
      </c>
      <c r="B352" s="375" t="s">
        <v>502</v>
      </c>
      <c r="C352" s="646" t="s">
        <v>518</v>
      </c>
      <c r="D352" s="757">
        <f>VLOOKUP(B352,Locatieoverzicht!$A$14:$E$21,5,FALSE)</f>
        <v>1</v>
      </c>
      <c r="E352" s="373">
        <v>1</v>
      </c>
      <c r="F352" s="647" t="s">
        <v>411</v>
      </c>
      <c r="G352" s="649" t="s">
        <v>400</v>
      </c>
      <c r="H352" s="374" t="str">
        <f t="shared" si="62"/>
        <v>Sanitaire ruimten</v>
      </c>
      <c r="I352" s="375"/>
      <c r="J352" s="561">
        <v>9.8800000000000008</v>
      </c>
      <c r="K352" s="612">
        <v>2200</v>
      </c>
      <c r="L352" s="376">
        <f t="shared" si="63"/>
        <v>200</v>
      </c>
      <c r="M352" s="377">
        <f t="shared" si="58"/>
        <v>0</v>
      </c>
      <c r="N352" s="377">
        <f t="shared" si="59"/>
        <v>0</v>
      </c>
      <c r="O352" s="377">
        <f t="shared" si="64"/>
        <v>0</v>
      </c>
      <c r="P352" s="377">
        <f t="shared" si="65"/>
        <v>0</v>
      </c>
      <c r="Q352" s="755">
        <v>1</v>
      </c>
      <c r="R352" s="378" t="str">
        <f t="shared" si="60"/>
        <v>S</v>
      </c>
      <c r="S352" s="379"/>
      <c r="T352" s="379"/>
      <c r="U352" s="756">
        <f t="shared" si="61"/>
        <v>1976.0000000000002</v>
      </c>
    </row>
    <row r="353" spans="1:21" ht="14.1" customHeight="1">
      <c r="A353" s="559">
        <v>353</v>
      </c>
      <c r="B353" s="375" t="s">
        <v>502</v>
      </c>
      <c r="C353" s="646" t="s">
        <v>518</v>
      </c>
      <c r="D353" s="757">
        <f>VLOOKUP(B353,Locatieoverzicht!$A$14:$E$21,5,FALSE)</f>
        <v>1</v>
      </c>
      <c r="E353" s="373">
        <v>1</v>
      </c>
      <c r="F353" s="647" t="s">
        <v>412</v>
      </c>
      <c r="G353" s="649" t="s">
        <v>400</v>
      </c>
      <c r="H353" s="374" t="str">
        <f t="shared" si="62"/>
        <v>Sanitaire ruimten</v>
      </c>
      <c r="I353" s="375"/>
      <c r="J353" s="561">
        <v>9.7899999999999991</v>
      </c>
      <c r="K353" s="612">
        <v>2200</v>
      </c>
      <c r="L353" s="376">
        <f t="shared" si="63"/>
        <v>200</v>
      </c>
      <c r="M353" s="377">
        <f t="shared" si="58"/>
        <v>0</v>
      </c>
      <c r="N353" s="377">
        <f t="shared" si="59"/>
        <v>0</v>
      </c>
      <c r="O353" s="377">
        <f t="shared" si="64"/>
        <v>0</v>
      </c>
      <c r="P353" s="377">
        <f t="shared" si="65"/>
        <v>0</v>
      </c>
      <c r="Q353" s="755">
        <v>1</v>
      </c>
      <c r="R353" s="378" t="str">
        <f t="shared" si="60"/>
        <v>S</v>
      </c>
      <c r="S353" s="379"/>
      <c r="T353" s="379"/>
      <c r="U353" s="756">
        <f t="shared" si="61"/>
        <v>1957.9999999999998</v>
      </c>
    </row>
    <row r="354" spans="1:21" ht="14.1" customHeight="1">
      <c r="A354" s="559">
        <v>354</v>
      </c>
      <c r="B354" s="375" t="s">
        <v>502</v>
      </c>
      <c r="C354" s="646" t="s">
        <v>518</v>
      </c>
      <c r="D354" s="757">
        <f>VLOOKUP(B354,Locatieoverzicht!$A$14:$E$21,5,FALSE)</f>
        <v>1</v>
      </c>
      <c r="E354" s="373">
        <v>1</v>
      </c>
      <c r="F354" s="647" t="s">
        <v>413</v>
      </c>
      <c r="G354" s="649" t="s">
        <v>401</v>
      </c>
      <c r="H354" s="374" t="str">
        <f t="shared" si="62"/>
        <v>Leslokaal regulier</v>
      </c>
      <c r="I354" s="375"/>
      <c r="J354" s="561">
        <v>56.3</v>
      </c>
      <c r="K354" s="612">
        <v>8040</v>
      </c>
      <c r="L354" s="376">
        <f t="shared" si="63"/>
        <v>40</v>
      </c>
      <c r="M354" s="377">
        <f t="shared" si="58"/>
        <v>0</v>
      </c>
      <c r="N354" s="377">
        <f t="shared" si="59"/>
        <v>0</v>
      </c>
      <c r="O354" s="377">
        <f t="shared" si="64"/>
        <v>0</v>
      </c>
      <c r="P354" s="377">
        <f t="shared" si="65"/>
        <v>0</v>
      </c>
      <c r="Q354" s="755">
        <v>1</v>
      </c>
      <c r="R354" s="378" t="str">
        <f t="shared" si="60"/>
        <v>L</v>
      </c>
      <c r="S354" s="379"/>
      <c r="T354" s="379"/>
      <c r="U354" s="756">
        <f t="shared" si="61"/>
        <v>2252</v>
      </c>
    </row>
    <row r="355" spans="1:21" ht="14.1" customHeight="1">
      <c r="A355" s="559">
        <v>355</v>
      </c>
      <c r="B355" s="375" t="s">
        <v>502</v>
      </c>
      <c r="C355" s="646" t="s">
        <v>518</v>
      </c>
      <c r="D355" s="757">
        <f>VLOOKUP(B355,Locatieoverzicht!$A$14:$E$21,5,FALSE)</f>
        <v>1</v>
      </c>
      <c r="E355" s="373">
        <v>1</v>
      </c>
      <c r="F355" s="647" t="s">
        <v>414</v>
      </c>
      <c r="G355" s="649" t="s">
        <v>550</v>
      </c>
      <c r="H355" s="374" t="str">
        <f t="shared" si="62"/>
        <v>Trappenhuizen</v>
      </c>
      <c r="I355" s="375"/>
      <c r="J355" s="561">
        <v>10.93</v>
      </c>
      <c r="K355" s="612">
        <v>5200</v>
      </c>
      <c r="L355" s="376">
        <f t="shared" si="63"/>
        <v>200</v>
      </c>
      <c r="M355" s="377">
        <f t="shared" si="58"/>
        <v>0</v>
      </c>
      <c r="N355" s="377">
        <f t="shared" si="59"/>
        <v>0</v>
      </c>
      <c r="O355" s="377">
        <f t="shared" si="64"/>
        <v>0</v>
      </c>
      <c r="P355" s="377">
        <f t="shared" si="65"/>
        <v>0</v>
      </c>
      <c r="Q355" s="755">
        <v>1</v>
      </c>
      <c r="R355" s="378" t="str">
        <f t="shared" si="60"/>
        <v>V</v>
      </c>
      <c r="S355" s="379"/>
      <c r="T355" s="379"/>
      <c r="U355" s="756">
        <f t="shared" si="61"/>
        <v>2186</v>
      </c>
    </row>
    <row r="356" spans="1:21" ht="14.1" customHeight="1">
      <c r="A356" s="559">
        <v>356</v>
      </c>
      <c r="B356" s="375" t="s">
        <v>502</v>
      </c>
      <c r="C356" s="646" t="s">
        <v>518</v>
      </c>
      <c r="D356" s="757">
        <f>VLOOKUP(B356,Locatieoverzicht!$A$14:$E$21,5,FALSE)</f>
        <v>1</v>
      </c>
      <c r="E356" s="373">
        <v>1</v>
      </c>
      <c r="F356" s="647" t="s">
        <v>415</v>
      </c>
      <c r="G356" s="649" t="s">
        <v>403</v>
      </c>
      <c r="H356" s="374" t="str">
        <f t="shared" si="62"/>
        <v>Personeelsruimten</v>
      </c>
      <c r="I356" s="375"/>
      <c r="J356" s="561">
        <v>21.59</v>
      </c>
      <c r="K356" s="612">
        <v>12200</v>
      </c>
      <c r="L356" s="376">
        <f t="shared" si="63"/>
        <v>200</v>
      </c>
      <c r="M356" s="377">
        <f t="shared" si="58"/>
        <v>0</v>
      </c>
      <c r="N356" s="377">
        <f t="shared" si="59"/>
        <v>0</v>
      </c>
      <c r="O356" s="377">
        <f t="shared" si="64"/>
        <v>0</v>
      </c>
      <c r="P356" s="377">
        <f t="shared" si="65"/>
        <v>0</v>
      </c>
      <c r="Q356" s="755">
        <v>1</v>
      </c>
      <c r="R356" s="378" t="str">
        <f t="shared" si="60"/>
        <v>V</v>
      </c>
      <c r="S356" s="379"/>
      <c r="T356" s="379"/>
      <c r="U356" s="756">
        <f t="shared" si="61"/>
        <v>4318</v>
      </c>
    </row>
    <row r="357" spans="1:21" ht="14.1" customHeight="1">
      <c r="A357" s="559">
        <v>357</v>
      </c>
      <c r="B357" s="375" t="s">
        <v>502</v>
      </c>
      <c r="C357" s="646" t="s">
        <v>518</v>
      </c>
      <c r="D357" s="757">
        <f>VLOOKUP(B357,Locatieoverzicht!$A$14:$E$21,5,FALSE)</f>
        <v>1</v>
      </c>
      <c r="E357" s="373">
        <v>1</v>
      </c>
      <c r="F357" s="647" t="s">
        <v>416</v>
      </c>
      <c r="G357" s="649" t="s">
        <v>398</v>
      </c>
      <c r="H357" s="374" t="str">
        <f t="shared" si="62"/>
        <v>Gangen en hallen</v>
      </c>
      <c r="I357" s="375"/>
      <c r="J357" s="561">
        <v>51.2</v>
      </c>
      <c r="K357" s="612">
        <v>3200</v>
      </c>
      <c r="L357" s="376">
        <f t="shared" si="63"/>
        <v>200</v>
      </c>
      <c r="M357" s="377">
        <f t="shared" si="58"/>
        <v>0</v>
      </c>
      <c r="N357" s="377">
        <f t="shared" si="59"/>
        <v>0</v>
      </c>
      <c r="O357" s="377">
        <f t="shared" si="64"/>
        <v>0</v>
      </c>
      <c r="P357" s="377">
        <f t="shared" si="65"/>
        <v>0</v>
      </c>
      <c r="Q357" s="755">
        <v>1</v>
      </c>
      <c r="R357" s="378" t="str">
        <f t="shared" si="60"/>
        <v>V</v>
      </c>
      <c r="S357" s="379"/>
      <c r="T357" s="379"/>
      <c r="U357" s="756">
        <f t="shared" si="61"/>
        <v>10240</v>
      </c>
    </row>
    <row r="358" spans="1:21" ht="14.1" customHeight="1">
      <c r="A358" s="559">
        <v>358</v>
      </c>
      <c r="B358" s="375" t="s">
        <v>502</v>
      </c>
      <c r="C358" s="646" t="s">
        <v>518</v>
      </c>
      <c r="D358" s="757">
        <f>VLOOKUP(B358,Locatieoverzicht!$A$14:$E$21,5,FALSE)</f>
        <v>1</v>
      </c>
      <c r="E358" s="373">
        <v>1</v>
      </c>
      <c r="F358" s="647" t="s">
        <v>417</v>
      </c>
      <c r="G358" s="649" t="s">
        <v>401</v>
      </c>
      <c r="H358" s="374" t="str">
        <f t="shared" si="62"/>
        <v>Leslokaal regulier</v>
      </c>
      <c r="I358" s="375"/>
      <c r="J358" s="561">
        <v>56.3</v>
      </c>
      <c r="K358" s="612">
        <v>8040</v>
      </c>
      <c r="L358" s="376">
        <f t="shared" si="63"/>
        <v>40</v>
      </c>
      <c r="M358" s="377">
        <f t="shared" si="58"/>
        <v>0</v>
      </c>
      <c r="N358" s="377">
        <f t="shared" si="59"/>
        <v>0</v>
      </c>
      <c r="O358" s="377">
        <f t="shared" si="64"/>
        <v>0</v>
      </c>
      <c r="P358" s="377">
        <f t="shared" si="65"/>
        <v>0</v>
      </c>
      <c r="Q358" s="755">
        <v>1</v>
      </c>
      <c r="R358" s="378" t="str">
        <f t="shared" si="60"/>
        <v>L</v>
      </c>
      <c r="S358" s="379"/>
      <c r="T358" s="379"/>
      <c r="U358" s="756">
        <f t="shared" si="61"/>
        <v>2252</v>
      </c>
    </row>
    <row r="359" spans="1:21" ht="14.1" customHeight="1">
      <c r="A359" s="559">
        <v>359</v>
      </c>
      <c r="B359" s="375" t="s">
        <v>502</v>
      </c>
      <c r="C359" s="646" t="s">
        <v>518</v>
      </c>
      <c r="D359" s="757">
        <f>VLOOKUP(B359,Locatieoverzicht!$A$14:$E$21,5,FALSE)</f>
        <v>1</v>
      </c>
      <c r="E359" s="373">
        <v>1</v>
      </c>
      <c r="F359" s="647" t="s">
        <v>418</v>
      </c>
      <c r="G359" s="649" t="s">
        <v>326</v>
      </c>
      <c r="H359" s="374" t="str">
        <f t="shared" si="62"/>
        <v>Niet van toepassing</v>
      </c>
      <c r="I359" s="375"/>
      <c r="J359" s="561">
        <v>1.3</v>
      </c>
      <c r="K359" s="612" t="s">
        <v>239</v>
      </c>
      <c r="L359" s="376">
        <f t="shared" si="63"/>
        <v>0</v>
      </c>
      <c r="M359" s="377">
        <f t="shared" si="58"/>
        <v>0</v>
      </c>
      <c r="N359" s="377">
        <f t="shared" si="59"/>
        <v>0</v>
      </c>
      <c r="O359" s="377">
        <f t="shared" si="64"/>
        <v>0</v>
      </c>
      <c r="P359" s="377">
        <f t="shared" si="65"/>
        <v>0</v>
      </c>
      <c r="Q359" s="755">
        <v>1</v>
      </c>
      <c r="R359" s="378">
        <f t="shared" si="60"/>
        <v>0</v>
      </c>
      <c r="S359" s="379"/>
      <c r="T359" s="379"/>
      <c r="U359" s="756">
        <f t="shared" si="61"/>
        <v>0</v>
      </c>
    </row>
    <row r="360" spans="1:21" ht="14.1" customHeight="1">
      <c r="A360" s="559">
        <v>360</v>
      </c>
      <c r="B360" s="375" t="s">
        <v>502</v>
      </c>
      <c r="C360" s="646" t="s">
        <v>518</v>
      </c>
      <c r="D360" s="757">
        <f>VLOOKUP(B360,Locatieoverzicht!$A$14:$E$21,5,FALSE)</f>
        <v>1</v>
      </c>
      <c r="E360" s="373">
        <v>1</v>
      </c>
      <c r="F360" s="647" t="s">
        <v>419</v>
      </c>
      <c r="G360" s="649" t="s">
        <v>400</v>
      </c>
      <c r="H360" s="374" t="str">
        <f t="shared" si="62"/>
        <v>Sanitaire ruimten</v>
      </c>
      <c r="I360" s="375"/>
      <c r="J360" s="561">
        <v>1.38</v>
      </c>
      <c r="K360" s="612">
        <v>2200</v>
      </c>
      <c r="L360" s="376">
        <f t="shared" si="63"/>
        <v>200</v>
      </c>
      <c r="M360" s="377">
        <f t="shared" si="58"/>
        <v>0</v>
      </c>
      <c r="N360" s="377">
        <f t="shared" si="59"/>
        <v>0</v>
      </c>
      <c r="O360" s="377">
        <f t="shared" si="64"/>
        <v>0</v>
      </c>
      <c r="P360" s="377">
        <f t="shared" si="65"/>
        <v>0</v>
      </c>
      <c r="Q360" s="755">
        <v>1</v>
      </c>
      <c r="R360" s="378" t="str">
        <f t="shared" si="60"/>
        <v>S</v>
      </c>
      <c r="S360" s="379"/>
      <c r="T360" s="379"/>
      <c r="U360" s="756">
        <f t="shared" si="61"/>
        <v>276</v>
      </c>
    </row>
    <row r="361" spans="1:21" ht="14.1" customHeight="1">
      <c r="A361" s="559">
        <v>361</v>
      </c>
      <c r="B361" s="375" t="s">
        <v>502</v>
      </c>
      <c r="C361" s="646" t="s">
        <v>518</v>
      </c>
      <c r="D361" s="757">
        <f>VLOOKUP(B361,Locatieoverzicht!$A$14:$E$21,5,FALSE)</f>
        <v>1</v>
      </c>
      <c r="E361" s="373">
        <v>1</v>
      </c>
      <c r="F361" s="647" t="s">
        <v>420</v>
      </c>
      <c r="G361" s="649" t="s">
        <v>401</v>
      </c>
      <c r="H361" s="374" t="str">
        <f t="shared" si="62"/>
        <v>Leslokaal regulier</v>
      </c>
      <c r="I361" s="375"/>
      <c r="J361" s="561">
        <v>56.3</v>
      </c>
      <c r="K361" s="612">
        <v>8040</v>
      </c>
      <c r="L361" s="376">
        <f t="shared" si="63"/>
        <v>40</v>
      </c>
      <c r="M361" s="377">
        <f t="shared" si="58"/>
        <v>0</v>
      </c>
      <c r="N361" s="377">
        <f t="shared" si="59"/>
        <v>0</v>
      </c>
      <c r="O361" s="377">
        <f t="shared" si="64"/>
        <v>0</v>
      </c>
      <c r="P361" s="377">
        <f t="shared" si="65"/>
        <v>0</v>
      </c>
      <c r="Q361" s="755">
        <v>1</v>
      </c>
      <c r="R361" s="378" t="str">
        <f t="shared" si="60"/>
        <v>L</v>
      </c>
      <c r="S361" s="379"/>
      <c r="T361" s="379"/>
      <c r="U361" s="756">
        <f t="shared" si="61"/>
        <v>2252</v>
      </c>
    </row>
    <row r="362" spans="1:21" ht="14.1" customHeight="1">
      <c r="A362" s="559">
        <v>362</v>
      </c>
      <c r="B362" s="551" t="s">
        <v>527</v>
      </c>
      <c r="C362" s="552" t="s">
        <v>521</v>
      </c>
      <c r="D362" s="757">
        <f>VLOOKUP(B362,Locatieoverzicht!$A$14:$E$21,5,FALSE)</f>
        <v>1</v>
      </c>
      <c r="E362" s="380">
        <v>0</v>
      </c>
      <c r="F362" s="598" t="s">
        <v>327</v>
      </c>
      <c r="G362" s="550" t="s">
        <v>550</v>
      </c>
      <c r="H362" s="374" t="str">
        <f t="shared" ref="H362:H396" si="66">IF($K362="",0,VLOOKUP($K362,Kengetal,3,FALSE))</f>
        <v>Trappenhuizen</v>
      </c>
      <c r="I362" s="380" t="s">
        <v>616</v>
      </c>
      <c r="J362" s="561">
        <v>16.2</v>
      </c>
      <c r="K362" s="612">
        <v>5200</v>
      </c>
      <c r="L362" s="376">
        <f t="shared" ref="L362:L396" si="67">SUM(IF(K362="",0,VLOOKUP(K362,Kengetal,2)))</f>
        <v>200</v>
      </c>
      <c r="M362" s="377">
        <f t="shared" si="58"/>
        <v>0</v>
      </c>
      <c r="N362" s="377">
        <f t="shared" si="59"/>
        <v>0</v>
      </c>
      <c r="O362" s="377">
        <f t="shared" ref="O362:O396" si="68">IF($K362="",0,VLOOKUP($K362,Kengetal,5,FALSE))</f>
        <v>0</v>
      </c>
      <c r="P362" s="377">
        <f t="shared" ref="P362:P396" si="69">IF($K362="",0,VLOOKUP($K362,Kengetal,6,FALSE))</f>
        <v>0</v>
      </c>
      <c r="Q362" s="755">
        <v>1</v>
      </c>
      <c r="R362" s="378" t="str">
        <f t="shared" ref="R362:R394" si="70">IF(K362="","",VLOOKUP(K362,Kengetal,11,FALSE))</f>
        <v>V</v>
      </c>
      <c r="S362" s="379"/>
      <c r="T362" s="379"/>
      <c r="U362" s="756">
        <f t="shared" ref="U362:U394" si="71">J362*L362</f>
        <v>3240</v>
      </c>
    </row>
    <row r="363" spans="1:21" ht="14.1" customHeight="1">
      <c r="A363" s="559">
        <v>363</v>
      </c>
      <c r="B363" s="551" t="s">
        <v>527</v>
      </c>
      <c r="C363" s="552" t="s">
        <v>521</v>
      </c>
      <c r="D363" s="757">
        <f>VLOOKUP(B363,Locatieoverzicht!$A$14:$E$21,5,FALSE)</f>
        <v>1</v>
      </c>
      <c r="E363" s="380">
        <v>0</v>
      </c>
      <c r="F363" s="598" t="s">
        <v>328</v>
      </c>
      <c r="G363" s="550" t="s">
        <v>401</v>
      </c>
      <c r="H363" s="374" t="str">
        <f t="shared" si="66"/>
        <v>Leslokaal regulier</v>
      </c>
      <c r="I363" s="380" t="s">
        <v>612</v>
      </c>
      <c r="J363" s="561">
        <v>78.599999999999994</v>
      </c>
      <c r="K363" s="612">
        <v>8040</v>
      </c>
      <c r="L363" s="376">
        <f t="shared" si="67"/>
        <v>40</v>
      </c>
      <c r="M363" s="377">
        <f t="shared" si="58"/>
        <v>0</v>
      </c>
      <c r="N363" s="377">
        <f t="shared" si="59"/>
        <v>0</v>
      </c>
      <c r="O363" s="377">
        <f t="shared" si="68"/>
        <v>0</v>
      </c>
      <c r="P363" s="377">
        <f t="shared" si="69"/>
        <v>0</v>
      </c>
      <c r="Q363" s="755">
        <v>1</v>
      </c>
      <c r="R363" s="378" t="str">
        <f t="shared" si="70"/>
        <v>L</v>
      </c>
      <c r="S363" s="379"/>
      <c r="T363" s="379"/>
      <c r="U363" s="756">
        <f t="shared" si="71"/>
        <v>3144</v>
      </c>
    </row>
    <row r="364" spans="1:21" ht="14.1" customHeight="1">
      <c r="A364" s="559">
        <v>364</v>
      </c>
      <c r="B364" s="551" t="s">
        <v>527</v>
      </c>
      <c r="C364" s="552" t="s">
        <v>521</v>
      </c>
      <c r="D364" s="757">
        <f>VLOOKUP(B364,Locatieoverzicht!$A$14:$E$21,5,FALSE)</f>
        <v>1</v>
      </c>
      <c r="E364" s="380">
        <v>0</v>
      </c>
      <c r="F364" s="598" t="s">
        <v>329</v>
      </c>
      <c r="G364" s="550" t="s">
        <v>399</v>
      </c>
      <c r="H364" s="374" t="str">
        <f t="shared" si="66"/>
        <v>Mediatheek/Bibliotheek/Computerlokaal</v>
      </c>
      <c r="I364" s="380" t="s">
        <v>612</v>
      </c>
      <c r="J364" s="561">
        <v>78.7</v>
      </c>
      <c r="K364" s="612">
        <v>14080</v>
      </c>
      <c r="L364" s="376">
        <f t="shared" si="67"/>
        <v>80</v>
      </c>
      <c r="M364" s="377">
        <f t="shared" si="58"/>
        <v>0</v>
      </c>
      <c r="N364" s="377">
        <f t="shared" si="59"/>
        <v>0</v>
      </c>
      <c r="O364" s="377">
        <f t="shared" si="68"/>
        <v>0</v>
      </c>
      <c r="P364" s="377">
        <f t="shared" si="69"/>
        <v>0</v>
      </c>
      <c r="Q364" s="755">
        <v>1</v>
      </c>
      <c r="R364" s="378" t="str">
        <f t="shared" si="70"/>
        <v>V</v>
      </c>
      <c r="S364" s="379"/>
      <c r="T364" s="379"/>
      <c r="U364" s="756">
        <f t="shared" si="71"/>
        <v>6296</v>
      </c>
    </row>
    <row r="365" spans="1:21" ht="14.1" customHeight="1">
      <c r="A365" s="559">
        <v>365</v>
      </c>
      <c r="B365" s="551" t="s">
        <v>527</v>
      </c>
      <c r="C365" s="552" t="s">
        <v>521</v>
      </c>
      <c r="D365" s="757">
        <f>VLOOKUP(B365,Locatieoverzicht!$A$14:$E$21,5,FALSE)</f>
        <v>1</v>
      </c>
      <c r="E365" s="380">
        <v>0</v>
      </c>
      <c r="F365" s="598" t="s">
        <v>330</v>
      </c>
      <c r="G365" s="550" t="s">
        <v>400</v>
      </c>
      <c r="H365" s="374" t="str">
        <f t="shared" si="66"/>
        <v>Sanitaire ruimten</v>
      </c>
      <c r="I365" s="380" t="s">
        <v>616</v>
      </c>
      <c r="J365" s="561">
        <v>18.899999999999999</v>
      </c>
      <c r="K365" s="612">
        <v>2200</v>
      </c>
      <c r="L365" s="376">
        <f t="shared" si="67"/>
        <v>200</v>
      </c>
      <c r="M365" s="377">
        <f t="shared" si="58"/>
        <v>0</v>
      </c>
      <c r="N365" s="377">
        <f t="shared" si="59"/>
        <v>0</v>
      </c>
      <c r="O365" s="377">
        <f t="shared" si="68"/>
        <v>0</v>
      </c>
      <c r="P365" s="377">
        <f t="shared" si="69"/>
        <v>0</v>
      </c>
      <c r="Q365" s="755">
        <v>1</v>
      </c>
      <c r="R365" s="378" t="str">
        <f t="shared" si="70"/>
        <v>S</v>
      </c>
      <c r="S365" s="379"/>
      <c r="T365" s="379"/>
      <c r="U365" s="756">
        <f t="shared" si="71"/>
        <v>3779.9999999999995</v>
      </c>
    </row>
    <row r="366" spans="1:21" ht="14.1" customHeight="1">
      <c r="A366" s="559">
        <v>366</v>
      </c>
      <c r="B366" s="551" t="s">
        <v>527</v>
      </c>
      <c r="C366" s="552" t="s">
        <v>521</v>
      </c>
      <c r="D366" s="757">
        <f>VLOOKUP(B366,Locatieoverzicht!$A$14:$E$21,5,FALSE)</f>
        <v>1</v>
      </c>
      <c r="E366" s="380">
        <v>0</v>
      </c>
      <c r="F366" s="598" t="s">
        <v>331</v>
      </c>
      <c r="G366" s="550" t="s">
        <v>400</v>
      </c>
      <c r="H366" s="374" t="str">
        <f t="shared" si="66"/>
        <v>Sanitaire ruimten</v>
      </c>
      <c r="I366" s="380" t="s">
        <v>616</v>
      </c>
      <c r="J366" s="561">
        <v>18.899999999999999</v>
      </c>
      <c r="K366" s="612">
        <v>2200</v>
      </c>
      <c r="L366" s="376">
        <f t="shared" si="67"/>
        <v>200</v>
      </c>
      <c r="M366" s="377">
        <f t="shared" si="58"/>
        <v>0</v>
      </c>
      <c r="N366" s="377">
        <f t="shared" si="59"/>
        <v>0</v>
      </c>
      <c r="O366" s="377">
        <f t="shared" si="68"/>
        <v>0</v>
      </c>
      <c r="P366" s="377">
        <f t="shared" si="69"/>
        <v>0</v>
      </c>
      <c r="Q366" s="755">
        <v>1</v>
      </c>
      <c r="R366" s="378" t="str">
        <f t="shared" si="70"/>
        <v>S</v>
      </c>
      <c r="S366" s="379"/>
      <c r="T366" s="379"/>
      <c r="U366" s="756">
        <f t="shared" si="71"/>
        <v>3779.9999999999995</v>
      </c>
    </row>
    <row r="367" spans="1:21" ht="14.1" customHeight="1">
      <c r="A367" s="559">
        <v>367</v>
      </c>
      <c r="B367" s="551" t="s">
        <v>527</v>
      </c>
      <c r="C367" s="552" t="s">
        <v>521</v>
      </c>
      <c r="D367" s="757">
        <f>VLOOKUP(B367,Locatieoverzicht!$A$14:$E$21,5,FALSE)</f>
        <v>1</v>
      </c>
      <c r="E367" s="380">
        <v>0</v>
      </c>
      <c r="F367" s="598" t="s">
        <v>332</v>
      </c>
      <c r="G367" s="550" t="s">
        <v>550</v>
      </c>
      <c r="H367" s="374" t="str">
        <f t="shared" si="66"/>
        <v>Trappenhuizen</v>
      </c>
      <c r="I367" s="380" t="s">
        <v>616</v>
      </c>
      <c r="J367" s="561">
        <v>16.100000000000001</v>
      </c>
      <c r="K367" s="612">
        <v>5200</v>
      </c>
      <c r="L367" s="376">
        <f t="shared" si="67"/>
        <v>200</v>
      </c>
      <c r="M367" s="377">
        <f t="shared" si="58"/>
        <v>0</v>
      </c>
      <c r="N367" s="377">
        <f t="shared" si="59"/>
        <v>0</v>
      </c>
      <c r="O367" s="377">
        <f t="shared" si="68"/>
        <v>0</v>
      </c>
      <c r="P367" s="377">
        <f t="shared" si="69"/>
        <v>0</v>
      </c>
      <c r="Q367" s="755">
        <v>1</v>
      </c>
      <c r="R367" s="378" t="str">
        <f t="shared" si="70"/>
        <v>V</v>
      </c>
      <c r="S367" s="379"/>
      <c r="T367" s="379"/>
      <c r="U367" s="756">
        <f t="shared" si="71"/>
        <v>3220.0000000000005</v>
      </c>
    </row>
    <row r="368" spans="1:21" ht="14.1" customHeight="1">
      <c r="A368" s="559">
        <v>368</v>
      </c>
      <c r="B368" s="551" t="s">
        <v>527</v>
      </c>
      <c r="C368" s="552" t="s">
        <v>521</v>
      </c>
      <c r="D368" s="757">
        <f>VLOOKUP(B368,Locatieoverzicht!$A$14:$E$21,5,FALSE)</f>
        <v>1</v>
      </c>
      <c r="E368" s="380">
        <v>0</v>
      </c>
      <c r="F368" s="598" t="s">
        <v>333</v>
      </c>
      <c r="G368" s="550" t="s">
        <v>398</v>
      </c>
      <c r="H368" s="374" t="str">
        <f t="shared" si="66"/>
        <v>Gangen en hallen</v>
      </c>
      <c r="I368" s="380"/>
      <c r="J368" s="561">
        <v>9.6999999999999993</v>
      </c>
      <c r="K368" s="612">
        <v>3200</v>
      </c>
      <c r="L368" s="376">
        <f t="shared" si="67"/>
        <v>200</v>
      </c>
      <c r="M368" s="377">
        <f t="shared" si="58"/>
        <v>0</v>
      </c>
      <c r="N368" s="377">
        <f t="shared" si="59"/>
        <v>0</v>
      </c>
      <c r="O368" s="377">
        <f t="shared" si="68"/>
        <v>0</v>
      </c>
      <c r="P368" s="377">
        <f t="shared" si="69"/>
        <v>0</v>
      </c>
      <c r="Q368" s="755">
        <v>1</v>
      </c>
      <c r="R368" s="378" t="str">
        <f t="shared" si="70"/>
        <v>V</v>
      </c>
      <c r="S368" s="379"/>
      <c r="T368" s="379"/>
      <c r="U368" s="756">
        <f t="shared" si="71"/>
        <v>1939.9999999999998</v>
      </c>
    </row>
    <row r="369" spans="1:21" ht="14.1" customHeight="1">
      <c r="A369" s="559">
        <v>369</v>
      </c>
      <c r="B369" s="551" t="s">
        <v>527</v>
      </c>
      <c r="C369" s="552" t="s">
        <v>521</v>
      </c>
      <c r="D369" s="757">
        <f>VLOOKUP(B369,Locatieoverzicht!$A$14:$E$21,5,FALSE)</f>
        <v>1</v>
      </c>
      <c r="E369" s="380">
        <v>0</v>
      </c>
      <c r="F369" s="598" t="s">
        <v>334</v>
      </c>
      <c r="G369" s="550" t="s">
        <v>402</v>
      </c>
      <c r="H369" s="374" t="str">
        <f t="shared" si="66"/>
        <v>Administratieve ruimten</v>
      </c>
      <c r="I369" s="380" t="s">
        <v>612</v>
      </c>
      <c r="J369" s="561">
        <v>15.4</v>
      </c>
      <c r="K369" s="612">
        <v>1040</v>
      </c>
      <c r="L369" s="376">
        <f t="shared" si="67"/>
        <v>40</v>
      </c>
      <c r="M369" s="377">
        <f t="shared" si="58"/>
        <v>0</v>
      </c>
      <c r="N369" s="377">
        <f t="shared" si="59"/>
        <v>0</v>
      </c>
      <c r="O369" s="377">
        <f t="shared" si="68"/>
        <v>0</v>
      </c>
      <c r="P369" s="377">
        <f t="shared" si="69"/>
        <v>0</v>
      </c>
      <c r="Q369" s="755">
        <v>1</v>
      </c>
      <c r="R369" s="378" t="str">
        <f t="shared" si="70"/>
        <v>B</v>
      </c>
      <c r="S369" s="379"/>
      <c r="T369" s="379"/>
      <c r="U369" s="756">
        <f t="shared" si="71"/>
        <v>616</v>
      </c>
    </row>
    <row r="370" spans="1:21" ht="14.1" customHeight="1">
      <c r="A370" s="559">
        <v>370</v>
      </c>
      <c r="B370" s="551" t="s">
        <v>527</v>
      </c>
      <c r="C370" s="552" t="s">
        <v>521</v>
      </c>
      <c r="D370" s="757">
        <f>VLOOKUP(B370,Locatieoverzicht!$A$14:$E$21,5,FALSE)</f>
        <v>1</v>
      </c>
      <c r="E370" s="380">
        <v>0</v>
      </c>
      <c r="F370" s="598" t="s">
        <v>528</v>
      </c>
      <c r="G370" s="550" t="s">
        <v>522</v>
      </c>
      <c r="H370" s="374" t="str">
        <f t="shared" si="66"/>
        <v>Niet van toepassing</v>
      </c>
      <c r="I370" s="380"/>
      <c r="J370" s="561">
        <v>7.7</v>
      </c>
      <c r="K370" s="612" t="s">
        <v>239</v>
      </c>
      <c r="L370" s="376">
        <f t="shared" si="67"/>
        <v>0</v>
      </c>
      <c r="M370" s="377">
        <f t="shared" si="58"/>
        <v>0</v>
      </c>
      <c r="N370" s="377">
        <f t="shared" si="59"/>
        <v>0</v>
      </c>
      <c r="O370" s="377">
        <f t="shared" si="68"/>
        <v>0</v>
      </c>
      <c r="P370" s="377">
        <f t="shared" si="69"/>
        <v>0</v>
      </c>
      <c r="Q370" s="755">
        <v>1</v>
      </c>
      <c r="R370" s="378">
        <f t="shared" si="70"/>
        <v>0</v>
      </c>
      <c r="S370" s="379"/>
      <c r="T370" s="379"/>
      <c r="U370" s="756">
        <f t="shared" si="71"/>
        <v>0</v>
      </c>
    </row>
    <row r="371" spans="1:21" ht="14.1" customHeight="1">
      <c r="A371" s="559">
        <v>371</v>
      </c>
      <c r="B371" s="551" t="s">
        <v>527</v>
      </c>
      <c r="C371" s="552" t="s">
        <v>521</v>
      </c>
      <c r="D371" s="757">
        <f>VLOOKUP(B371,Locatieoverzicht!$A$14:$E$21,5,FALSE)</f>
        <v>1</v>
      </c>
      <c r="E371" s="380">
        <v>0</v>
      </c>
      <c r="F371" s="598" t="s">
        <v>335</v>
      </c>
      <c r="G371" s="550" t="s">
        <v>398</v>
      </c>
      <c r="H371" s="374" t="str">
        <f t="shared" si="66"/>
        <v>Gangen en hallen</v>
      </c>
      <c r="I371" s="380" t="s">
        <v>614</v>
      </c>
      <c r="J371" s="561">
        <v>50.9</v>
      </c>
      <c r="K371" s="612">
        <v>3200</v>
      </c>
      <c r="L371" s="376">
        <f t="shared" si="67"/>
        <v>200</v>
      </c>
      <c r="M371" s="377">
        <f t="shared" si="58"/>
        <v>0</v>
      </c>
      <c r="N371" s="377">
        <f t="shared" si="59"/>
        <v>0</v>
      </c>
      <c r="O371" s="377">
        <f t="shared" si="68"/>
        <v>0</v>
      </c>
      <c r="P371" s="377">
        <f t="shared" si="69"/>
        <v>0</v>
      </c>
      <c r="Q371" s="755">
        <v>1</v>
      </c>
      <c r="R371" s="378" t="str">
        <f t="shared" si="70"/>
        <v>V</v>
      </c>
      <c r="S371" s="379"/>
      <c r="T371" s="379"/>
      <c r="U371" s="756">
        <f t="shared" si="71"/>
        <v>10180</v>
      </c>
    </row>
    <row r="372" spans="1:21" ht="14.1" customHeight="1">
      <c r="A372" s="559">
        <v>372</v>
      </c>
      <c r="B372" s="551" t="s">
        <v>527</v>
      </c>
      <c r="C372" s="552" t="s">
        <v>521</v>
      </c>
      <c r="D372" s="757">
        <f>VLOOKUP(B372,Locatieoverzicht!$A$14:$E$21,5,FALSE)</f>
        <v>1</v>
      </c>
      <c r="E372" s="380">
        <v>0</v>
      </c>
      <c r="F372" s="598" t="s">
        <v>336</v>
      </c>
      <c r="G372" s="550" t="s">
        <v>522</v>
      </c>
      <c r="H372" s="374" t="str">
        <f t="shared" si="66"/>
        <v>Niet van toepassing</v>
      </c>
      <c r="I372" s="380" t="s">
        <v>614</v>
      </c>
      <c r="J372" s="561">
        <v>16.399999999999999</v>
      </c>
      <c r="K372" s="612" t="s">
        <v>239</v>
      </c>
      <c r="L372" s="376">
        <f t="shared" si="67"/>
        <v>0</v>
      </c>
      <c r="M372" s="377">
        <f t="shared" si="58"/>
        <v>0</v>
      </c>
      <c r="N372" s="377">
        <f t="shared" si="59"/>
        <v>0</v>
      </c>
      <c r="O372" s="377">
        <f t="shared" si="68"/>
        <v>0</v>
      </c>
      <c r="P372" s="377">
        <f t="shared" si="69"/>
        <v>0</v>
      </c>
      <c r="Q372" s="755">
        <v>1</v>
      </c>
      <c r="R372" s="378">
        <f t="shared" si="70"/>
        <v>0</v>
      </c>
      <c r="S372" s="379"/>
      <c r="T372" s="379"/>
      <c r="U372" s="756">
        <f t="shared" si="71"/>
        <v>0</v>
      </c>
    </row>
    <row r="373" spans="1:21" ht="14.1" customHeight="1">
      <c r="A373" s="559">
        <v>373</v>
      </c>
      <c r="B373" s="551" t="s">
        <v>527</v>
      </c>
      <c r="C373" s="552" t="s">
        <v>521</v>
      </c>
      <c r="D373" s="757">
        <f>VLOOKUP(B373,Locatieoverzicht!$A$14:$E$21,5,FALSE)</f>
        <v>1</v>
      </c>
      <c r="E373" s="380">
        <v>0</v>
      </c>
      <c r="F373" s="598" t="s">
        <v>337</v>
      </c>
      <c r="G373" s="550" t="s">
        <v>522</v>
      </c>
      <c r="H373" s="374" t="str">
        <f t="shared" si="66"/>
        <v>Niet van toepassing</v>
      </c>
      <c r="I373" s="380" t="s">
        <v>614</v>
      </c>
      <c r="J373" s="561">
        <v>8</v>
      </c>
      <c r="K373" s="612" t="s">
        <v>239</v>
      </c>
      <c r="L373" s="376">
        <f t="shared" si="67"/>
        <v>0</v>
      </c>
      <c r="M373" s="377">
        <f t="shared" si="58"/>
        <v>0</v>
      </c>
      <c r="N373" s="377">
        <f t="shared" si="59"/>
        <v>0</v>
      </c>
      <c r="O373" s="377">
        <f t="shared" si="68"/>
        <v>0</v>
      </c>
      <c r="P373" s="377">
        <f t="shared" si="69"/>
        <v>0</v>
      </c>
      <c r="Q373" s="755">
        <v>1</v>
      </c>
      <c r="R373" s="378">
        <f t="shared" si="70"/>
        <v>0</v>
      </c>
      <c r="S373" s="379"/>
      <c r="T373" s="379"/>
      <c r="U373" s="756">
        <f t="shared" si="71"/>
        <v>0</v>
      </c>
    </row>
    <row r="374" spans="1:21" ht="14.1" customHeight="1">
      <c r="A374" s="559">
        <v>374</v>
      </c>
      <c r="B374" s="551" t="s">
        <v>527</v>
      </c>
      <c r="C374" s="552" t="s">
        <v>521</v>
      </c>
      <c r="D374" s="757">
        <f>VLOOKUP(B374,Locatieoverzicht!$A$14:$E$21,5,FALSE)</f>
        <v>1</v>
      </c>
      <c r="E374" s="380">
        <v>0</v>
      </c>
      <c r="F374" s="598" t="s">
        <v>338</v>
      </c>
      <c r="G374" s="550" t="s">
        <v>406</v>
      </c>
      <c r="H374" s="374" t="str">
        <f t="shared" si="66"/>
        <v>Niet van toepassing</v>
      </c>
      <c r="I374" s="380" t="s">
        <v>614</v>
      </c>
      <c r="J374" s="561">
        <v>23.5</v>
      </c>
      <c r="K374" s="612" t="s">
        <v>239</v>
      </c>
      <c r="L374" s="376">
        <f t="shared" si="67"/>
        <v>0</v>
      </c>
      <c r="M374" s="377">
        <f t="shared" si="58"/>
        <v>0</v>
      </c>
      <c r="N374" s="377">
        <f t="shared" si="59"/>
        <v>0</v>
      </c>
      <c r="O374" s="377">
        <f t="shared" si="68"/>
        <v>0</v>
      </c>
      <c r="P374" s="377">
        <f t="shared" si="69"/>
        <v>0</v>
      </c>
      <c r="Q374" s="755">
        <v>1</v>
      </c>
      <c r="R374" s="378">
        <f t="shared" si="70"/>
        <v>0</v>
      </c>
      <c r="S374" s="379"/>
      <c r="T374" s="379"/>
      <c r="U374" s="756">
        <f t="shared" si="71"/>
        <v>0</v>
      </c>
    </row>
    <row r="375" spans="1:21" ht="14.1" customHeight="1">
      <c r="A375" s="559">
        <v>375</v>
      </c>
      <c r="B375" s="551" t="s">
        <v>527</v>
      </c>
      <c r="C375" s="552" t="s">
        <v>521</v>
      </c>
      <c r="D375" s="757">
        <f>VLOOKUP(B375,Locatieoverzicht!$A$14:$E$21,5,FALSE)</f>
        <v>1</v>
      </c>
      <c r="E375" s="380">
        <v>0</v>
      </c>
      <c r="F375" s="598" t="s">
        <v>339</v>
      </c>
      <c r="G375" s="550" t="s">
        <v>407</v>
      </c>
      <c r="H375" s="374" t="str">
        <f t="shared" si="66"/>
        <v>Aula/kantine</v>
      </c>
      <c r="I375" s="380" t="s">
        <v>614</v>
      </c>
      <c r="J375" s="561">
        <v>337.4</v>
      </c>
      <c r="K375" s="612">
        <v>7200</v>
      </c>
      <c r="L375" s="376">
        <f t="shared" si="67"/>
        <v>200</v>
      </c>
      <c r="M375" s="377">
        <f t="shared" si="58"/>
        <v>0</v>
      </c>
      <c r="N375" s="377">
        <f t="shared" si="59"/>
        <v>0</v>
      </c>
      <c r="O375" s="377">
        <f t="shared" si="68"/>
        <v>0</v>
      </c>
      <c r="P375" s="377">
        <f t="shared" si="69"/>
        <v>0</v>
      </c>
      <c r="Q375" s="755">
        <v>1</v>
      </c>
      <c r="R375" s="378" t="str">
        <f t="shared" si="70"/>
        <v>V</v>
      </c>
      <c r="S375" s="379"/>
      <c r="T375" s="379"/>
      <c r="U375" s="756">
        <f t="shared" si="71"/>
        <v>67480</v>
      </c>
    </row>
    <row r="376" spans="1:21" ht="14.1" customHeight="1">
      <c r="A376" s="559">
        <v>376</v>
      </c>
      <c r="B376" s="551" t="s">
        <v>527</v>
      </c>
      <c r="C376" s="552" t="s">
        <v>521</v>
      </c>
      <c r="D376" s="757">
        <f>VLOOKUP(B376,Locatieoverzicht!$A$14:$E$21,5,FALSE)</f>
        <v>1</v>
      </c>
      <c r="E376" s="380">
        <v>0</v>
      </c>
      <c r="F376" s="598" t="s">
        <v>340</v>
      </c>
      <c r="G376" s="550" t="s">
        <v>401</v>
      </c>
      <c r="H376" s="374" t="str">
        <f t="shared" si="66"/>
        <v>Leslokaal regulier</v>
      </c>
      <c r="I376" s="380" t="s">
        <v>612</v>
      </c>
      <c r="J376" s="561">
        <v>73</v>
      </c>
      <c r="K376" s="612">
        <v>8040</v>
      </c>
      <c r="L376" s="376">
        <f t="shared" si="67"/>
        <v>40</v>
      </c>
      <c r="M376" s="377">
        <f t="shared" si="58"/>
        <v>0</v>
      </c>
      <c r="N376" s="377">
        <f t="shared" si="59"/>
        <v>0</v>
      </c>
      <c r="O376" s="377">
        <f t="shared" si="68"/>
        <v>0</v>
      </c>
      <c r="P376" s="377">
        <f t="shared" si="69"/>
        <v>0</v>
      </c>
      <c r="Q376" s="755">
        <v>1</v>
      </c>
      <c r="R376" s="378" t="str">
        <f t="shared" si="70"/>
        <v>L</v>
      </c>
      <c r="S376" s="379"/>
      <c r="T376" s="379"/>
      <c r="U376" s="756">
        <f t="shared" si="71"/>
        <v>2920</v>
      </c>
    </row>
    <row r="377" spans="1:21" ht="14.1" customHeight="1">
      <c r="A377" s="559">
        <v>377</v>
      </c>
      <c r="B377" s="551" t="s">
        <v>527</v>
      </c>
      <c r="C377" s="552" t="s">
        <v>521</v>
      </c>
      <c r="D377" s="757">
        <f>VLOOKUP(B377,Locatieoverzicht!$A$14:$E$21,5,FALSE)</f>
        <v>1</v>
      </c>
      <c r="E377" s="380">
        <v>0</v>
      </c>
      <c r="F377" s="598" t="s">
        <v>341</v>
      </c>
      <c r="G377" s="550" t="s">
        <v>399</v>
      </c>
      <c r="H377" s="374" t="str">
        <f t="shared" si="66"/>
        <v>Mediatheek/Bibliotheek/Computerlokaal</v>
      </c>
      <c r="I377" s="380" t="s">
        <v>612</v>
      </c>
      <c r="J377" s="561">
        <v>96</v>
      </c>
      <c r="K377" s="612">
        <v>14080</v>
      </c>
      <c r="L377" s="376">
        <f t="shared" si="67"/>
        <v>80</v>
      </c>
      <c r="M377" s="377">
        <f t="shared" si="58"/>
        <v>0</v>
      </c>
      <c r="N377" s="377">
        <f t="shared" si="59"/>
        <v>0</v>
      </c>
      <c r="O377" s="377">
        <f t="shared" si="68"/>
        <v>0</v>
      </c>
      <c r="P377" s="377">
        <f t="shared" si="69"/>
        <v>0</v>
      </c>
      <c r="Q377" s="755">
        <v>1</v>
      </c>
      <c r="R377" s="378" t="str">
        <f t="shared" si="70"/>
        <v>V</v>
      </c>
      <c r="S377" s="379"/>
      <c r="T377" s="379"/>
      <c r="U377" s="756">
        <f t="shared" si="71"/>
        <v>7680</v>
      </c>
    </row>
    <row r="378" spans="1:21" ht="14.1" customHeight="1">
      <c r="A378" s="559">
        <v>378</v>
      </c>
      <c r="B378" s="551" t="s">
        <v>527</v>
      </c>
      <c r="C378" s="552" t="s">
        <v>521</v>
      </c>
      <c r="D378" s="757">
        <f>VLOOKUP(B378,Locatieoverzicht!$A$14:$E$21,5,FALSE)</f>
        <v>1</v>
      </c>
      <c r="E378" s="380">
        <v>0</v>
      </c>
      <c r="F378" s="598" t="s">
        <v>342</v>
      </c>
      <c r="G378" s="550" t="s">
        <v>495</v>
      </c>
      <c r="H378" s="374" t="str">
        <f t="shared" si="66"/>
        <v>Liften</v>
      </c>
      <c r="I378" s="380"/>
      <c r="J378" s="561">
        <v>3</v>
      </c>
      <c r="K378" s="612">
        <v>4200</v>
      </c>
      <c r="L378" s="376">
        <f t="shared" si="67"/>
        <v>200</v>
      </c>
      <c r="M378" s="377">
        <f t="shared" si="58"/>
        <v>0</v>
      </c>
      <c r="N378" s="377">
        <f t="shared" si="59"/>
        <v>0</v>
      </c>
      <c r="O378" s="377">
        <f t="shared" si="68"/>
        <v>0</v>
      </c>
      <c r="P378" s="377">
        <f t="shared" si="69"/>
        <v>0</v>
      </c>
      <c r="Q378" s="755">
        <v>1</v>
      </c>
      <c r="R378" s="378" t="str">
        <f t="shared" si="70"/>
        <v>V</v>
      </c>
      <c r="S378" s="379"/>
      <c r="T378" s="379"/>
      <c r="U378" s="756">
        <f t="shared" si="71"/>
        <v>600</v>
      </c>
    </row>
    <row r="379" spans="1:21" ht="14.1" customHeight="1">
      <c r="A379" s="559">
        <v>379</v>
      </c>
      <c r="B379" s="551" t="s">
        <v>527</v>
      </c>
      <c r="C379" s="552" t="s">
        <v>521</v>
      </c>
      <c r="D379" s="757">
        <f>VLOOKUP(B379,Locatieoverzicht!$A$14:$E$21,5,FALSE)</f>
        <v>1</v>
      </c>
      <c r="E379" s="380">
        <v>0</v>
      </c>
      <c r="F379" s="598" t="s">
        <v>343</v>
      </c>
      <c r="G379" s="550" t="s">
        <v>402</v>
      </c>
      <c r="H379" s="374" t="str">
        <f t="shared" si="66"/>
        <v>Administratieve ruimten</v>
      </c>
      <c r="I379" s="380" t="s">
        <v>612</v>
      </c>
      <c r="J379" s="561">
        <v>20.100000000000001</v>
      </c>
      <c r="K379" s="612">
        <v>1040</v>
      </c>
      <c r="L379" s="376">
        <f t="shared" si="67"/>
        <v>40</v>
      </c>
      <c r="M379" s="377">
        <f t="shared" si="58"/>
        <v>0</v>
      </c>
      <c r="N379" s="377">
        <f t="shared" si="59"/>
        <v>0</v>
      </c>
      <c r="O379" s="377">
        <f t="shared" si="68"/>
        <v>0</v>
      </c>
      <c r="P379" s="377">
        <f t="shared" si="69"/>
        <v>0</v>
      </c>
      <c r="Q379" s="755">
        <v>1</v>
      </c>
      <c r="R379" s="378" t="str">
        <f t="shared" si="70"/>
        <v>B</v>
      </c>
      <c r="S379" s="379"/>
      <c r="T379" s="379"/>
      <c r="U379" s="756">
        <f t="shared" si="71"/>
        <v>804</v>
      </c>
    </row>
    <row r="380" spans="1:21" ht="14.1" customHeight="1">
      <c r="A380" s="559">
        <v>380</v>
      </c>
      <c r="B380" s="551" t="s">
        <v>527</v>
      </c>
      <c r="C380" s="552" t="s">
        <v>521</v>
      </c>
      <c r="D380" s="757">
        <f>VLOOKUP(B380,Locatieoverzicht!$A$14:$E$21,5,FALSE)</f>
        <v>1</v>
      </c>
      <c r="E380" s="380">
        <v>0</v>
      </c>
      <c r="F380" s="598" t="s">
        <v>344</v>
      </c>
      <c r="G380" s="550" t="s">
        <v>398</v>
      </c>
      <c r="H380" s="374" t="str">
        <f t="shared" si="66"/>
        <v>Gangen en hallen</v>
      </c>
      <c r="I380" s="380" t="s">
        <v>613</v>
      </c>
      <c r="J380" s="561">
        <v>7.6</v>
      </c>
      <c r="K380" s="612">
        <v>3200</v>
      </c>
      <c r="L380" s="376">
        <f t="shared" si="67"/>
        <v>200</v>
      </c>
      <c r="M380" s="377">
        <f t="shared" si="58"/>
        <v>0</v>
      </c>
      <c r="N380" s="377">
        <f t="shared" si="59"/>
        <v>0</v>
      </c>
      <c r="O380" s="377">
        <f t="shared" si="68"/>
        <v>0</v>
      </c>
      <c r="P380" s="377">
        <f t="shared" si="69"/>
        <v>0</v>
      </c>
      <c r="Q380" s="755">
        <v>1</v>
      </c>
      <c r="R380" s="378" t="str">
        <f t="shared" si="70"/>
        <v>V</v>
      </c>
      <c r="S380" s="379"/>
      <c r="T380" s="379"/>
      <c r="U380" s="756">
        <f t="shared" si="71"/>
        <v>1520</v>
      </c>
    </row>
    <row r="381" spans="1:21" ht="14.1" customHeight="1">
      <c r="A381" s="559">
        <v>381</v>
      </c>
      <c r="B381" s="551" t="s">
        <v>527</v>
      </c>
      <c r="C381" s="552" t="s">
        <v>521</v>
      </c>
      <c r="D381" s="757">
        <f>VLOOKUP(B381,Locatieoverzicht!$A$14:$E$21,5,FALSE)</f>
        <v>1</v>
      </c>
      <c r="E381" s="380">
        <v>0</v>
      </c>
      <c r="F381" s="598" t="s">
        <v>345</v>
      </c>
      <c r="G381" s="550" t="s">
        <v>522</v>
      </c>
      <c r="H381" s="374" t="str">
        <f t="shared" si="66"/>
        <v>Niet van toepassing</v>
      </c>
      <c r="I381" s="380" t="s">
        <v>612</v>
      </c>
      <c r="J381" s="561">
        <v>2.6</v>
      </c>
      <c r="K381" s="612" t="s">
        <v>239</v>
      </c>
      <c r="L381" s="376">
        <f t="shared" si="67"/>
        <v>0</v>
      </c>
      <c r="M381" s="377">
        <f t="shared" si="58"/>
        <v>0</v>
      </c>
      <c r="N381" s="377">
        <f t="shared" si="59"/>
        <v>0</v>
      </c>
      <c r="O381" s="377">
        <f t="shared" si="68"/>
        <v>0</v>
      </c>
      <c r="P381" s="377">
        <f t="shared" si="69"/>
        <v>0</v>
      </c>
      <c r="Q381" s="755">
        <v>1</v>
      </c>
      <c r="R381" s="378">
        <f t="shared" si="70"/>
        <v>0</v>
      </c>
      <c r="S381" s="379"/>
      <c r="T381" s="379"/>
      <c r="U381" s="756">
        <f t="shared" si="71"/>
        <v>0</v>
      </c>
    </row>
    <row r="382" spans="1:21" ht="14.1" customHeight="1">
      <c r="A382" s="559">
        <v>382</v>
      </c>
      <c r="B382" s="551" t="s">
        <v>527</v>
      </c>
      <c r="C382" s="552" t="s">
        <v>521</v>
      </c>
      <c r="D382" s="757">
        <f>VLOOKUP(B382,Locatieoverzicht!$A$14:$E$21,5,FALSE)</f>
        <v>1</v>
      </c>
      <c r="E382" s="380">
        <v>0</v>
      </c>
      <c r="F382" s="598" t="s">
        <v>346</v>
      </c>
      <c r="G382" s="550" t="s">
        <v>398</v>
      </c>
      <c r="H382" s="374" t="str">
        <f t="shared" si="66"/>
        <v>Gangen en hallen</v>
      </c>
      <c r="I382" s="380" t="s">
        <v>614</v>
      </c>
      <c r="J382" s="561">
        <v>76.7</v>
      </c>
      <c r="K382" s="612">
        <v>3200</v>
      </c>
      <c r="L382" s="376">
        <f t="shared" si="67"/>
        <v>200</v>
      </c>
      <c r="M382" s="377">
        <f t="shared" si="58"/>
        <v>0</v>
      </c>
      <c r="N382" s="377">
        <f t="shared" si="59"/>
        <v>0</v>
      </c>
      <c r="O382" s="377">
        <f t="shared" si="68"/>
        <v>0</v>
      </c>
      <c r="P382" s="377">
        <f t="shared" si="69"/>
        <v>0</v>
      </c>
      <c r="Q382" s="755">
        <v>1</v>
      </c>
      <c r="R382" s="378" t="str">
        <f t="shared" si="70"/>
        <v>V</v>
      </c>
      <c r="S382" s="379"/>
      <c r="T382" s="379"/>
      <c r="U382" s="756">
        <f t="shared" si="71"/>
        <v>15340</v>
      </c>
    </row>
    <row r="383" spans="1:21" ht="14.1" customHeight="1">
      <c r="A383" s="559">
        <v>383</v>
      </c>
      <c r="B383" s="551" t="s">
        <v>527</v>
      </c>
      <c r="C383" s="552" t="s">
        <v>521</v>
      </c>
      <c r="D383" s="757">
        <f>VLOOKUP(B383,Locatieoverzicht!$A$14:$E$21,5,FALSE)</f>
        <v>1</v>
      </c>
      <c r="E383" s="380">
        <v>0</v>
      </c>
      <c r="F383" s="598" t="s">
        <v>347</v>
      </c>
      <c r="G383" s="550" t="s">
        <v>402</v>
      </c>
      <c r="H383" s="374" t="str">
        <f t="shared" si="66"/>
        <v>Administratieve ruimten</v>
      </c>
      <c r="I383" s="380" t="s">
        <v>612</v>
      </c>
      <c r="J383" s="561">
        <v>21.5</v>
      </c>
      <c r="K383" s="612">
        <v>1040</v>
      </c>
      <c r="L383" s="376">
        <f t="shared" si="67"/>
        <v>40</v>
      </c>
      <c r="M383" s="377">
        <f t="shared" si="58"/>
        <v>0</v>
      </c>
      <c r="N383" s="377">
        <f t="shared" si="59"/>
        <v>0</v>
      </c>
      <c r="O383" s="377">
        <f t="shared" si="68"/>
        <v>0</v>
      </c>
      <c r="P383" s="377">
        <f t="shared" si="69"/>
        <v>0</v>
      </c>
      <c r="Q383" s="755">
        <v>1</v>
      </c>
      <c r="R383" s="378" t="str">
        <f t="shared" si="70"/>
        <v>B</v>
      </c>
      <c r="S383" s="379"/>
      <c r="T383" s="379"/>
      <c r="U383" s="756">
        <f t="shared" si="71"/>
        <v>860</v>
      </c>
    </row>
    <row r="384" spans="1:21" ht="14.1" customHeight="1">
      <c r="A384" s="559">
        <v>384</v>
      </c>
      <c r="B384" s="551" t="s">
        <v>527</v>
      </c>
      <c r="C384" s="552" t="s">
        <v>521</v>
      </c>
      <c r="D384" s="757">
        <f>VLOOKUP(B384,Locatieoverzicht!$A$14:$E$21,5,FALSE)</f>
        <v>1</v>
      </c>
      <c r="E384" s="380">
        <v>0</v>
      </c>
      <c r="F384" s="598" t="s">
        <v>348</v>
      </c>
      <c r="G384" s="550" t="s">
        <v>402</v>
      </c>
      <c r="H384" s="374" t="str">
        <f t="shared" si="66"/>
        <v>Administratieve ruimten</v>
      </c>
      <c r="I384" s="380" t="s">
        <v>612</v>
      </c>
      <c r="J384" s="561">
        <v>19.399999999999999</v>
      </c>
      <c r="K384" s="612">
        <v>1040</v>
      </c>
      <c r="L384" s="376">
        <f t="shared" si="67"/>
        <v>40</v>
      </c>
      <c r="M384" s="377">
        <f t="shared" si="58"/>
        <v>0</v>
      </c>
      <c r="N384" s="377">
        <f t="shared" si="59"/>
        <v>0</v>
      </c>
      <c r="O384" s="377">
        <f t="shared" si="68"/>
        <v>0</v>
      </c>
      <c r="P384" s="377">
        <f t="shared" si="69"/>
        <v>0</v>
      </c>
      <c r="Q384" s="755">
        <v>1</v>
      </c>
      <c r="R384" s="378" t="str">
        <f t="shared" si="70"/>
        <v>B</v>
      </c>
      <c r="S384" s="379"/>
      <c r="T384" s="379"/>
      <c r="U384" s="756">
        <f t="shared" si="71"/>
        <v>776</v>
      </c>
    </row>
    <row r="385" spans="1:21" ht="14.1" customHeight="1">
      <c r="A385" s="559">
        <v>385</v>
      </c>
      <c r="B385" s="551" t="s">
        <v>527</v>
      </c>
      <c r="C385" s="552" t="s">
        <v>521</v>
      </c>
      <c r="D385" s="757">
        <f>VLOOKUP(B385,Locatieoverzicht!$A$14:$E$21,5,FALSE)</f>
        <v>1</v>
      </c>
      <c r="E385" s="380">
        <v>0</v>
      </c>
      <c r="F385" s="598" t="s">
        <v>349</v>
      </c>
      <c r="G385" s="550" t="s">
        <v>522</v>
      </c>
      <c r="H385" s="374" t="str">
        <f t="shared" si="66"/>
        <v>Niet van toepassing</v>
      </c>
      <c r="I385" s="380" t="s">
        <v>612</v>
      </c>
      <c r="J385" s="561">
        <v>26</v>
      </c>
      <c r="K385" s="612" t="s">
        <v>239</v>
      </c>
      <c r="L385" s="376">
        <f t="shared" si="67"/>
        <v>0</v>
      </c>
      <c r="M385" s="377">
        <f t="shared" si="58"/>
        <v>0</v>
      </c>
      <c r="N385" s="377">
        <f t="shared" si="59"/>
        <v>0</v>
      </c>
      <c r="O385" s="377">
        <f t="shared" si="68"/>
        <v>0</v>
      </c>
      <c r="P385" s="377">
        <f t="shared" si="69"/>
        <v>0</v>
      </c>
      <c r="Q385" s="755">
        <v>1</v>
      </c>
      <c r="R385" s="378">
        <f t="shared" si="70"/>
        <v>0</v>
      </c>
      <c r="S385" s="379"/>
      <c r="T385" s="379"/>
      <c r="U385" s="756">
        <f t="shared" si="71"/>
        <v>0</v>
      </c>
    </row>
    <row r="386" spans="1:21" ht="14.1" customHeight="1">
      <c r="A386" s="559">
        <v>386</v>
      </c>
      <c r="B386" s="551" t="s">
        <v>527</v>
      </c>
      <c r="C386" s="552" t="s">
        <v>521</v>
      </c>
      <c r="D386" s="757">
        <f>VLOOKUP(B386,Locatieoverzicht!$A$14:$E$21,5,FALSE)</f>
        <v>1</v>
      </c>
      <c r="E386" s="380">
        <v>0</v>
      </c>
      <c r="F386" s="598" t="s">
        <v>350</v>
      </c>
      <c r="G386" s="550" t="s">
        <v>529</v>
      </c>
      <c r="H386" s="374" t="str">
        <f t="shared" si="66"/>
        <v>Pantry/koffiecorner</v>
      </c>
      <c r="I386" s="380" t="s">
        <v>614</v>
      </c>
      <c r="J386" s="561">
        <v>2</v>
      </c>
      <c r="K386" s="612">
        <v>6200</v>
      </c>
      <c r="L386" s="376">
        <f t="shared" si="67"/>
        <v>200</v>
      </c>
      <c r="M386" s="377">
        <f t="shared" si="58"/>
        <v>0</v>
      </c>
      <c r="N386" s="377">
        <f t="shared" si="59"/>
        <v>0</v>
      </c>
      <c r="O386" s="377">
        <f t="shared" si="68"/>
        <v>0</v>
      </c>
      <c r="P386" s="377">
        <f t="shared" si="69"/>
        <v>0</v>
      </c>
      <c r="Q386" s="755">
        <v>1</v>
      </c>
      <c r="R386" s="378" t="str">
        <f t="shared" si="70"/>
        <v>V</v>
      </c>
      <c r="S386" s="379"/>
      <c r="T386" s="379"/>
      <c r="U386" s="756">
        <f t="shared" si="71"/>
        <v>400</v>
      </c>
    </row>
    <row r="387" spans="1:21" ht="14.1" customHeight="1">
      <c r="A387" s="559">
        <v>387</v>
      </c>
      <c r="B387" s="551" t="s">
        <v>527</v>
      </c>
      <c r="C387" s="552" t="s">
        <v>521</v>
      </c>
      <c r="D387" s="757">
        <f>VLOOKUP(B387,Locatieoverzicht!$A$14:$E$21,5,FALSE)</f>
        <v>1</v>
      </c>
      <c r="E387" s="380">
        <v>0</v>
      </c>
      <c r="F387" s="598" t="s">
        <v>351</v>
      </c>
      <c r="G387" s="550" t="s">
        <v>522</v>
      </c>
      <c r="H387" s="374" t="str">
        <f t="shared" si="66"/>
        <v>Niet van toepassing</v>
      </c>
      <c r="I387" s="380" t="s">
        <v>612</v>
      </c>
      <c r="J387" s="561">
        <v>1</v>
      </c>
      <c r="K387" s="612" t="s">
        <v>239</v>
      </c>
      <c r="L387" s="376">
        <f t="shared" si="67"/>
        <v>0</v>
      </c>
      <c r="M387" s="377">
        <f t="shared" si="58"/>
        <v>0</v>
      </c>
      <c r="N387" s="377">
        <f t="shared" si="59"/>
        <v>0</v>
      </c>
      <c r="O387" s="377">
        <f t="shared" si="68"/>
        <v>0</v>
      </c>
      <c r="P387" s="377">
        <f t="shared" si="69"/>
        <v>0</v>
      </c>
      <c r="Q387" s="755">
        <v>1</v>
      </c>
      <c r="R387" s="378">
        <f t="shared" si="70"/>
        <v>0</v>
      </c>
      <c r="S387" s="379"/>
      <c r="T387" s="379"/>
      <c r="U387" s="756">
        <f t="shared" si="71"/>
        <v>0</v>
      </c>
    </row>
    <row r="388" spans="1:21" ht="14.1" customHeight="1">
      <c r="A388" s="559">
        <v>388</v>
      </c>
      <c r="B388" s="551" t="s">
        <v>527</v>
      </c>
      <c r="C388" s="552" t="s">
        <v>521</v>
      </c>
      <c r="D388" s="757">
        <f>VLOOKUP(B388,Locatieoverzicht!$A$14:$E$21,5,FALSE)</f>
        <v>1</v>
      </c>
      <c r="E388" s="380">
        <v>0</v>
      </c>
      <c r="F388" s="598" t="s">
        <v>352</v>
      </c>
      <c r="G388" s="550" t="s">
        <v>400</v>
      </c>
      <c r="H388" s="374" t="str">
        <f t="shared" si="66"/>
        <v>Sanitaire ruimten</v>
      </c>
      <c r="I388" s="380" t="s">
        <v>616</v>
      </c>
      <c r="J388" s="561">
        <v>3.6</v>
      </c>
      <c r="K388" s="612">
        <v>2200</v>
      </c>
      <c r="L388" s="376">
        <f t="shared" si="67"/>
        <v>200</v>
      </c>
      <c r="M388" s="377">
        <f t="shared" si="58"/>
        <v>0</v>
      </c>
      <c r="N388" s="377">
        <f t="shared" si="59"/>
        <v>0</v>
      </c>
      <c r="O388" s="377">
        <f t="shared" si="68"/>
        <v>0</v>
      </c>
      <c r="P388" s="377">
        <f t="shared" si="69"/>
        <v>0</v>
      </c>
      <c r="Q388" s="755">
        <v>1</v>
      </c>
      <c r="R388" s="378" t="str">
        <f t="shared" si="70"/>
        <v>S</v>
      </c>
      <c r="S388" s="379"/>
      <c r="T388" s="379"/>
      <c r="U388" s="756">
        <f t="shared" si="71"/>
        <v>720</v>
      </c>
    </row>
    <row r="389" spans="1:21" ht="14.1" customHeight="1">
      <c r="A389" s="559">
        <v>389</v>
      </c>
      <c r="B389" s="551" t="s">
        <v>527</v>
      </c>
      <c r="C389" s="552" t="s">
        <v>521</v>
      </c>
      <c r="D389" s="757">
        <f>VLOOKUP(B389,Locatieoverzicht!$A$14:$E$21,5,FALSE)</f>
        <v>1</v>
      </c>
      <c r="E389" s="380">
        <v>0</v>
      </c>
      <c r="F389" s="598" t="s">
        <v>353</v>
      </c>
      <c r="G389" s="550" t="s">
        <v>400</v>
      </c>
      <c r="H389" s="374" t="str">
        <f t="shared" si="66"/>
        <v>Sanitaire ruimten</v>
      </c>
      <c r="I389" s="380" t="s">
        <v>616</v>
      </c>
      <c r="J389" s="561">
        <v>1.7</v>
      </c>
      <c r="K389" s="612">
        <v>2200</v>
      </c>
      <c r="L389" s="376">
        <f t="shared" si="67"/>
        <v>200</v>
      </c>
      <c r="M389" s="377">
        <f t="shared" si="58"/>
        <v>0</v>
      </c>
      <c r="N389" s="377">
        <f t="shared" si="59"/>
        <v>0</v>
      </c>
      <c r="O389" s="377">
        <f t="shared" si="68"/>
        <v>0</v>
      </c>
      <c r="P389" s="377">
        <f t="shared" si="69"/>
        <v>0</v>
      </c>
      <c r="Q389" s="755">
        <v>1</v>
      </c>
      <c r="R389" s="378" t="str">
        <f t="shared" si="70"/>
        <v>S</v>
      </c>
      <c r="S389" s="379"/>
      <c r="T389" s="379"/>
      <c r="U389" s="756">
        <f t="shared" si="71"/>
        <v>340</v>
      </c>
    </row>
    <row r="390" spans="1:21" ht="14.1" customHeight="1">
      <c r="A390" s="559">
        <v>390</v>
      </c>
      <c r="B390" s="551" t="s">
        <v>527</v>
      </c>
      <c r="C390" s="552" t="s">
        <v>521</v>
      </c>
      <c r="D390" s="757">
        <f>VLOOKUP(B390,Locatieoverzicht!$A$14:$E$21,5,FALSE)</f>
        <v>1</v>
      </c>
      <c r="E390" s="380">
        <v>0</v>
      </c>
      <c r="F390" s="598" t="s">
        <v>354</v>
      </c>
      <c r="G390" s="550" t="s">
        <v>400</v>
      </c>
      <c r="H390" s="374" t="str">
        <f t="shared" si="66"/>
        <v>Sanitaire ruimten</v>
      </c>
      <c r="I390" s="380" t="s">
        <v>616</v>
      </c>
      <c r="J390" s="561">
        <v>1.7</v>
      </c>
      <c r="K390" s="612">
        <v>2200</v>
      </c>
      <c r="L390" s="376">
        <f t="shared" si="67"/>
        <v>200</v>
      </c>
      <c r="M390" s="377">
        <f t="shared" si="58"/>
        <v>0</v>
      </c>
      <c r="N390" s="377">
        <f t="shared" si="59"/>
        <v>0</v>
      </c>
      <c r="O390" s="377">
        <f t="shared" si="68"/>
        <v>0</v>
      </c>
      <c r="P390" s="377">
        <f t="shared" si="69"/>
        <v>0</v>
      </c>
      <c r="Q390" s="755">
        <v>1</v>
      </c>
      <c r="R390" s="378" t="str">
        <f t="shared" si="70"/>
        <v>S</v>
      </c>
      <c r="S390" s="379"/>
      <c r="T390" s="379"/>
      <c r="U390" s="756">
        <f t="shared" si="71"/>
        <v>340</v>
      </c>
    </row>
    <row r="391" spans="1:21" ht="14.1" customHeight="1">
      <c r="A391" s="559">
        <v>391</v>
      </c>
      <c r="B391" s="551" t="s">
        <v>527</v>
      </c>
      <c r="C391" s="552" t="s">
        <v>521</v>
      </c>
      <c r="D391" s="757">
        <f>VLOOKUP(B391,Locatieoverzicht!$A$14:$E$21,5,FALSE)</f>
        <v>1</v>
      </c>
      <c r="E391" s="380">
        <v>0</v>
      </c>
      <c r="F391" s="598" t="s">
        <v>355</v>
      </c>
      <c r="G391" s="550" t="s">
        <v>522</v>
      </c>
      <c r="H391" s="374" t="str">
        <f t="shared" si="66"/>
        <v>Niet van toepassing</v>
      </c>
      <c r="I391" s="380"/>
      <c r="J391" s="561">
        <v>7.2</v>
      </c>
      <c r="K391" s="612" t="s">
        <v>239</v>
      </c>
      <c r="L391" s="376">
        <f t="shared" si="67"/>
        <v>0</v>
      </c>
      <c r="M391" s="377">
        <f t="shared" si="58"/>
        <v>0</v>
      </c>
      <c r="N391" s="377">
        <f t="shared" si="59"/>
        <v>0</v>
      </c>
      <c r="O391" s="377">
        <f t="shared" si="68"/>
        <v>0</v>
      </c>
      <c r="P391" s="377">
        <f t="shared" si="69"/>
        <v>0</v>
      </c>
      <c r="Q391" s="755">
        <v>1</v>
      </c>
      <c r="R391" s="378">
        <f t="shared" si="70"/>
        <v>0</v>
      </c>
      <c r="S391" s="379"/>
      <c r="T391" s="379"/>
      <c r="U391" s="756">
        <f t="shared" si="71"/>
        <v>0</v>
      </c>
    </row>
    <row r="392" spans="1:21" ht="14.1" customHeight="1">
      <c r="A392" s="559">
        <v>392</v>
      </c>
      <c r="B392" s="551" t="s">
        <v>527</v>
      </c>
      <c r="C392" s="552" t="s">
        <v>521</v>
      </c>
      <c r="D392" s="757">
        <f>VLOOKUP(B392,Locatieoverzicht!$A$14:$E$21,5,FALSE)</f>
        <v>1</v>
      </c>
      <c r="E392" s="380">
        <v>0</v>
      </c>
      <c r="F392" s="598" t="s">
        <v>356</v>
      </c>
      <c r="G392" s="550" t="s">
        <v>402</v>
      </c>
      <c r="H392" s="374" t="str">
        <f t="shared" si="66"/>
        <v>Administratieve ruimten</v>
      </c>
      <c r="I392" s="380" t="s">
        <v>612</v>
      </c>
      <c r="J392" s="561">
        <v>19.5</v>
      </c>
      <c r="K392" s="612">
        <v>1040</v>
      </c>
      <c r="L392" s="376">
        <f t="shared" si="67"/>
        <v>40</v>
      </c>
      <c r="M392" s="377">
        <f t="shared" si="58"/>
        <v>0</v>
      </c>
      <c r="N392" s="377">
        <f t="shared" si="59"/>
        <v>0</v>
      </c>
      <c r="O392" s="377">
        <f t="shared" si="68"/>
        <v>0</v>
      </c>
      <c r="P392" s="377">
        <f t="shared" si="69"/>
        <v>0</v>
      </c>
      <c r="Q392" s="755">
        <v>1</v>
      </c>
      <c r="R392" s="378" t="str">
        <f t="shared" si="70"/>
        <v>B</v>
      </c>
      <c r="S392" s="379"/>
      <c r="T392" s="379"/>
      <c r="U392" s="756">
        <f t="shared" si="71"/>
        <v>780</v>
      </c>
    </row>
    <row r="393" spans="1:21" ht="14.1" customHeight="1">
      <c r="A393" s="559">
        <v>393</v>
      </c>
      <c r="B393" s="551" t="s">
        <v>527</v>
      </c>
      <c r="C393" s="552" t="s">
        <v>521</v>
      </c>
      <c r="D393" s="757">
        <f>VLOOKUP(B393,Locatieoverzicht!$A$14:$E$21,5,FALSE)</f>
        <v>1</v>
      </c>
      <c r="E393" s="380">
        <v>0</v>
      </c>
      <c r="F393" s="598" t="s">
        <v>357</v>
      </c>
      <c r="G393" s="550" t="s">
        <v>402</v>
      </c>
      <c r="H393" s="374" t="str">
        <f t="shared" si="66"/>
        <v>Administratieve ruimten</v>
      </c>
      <c r="I393" s="380" t="s">
        <v>612</v>
      </c>
      <c r="J393" s="561">
        <v>19.100000000000001</v>
      </c>
      <c r="K393" s="612">
        <v>1040</v>
      </c>
      <c r="L393" s="376">
        <f t="shared" si="67"/>
        <v>40</v>
      </c>
      <c r="M393" s="377">
        <f t="shared" si="58"/>
        <v>0</v>
      </c>
      <c r="N393" s="377">
        <f t="shared" si="59"/>
        <v>0</v>
      </c>
      <c r="O393" s="377">
        <f t="shared" si="68"/>
        <v>0</v>
      </c>
      <c r="P393" s="377">
        <f t="shared" si="69"/>
        <v>0</v>
      </c>
      <c r="Q393" s="755">
        <v>1</v>
      </c>
      <c r="R393" s="378" t="str">
        <f t="shared" si="70"/>
        <v>B</v>
      </c>
      <c r="S393" s="379"/>
      <c r="T393" s="379"/>
      <c r="U393" s="756">
        <f t="shared" si="71"/>
        <v>764</v>
      </c>
    </row>
    <row r="394" spans="1:21" ht="14.1" customHeight="1">
      <c r="A394" s="559">
        <v>394</v>
      </c>
      <c r="B394" s="551" t="s">
        <v>527</v>
      </c>
      <c r="C394" s="552" t="s">
        <v>521</v>
      </c>
      <c r="D394" s="757">
        <f>VLOOKUP(B394,Locatieoverzicht!$A$14:$E$21,5,FALSE)</f>
        <v>1</v>
      </c>
      <c r="E394" s="380">
        <v>0</v>
      </c>
      <c r="F394" s="598" t="s">
        <v>358</v>
      </c>
      <c r="G394" s="550" t="s">
        <v>522</v>
      </c>
      <c r="H394" s="374" t="str">
        <f t="shared" si="66"/>
        <v>Niet van toepassing</v>
      </c>
      <c r="I394" s="380"/>
      <c r="J394" s="561">
        <v>1.8</v>
      </c>
      <c r="K394" s="612" t="s">
        <v>239</v>
      </c>
      <c r="L394" s="376">
        <f t="shared" si="67"/>
        <v>0</v>
      </c>
      <c r="M394" s="377">
        <f t="shared" si="58"/>
        <v>0</v>
      </c>
      <c r="N394" s="377">
        <f t="shared" si="59"/>
        <v>0</v>
      </c>
      <c r="O394" s="377">
        <f t="shared" si="68"/>
        <v>0</v>
      </c>
      <c r="P394" s="377">
        <f t="shared" si="69"/>
        <v>0</v>
      </c>
      <c r="Q394" s="755">
        <v>1</v>
      </c>
      <c r="R394" s="378">
        <f t="shared" si="70"/>
        <v>0</v>
      </c>
      <c r="S394" s="379"/>
      <c r="T394" s="379"/>
      <c r="U394" s="756">
        <f t="shared" si="71"/>
        <v>0</v>
      </c>
    </row>
    <row r="395" spans="1:21" ht="14.1" customHeight="1">
      <c r="A395" s="559">
        <v>395</v>
      </c>
      <c r="B395" s="551" t="s">
        <v>527</v>
      </c>
      <c r="C395" s="552" t="s">
        <v>521</v>
      </c>
      <c r="D395" s="757">
        <f>VLOOKUP(B395,Locatieoverzicht!$A$14:$E$21,5,FALSE)</f>
        <v>1</v>
      </c>
      <c r="E395" s="380">
        <v>1</v>
      </c>
      <c r="F395" s="598" t="s">
        <v>408</v>
      </c>
      <c r="G395" s="550" t="s">
        <v>550</v>
      </c>
      <c r="H395" s="374" t="str">
        <f t="shared" si="66"/>
        <v>Trappenhuizen</v>
      </c>
      <c r="I395" s="380" t="s">
        <v>616</v>
      </c>
      <c r="J395" s="561">
        <v>16.2</v>
      </c>
      <c r="K395" s="612">
        <v>5200</v>
      </c>
      <c r="L395" s="376">
        <f t="shared" si="67"/>
        <v>200</v>
      </c>
      <c r="M395" s="377">
        <f t="shared" ref="M395:M435" si="72">O395*J395*Q395</f>
        <v>0</v>
      </c>
      <c r="N395" s="377">
        <f t="shared" ref="N395:N435" si="73">P395*J395*Q395</f>
        <v>0</v>
      </c>
      <c r="O395" s="377">
        <f t="shared" si="68"/>
        <v>0</v>
      </c>
      <c r="P395" s="377">
        <f t="shared" si="69"/>
        <v>0</v>
      </c>
      <c r="Q395" s="755">
        <v>1</v>
      </c>
      <c r="R395" s="378" t="str">
        <f t="shared" ref="R395:R435" si="74">IF(K395="","",VLOOKUP(K395,Kengetal,11,FALSE))</f>
        <v>V</v>
      </c>
      <c r="S395" s="379"/>
      <c r="T395" s="379"/>
      <c r="U395" s="756">
        <f t="shared" ref="U395:U435" si="75">J395*L395</f>
        <v>3240</v>
      </c>
    </row>
    <row r="396" spans="1:21" ht="14.1" customHeight="1">
      <c r="A396" s="559">
        <v>396</v>
      </c>
      <c r="B396" s="551" t="s">
        <v>527</v>
      </c>
      <c r="C396" s="552" t="s">
        <v>521</v>
      </c>
      <c r="D396" s="757">
        <f>VLOOKUP(B396,Locatieoverzicht!$A$14:$E$21,5,FALSE)</f>
        <v>1</v>
      </c>
      <c r="E396" s="380">
        <v>1</v>
      </c>
      <c r="F396" s="598" t="s">
        <v>409</v>
      </c>
      <c r="G396" s="550" t="s">
        <v>401</v>
      </c>
      <c r="H396" s="374" t="str">
        <f t="shared" si="66"/>
        <v>Leslokaal regulier</v>
      </c>
      <c r="I396" s="380" t="s">
        <v>612</v>
      </c>
      <c r="J396" s="561">
        <v>48.7</v>
      </c>
      <c r="K396" s="612">
        <v>8040</v>
      </c>
      <c r="L396" s="376">
        <f t="shared" si="67"/>
        <v>40</v>
      </c>
      <c r="M396" s="377">
        <f t="shared" si="72"/>
        <v>0</v>
      </c>
      <c r="N396" s="377">
        <f t="shared" si="73"/>
        <v>0</v>
      </c>
      <c r="O396" s="377">
        <f t="shared" si="68"/>
        <v>0</v>
      </c>
      <c r="P396" s="377">
        <f t="shared" si="69"/>
        <v>0</v>
      </c>
      <c r="Q396" s="755">
        <v>1</v>
      </c>
      <c r="R396" s="378" t="str">
        <f t="shared" si="74"/>
        <v>L</v>
      </c>
      <c r="S396" s="379"/>
      <c r="T396" s="379"/>
      <c r="U396" s="756">
        <f t="shared" si="75"/>
        <v>1948</v>
      </c>
    </row>
    <row r="397" spans="1:21" ht="14.1" customHeight="1">
      <c r="A397" s="559">
        <v>397</v>
      </c>
      <c r="B397" s="551" t="s">
        <v>527</v>
      </c>
      <c r="C397" s="552" t="s">
        <v>521</v>
      </c>
      <c r="D397" s="757">
        <f>VLOOKUP(B397,Locatieoverzicht!$A$14:$E$21,5,FALSE)</f>
        <v>1</v>
      </c>
      <c r="E397" s="380">
        <v>1</v>
      </c>
      <c r="F397" s="598" t="s">
        <v>410</v>
      </c>
      <c r="G397" s="550" t="s">
        <v>401</v>
      </c>
      <c r="H397" s="374" t="str">
        <f t="shared" ref="H397:H435" si="76">IF($K397="",0,VLOOKUP($K397,Kengetal,3,FALSE))</f>
        <v>Leslokaal regulier</v>
      </c>
      <c r="I397" s="380" t="s">
        <v>612</v>
      </c>
      <c r="J397" s="561">
        <v>48.9</v>
      </c>
      <c r="K397" s="612">
        <v>8040</v>
      </c>
      <c r="L397" s="376">
        <f t="shared" ref="L397:L435" si="77">SUM(IF(K397="",0,VLOOKUP(K397,Kengetal,2)))</f>
        <v>40</v>
      </c>
      <c r="M397" s="377">
        <f t="shared" si="72"/>
        <v>0</v>
      </c>
      <c r="N397" s="377">
        <f t="shared" si="73"/>
        <v>0</v>
      </c>
      <c r="O397" s="377">
        <f t="shared" ref="O397:O435" si="78">IF($K397="",0,VLOOKUP($K397,Kengetal,5,FALSE))</f>
        <v>0</v>
      </c>
      <c r="P397" s="377">
        <f t="shared" ref="P397:P435" si="79">IF($K397="",0,VLOOKUP($K397,Kengetal,6,FALSE))</f>
        <v>0</v>
      </c>
      <c r="Q397" s="755">
        <v>1</v>
      </c>
      <c r="R397" s="378" t="str">
        <f t="shared" si="74"/>
        <v>L</v>
      </c>
      <c r="S397" s="379"/>
      <c r="T397" s="379"/>
      <c r="U397" s="756">
        <f t="shared" si="75"/>
        <v>1956</v>
      </c>
    </row>
    <row r="398" spans="1:21" ht="14.1" customHeight="1">
      <c r="A398" s="559">
        <v>398</v>
      </c>
      <c r="B398" s="551" t="s">
        <v>527</v>
      </c>
      <c r="C398" s="552" t="s">
        <v>521</v>
      </c>
      <c r="D398" s="757">
        <f>VLOOKUP(B398,Locatieoverzicht!$A$14:$E$21,5,FALSE)</f>
        <v>1</v>
      </c>
      <c r="E398" s="380">
        <v>1</v>
      </c>
      <c r="F398" s="598" t="s">
        <v>411</v>
      </c>
      <c r="G398" s="550" t="s">
        <v>401</v>
      </c>
      <c r="H398" s="374" t="str">
        <f t="shared" si="76"/>
        <v>Leslokaal regulier</v>
      </c>
      <c r="I398" s="380" t="s">
        <v>612</v>
      </c>
      <c r="J398" s="561">
        <v>58.9</v>
      </c>
      <c r="K398" s="612">
        <v>8040</v>
      </c>
      <c r="L398" s="376">
        <f t="shared" si="77"/>
        <v>40</v>
      </c>
      <c r="M398" s="377">
        <f t="shared" si="72"/>
        <v>0</v>
      </c>
      <c r="N398" s="377">
        <f t="shared" si="73"/>
        <v>0</v>
      </c>
      <c r="O398" s="377">
        <f t="shared" si="78"/>
        <v>0</v>
      </c>
      <c r="P398" s="377">
        <f t="shared" si="79"/>
        <v>0</v>
      </c>
      <c r="Q398" s="755">
        <v>1</v>
      </c>
      <c r="R398" s="378" t="str">
        <f t="shared" si="74"/>
        <v>L</v>
      </c>
      <c r="S398" s="379"/>
      <c r="T398" s="379"/>
      <c r="U398" s="756">
        <f t="shared" si="75"/>
        <v>2356</v>
      </c>
    </row>
    <row r="399" spans="1:21" ht="14.1" customHeight="1">
      <c r="A399" s="559">
        <v>399</v>
      </c>
      <c r="B399" s="551" t="s">
        <v>527</v>
      </c>
      <c r="C399" s="552" t="s">
        <v>521</v>
      </c>
      <c r="D399" s="757">
        <f>VLOOKUP(B399,Locatieoverzicht!$A$14:$E$21,5,FALSE)</f>
        <v>1</v>
      </c>
      <c r="E399" s="380">
        <v>1</v>
      </c>
      <c r="F399" s="598" t="s">
        <v>412</v>
      </c>
      <c r="G399" s="550" t="s">
        <v>400</v>
      </c>
      <c r="H399" s="374" t="str">
        <f t="shared" si="76"/>
        <v>Sanitaire ruimten</v>
      </c>
      <c r="I399" s="380" t="s">
        <v>616</v>
      </c>
      <c r="J399" s="561">
        <v>18.899999999999999</v>
      </c>
      <c r="K399" s="612">
        <v>2200</v>
      </c>
      <c r="L399" s="376">
        <f t="shared" si="77"/>
        <v>200</v>
      </c>
      <c r="M399" s="377">
        <f t="shared" si="72"/>
        <v>0</v>
      </c>
      <c r="N399" s="377">
        <f t="shared" si="73"/>
        <v>0</v>
      </c>
      <c r="O399" s="377">
        <f t="shared" si="78"/>
        <v>0</v>
      </c>
      <c r="P399" s="377">
        <f t="shared" si="79"/>
        <v>0</v>
      </c>
      <c r="Q399" s="755">
        <v>1</v>
      </c>
      <c r="R399" s="378" t="str">
        <f t="shared" si="74"/>
        <v>S</v>
      </c>
      <c r="S399" s="379"/>
      <c r="T399" s="379"/>
      <c r="U399" s="756">
        <f t="shared" si="75"/>
        <v>3779.9999999999995</v>
      </c>
    </row>
    <row r="400" spans="1:21" ht="14.1" customHeight="1">
      <c r="A400" s="559">
        <v>400</v>
      </c>
      <c r="B400" s="551" t="s">
        <v>527</v>
      </c>
      <c r="C400" s="552" t="s">
        <v>521</v>
      </c>
      <c r="D400" s="757">
        <f>VLOOKUP(B400,Locatieoverzicht!$A$14:$E$21,5,FALSE)</f>
        <v>1</v>
      </c>
      <c r="E400" s="380">
        <v>1</v>
      </c>
      <c r="F400" s="598" t="s">
        <v>413</v>
      </c>
      <c r="G400" s="550" t="s">
        <v>400</v>
      </c>
      <c r="H400" s="374" t="str">
        <f t="shared" si="76"/>
        <v>Sanitaire ruimten</v>
      </c>
      <c r="I400" s="380" t="s">
        <v>616</v>
      </c>
      <c r="J400" s="561">
        <v>18.899999999999999</v>
      </c>
      <c r="K400" s="612">
        <v>2200</v>
      </c>
      <c r="L400" s="376">
        <f t="shared" si="77"/>
        <v>200</v>
      </c>
      <c r="M400" s="377">
        <f t="shared" si="72"/>
        <v>0</v>
      </c>
      <c r="N400" s="377">
        <f t="shared" si="73"/>
        <v>0</v>
      </c>
      <c r="O400" s="377">
        <f t="shared" si="78"/>
        <v>0</v>
      </c>
      <c r="P400" s="377">
        <f t="shared" si="79"/>
        <v>0</v>
      </c>
      <c r="Q400" s="755">
        <v>1</v>
      </c>
      <c r="R400" s="378" t="str">
        <f t="shared" si="74"/>
        <v>S</v>
      </c>
      <c r="S400" s="379"/>
      <c r="T400" s="379"/>
      <c r="U400" s="756">
        <f t="shared" si="75"/>
        <v>3779.9999999999995</v>
      </c>
    </row>
    <row r="401" spans="1:21" ht="14.1" customHeight="1">
      <c r="A401" s="559">
        <v>401</v>
      </c>
      <c r="B401" s="551" t="s">
        <v>527</v>
      </c>
      <c r="C401" s="552" t="s">
        <v>521</v>
      </c>
      <c r="D401" s="757">
        <f>VLOOKUP(B401,Locatieoverzicht!$A$14:$E$21,5,FALSE)</f>
        <v>1</v>
      </c>
      <c r="E401" s="380">
        <v>1</v>
      </c>
      <c r="F401" s="598" t="s">
        <v>414</v>
      </c>
      <c r="G401" s="550" t="s">
        <v>550</v>
      </c>
      <c r="H401" s="374" t="str">
        <f t="shared" si="76"/>
        <v>Trappenhuizen</v>
      </c>
      <c r="I401" s="380" t="s">
        <v>616</v>
      </c>
      <c r="J401" s="561">
        <v>16.100000000000001</v>
      </c>
      <c r="K401" s="612">
        <v>5200</v>
      </c>
      <c r="L401" s="376">
        <f t="shared" si="77"/>
        <v>200</v>
      </c>
      <c r="M401" s="377">
        <f t="shared" si="72"/>
        <v>0</v>
      </c>
      <c r="N401" s="377">
        <f t="shared" si="73"/>
        <v>0</v>
      </c>
      <c r="O401" s="377">
        <f t="shared" si="78"/>
        <v>0</v>
      </c>
      <c r="P401" s="377">
        <f t="shared" si="79"/>
        <v>0</v>
      </c>
      <c r="Q401" s="755">
        <v>1</v>
      </c>
      <c r="R401" s="378" t="str">
        <f t="shared" si="74"/>
        <v>V</v>
      </c>
      <c r="S401" s="379"/>
      <c r="T401" s="379"/>
      <c r="U401" s="756">
        <f t="shared" si="75"/>
        <v>3220.0000000000005</v>
      </c>
    </row>
    <row r="402" spans="1:21" ht="14.1" customHeight="1">
      <c r="A402" s="559">
        <v>402</v>
      </c>
      <c r="B402" s="551" t="s">
        <v>527</v>
      </c>
      <c r="C402" s="552" t="s">
        <v>521</v>
      </c>
      <c r="D402" s="757">
        <f>VLOOKUP(B402,Locatieoverzicht!$A$14:$E$21,5,FALSE)</f>
        <v>1</v>
      </c>
      <c r="E402" s="380">
        <v>1</v>
      </c>
      <c r="F402" s="598" t="s">
        <v>415</v>
      </c>
      <c r="G402" s="550" t="s">
        <v>401</v>
      </c>
      <c r="H402" s="374" t="str">
        <f t="shared" si="76"/>
        <v>Leslokaal regulier</v>
      </c>
      <c r="I402" s="380" t="s">
        <v>612</v>
      </c>
      <c r="J402" s="561">
        <v>64.7</v>
      </c>
      <c r="K402" s="612">
        <v>8040</v>
      </c>
      <c r="L402" s="376">
        <f t="shared" si="77"/>
        <v>40</v>
      </c>
      <c r="M402" s="377">
        <f t="shared" si="72"/>
        <v>0</v>
      </c>
      <c r="N402" s="377">
        <f t="shared" si="73"/>
        <v>0</v>
      </c>
      <c r="O402" s="377">
        <f t="shared" si="78"/>
        <v>0</v>
      </c>
      <c r="P402" s="377">
        <f t="shared" si="79"/>
        <v>0</v>
      </c>
      <c r="Q402" s="755">
        <v>1</v>
      </c>
      <c r="R402" s="378" t="str">
        <f t="shared" si="74"/>
        <v>L</v>
      </c>
      <c r="S402" s="379"/>
      <c r="T402" s="379"/>
      <c r="U402" s="756">
        <f t="shared" si="75"/>
        <v>2588</v>
      </c>
    </row>
    <row r="403" spans="1:21" ht="14.1" customHeight="1">
      <c r="A403" s="559">
        <v>403</v>
      </c>
      <c r="B403" s="551" t="s">
        <v>527</v>
      </c>
      <c r="C403" s="552" t="s">
        <v>521</v>
      </c>
      <c r="D403" s="757">
        <f>VLOOKUP(B403,Locatieoverzicht!$A$14:$E$21,5,FALSE)</f>
        <v>1</v>
      </c>
      <c r="E403" s="380">
        <v>1</v>
      </c>
      <c r="F403" s="598" t="s">
        <v>416</v>
      </c>
      <c r="G403" s="550" t="s">
        <v>401</v>
      </c>
      <c r="H403" s="374" t="str">
        <f t="shared" si="76"/>
        <v>Leslokaal regulier</v>
      </c>
      <c r="I403" s="380" t="s">
        <v>612</v>
      </c>
      <c r="J403" s="561">
        <v>70.8</v>
      </c>
      <c r="K403" s="612">
        <v>8040</v>
      </c>
      <c r="L403" s="376">
        <f t="shared" si="77"/>
        <v>40</v>
      </c>
      <c r="M403" s="377">
        <f t="shared" si="72"/>
        <v>0</v>
      </c>
      <c r="N403" s="377">
        <f t="shared" si="73"/>
        <v>0</v>
      </c>
      <c r="O403" s="377">
        <f t="shared" si="78"/>
        <v>0</v>
      </c>
      <c r="P403" s="377">
        <f t="shared" si="79"/>
        <v>0</v>
      </c>
      <c r="Q403" s="755">
        <v>1</v>
      </c>
      <c r="R403" s="378" t="str">
        <f t="shared" si="74"/>
        <v>L</v>
      </c>
      <c r="S403" s="379"/>
      <c r="T403" s="379"/>
      <c r="U403" s="756">
        <f t="shared" si="75"/>
        <v>2832</v>
      </c>
    </row>
    <row r="404" spans="1:21" ht="14.1" customHeight="1">
      <c r="A404" s="559">
        <v>404</v>
      </c>
      <c r="B404" s="551" t="s">
        <v>527</v>
      </c>
      <c r="C404" s="552" t="s">
        <v>521</v>
      </c>
      <c r="D404" s="757">
        <f>VLOOKUP(B404,Locatieoverzicht!$A$14:$E$21,5,FALSE)</f>
        <v>1</v>
      </c>
      <c r="E404" s="380">
        <v>1</v>
      </c>
      <c r="F404" s="598" t="s">
        <v>417</v>
      </c>
      <c r="G404" s="550" t="s">
        <v>402</v>
      </c>
      <c r="H404" s="374" t="str">
        <f t="shared" si="76"/>
        <v>Administratieve ruimten</v>
      </c>
      <c r="I404" s="380" t="s">
        <v>612</v>
      </c>
      <c r="J404" s="561">
        <v>13.9</v>
      </c>
      <c r="K404" s="612">
        <v>1040</v>
      </c>
      <c r="L404" s="376">
        <f t="shared" si="77"/>
        <v>40</v>
      </c>
      <c r="M404" s="377">
        <f t="shared" si="72"/>
        <v>0</v>
      </c>
      <c r="N404" s="377">
        <f t="shared" si="73"/>
        <v>0</v>
      </c>
      <c r="O404" s="377">
        <f t="shared" si="78"/>
        <v>0</v>
      </c>
      <c r="P404" s="377">
        <f t="shared" si="79"/>
        <v>0</v>
      </c>
      <c r="Q404" s="755">
        <v>1</v>
      </c>
      <c r="R404" s="378" t="str">
        <f t="shared" si="74"/>
        <v>B</v>
      </c>
      <c r="S404" s="379"/>
      <c r="T404" s="379"/>
      <c r="U404" s="756">
        <f t="shared" si="75"/>
        <v>556</v>
      </c>
    </row>
    <row r="405" spans="1:21" ht="14.1" customHeight="1">
      <c r="A405" s="559">
        <v>405</v>
      </c>
      <c r="B405" s="551" t="s">
        <v>527</v>
      </c>
      <c r="C405" s="552" t="s">
        <v>521</v>
      </c>
      <c r="D405" s="757">
        <f>VLOOKUP(B405,Locatieoverzicht!$A$14:$E$21,5,FALSE)</f>
        <v>1</v>
      </c>
      <c r="E405" s="380">
        <v>1</v>
      </c>
      <c r="F405" s="598" t="s">
        <v>418</v>
      </c>
      <c r="G405" s="550" t="s">
        <v>402</v>
      </c>
      <c r="H405" s="374" t="str">
        <f t="shared" si="76"/>
        <v>Administratieve ruimten</v>
      </c>
      <c r="I405" s="380" t="s">
        <v>612</v>
      </c>
      <c r="J405" s="561">
        <v>16.399999999999999</v>
      </c>
      <c r="K405" s="612">
        <v>1040</v>
      </c>
      <c r="L405" s="376">
        <f t="shared" si="77"/>
        <v>40</v>
      </c>
      <c r="M405" s="377">
        <f t="shared" si="72"/>
        <v>0</v>
      </c>
      <c r="N405" s="377">
        <f t="shared" si="73"/>
        <v>0</v>
      </c>
      <c r="O405" s="377">
        <f t="shared" si="78"/>
        <v>0</v>
      </c>
      <c r="P405" s="377">
        <f t="shared" si="79"/>
        <v>0</v>
      </c>
      <c r="Q405" s="755">
        <v>1</v>
      </c>
      <c r="R405" s="378" t="str">
        <f t="shared" si="74"/>
        <v>B</v>
      </c>
      <c r="S405" s="379"/>
      <c r="T405" s="379"/>
      <c r="U405" s="756">
        <f t="shared" si="75"/>
        <v>656</v>
      </c>
    </row>
    <row r="406" spans="1:21" ht="14.1" customHeight="1">
      <c r="A406" s="559">
        <v>406</v>
      </c>
      <c r="B406" s="551" t="s">
        <v>527</v>
      </c>
      <c r="C406" s="552" t="s">
        <v>521</v>
      </c>
      <c r="D406" s="757">
        <f>VLOOKUP(B406,Locatieoverzicht!$A$14:$E$21,5,FALSE)</f>
        <v>1</v>
      </c>
      <c r="E406" s="380">
        <v>1</v>
      </c>
      <c r="F406" s="598" t="s">
        <v>419</v>
      </c>
      <c r="G406" s="550" t="s">
        <v>401</v>
      </c>
      <c r="H406" s="374" t="str">
        <f t="shared" si="76"/>
        <v>Leslokaal regulier</v>
      </c>
      <c r="I406" s="380" t="s">
        <v>612</v>
      </c>
      <c r="J406" s="561">
        <v>55.1</v>
      </c>
      <c r="K406" s="612">
        <v>8040</v>
      </c>
      <c r="L406" s="376">
        <f t="shared" si="77"/>
        <v>40</v>
      </c>
      <c r="M406" s="377">
        <f t="shared" si="72"/>
        <v>0</v>
      </c>
      <c r="N406" s="377">
        <f t="shared" si="73"/>
        <v>0</v>
      </c>
      <c r="O406" s="377">
        <f t="shared" si="78"/>
        <v>0</v>
      </c>
      <c r="P406" s="377">
        <f t="shared" si="79"/>
        <v>0</v>
      </c>
      <c r="Q406" s="755">
        <v>1</v>
      </c>
      <c r="R406" s="378" t="str">
        <f t="shared" si="74"/>
        <v>L</v>
      </c>
      <c r="S406" s="379"/>
      <c r="T406" s="379"/>
      <c r="U406" s="756">
        <f t="shared" si="75"/>
        <v>2204</v>
      </c>
    </row>
    <row r="407" spans="1:21" ht="14.1" customHeight="1">
      <c r="A407" s="559">
        <v>407</v>
      </c>
      <c r="B407" s="551" t="s">
        <v>527</v>
      </c>
      <c r="C407" s="552" t="s">
        <v>521</v>
      </c>
      <c r="D407" s="757">
        <f>VLOOKUP(B407,Locatieoverzicht!$A$14:$E$21,5,FALSE)</f>
        <v>1</v>
      </c>
      <c r="E407" s="380">
        <v>1</v>
      </c>
      <c r="F407" s="598" t="s">
        <v>420</v>
      </c>
      <c r="G407" s="550" t="s">
        <v>401</v>
      </c>
      <c r="H407" s="374" t="str">
        <f t="shared" si="76"/>
        <v>Leslokaal regulier</v>
      </c>
      <c r="I407" s="380" t="s">
        <v>612</v>
      </c>
      <c r="J407" s="561">
        <v>58.4</v>
      </c>
      <c r="K407" s="612">
        <v>8040</v>
      </c>
      <c r="L407" s="376">
        <f t="shared" si="77"/>
        <v>40</v>
      </c>
      <c r="M407" s="377">
        <f t="shared" si="72"/>
        <v>0</v>
      </c>
      <c r="N407" s="377">
        <f t="shared" si="73"/>
        <v>0</v>
      </c>
      <c r="O407" s="377">
        <f t="shared" si="78"/>
        <v>0</v>
      </c>
      <c r="P407" s="377">
        <f t="shared" si="79"/>
        <v>0</v>
      </c>
      <c r="Q407" s="755">
        <v>1</v>
      </c>
      <c r="R407" s="378" t="str">
        <f t="shared" si="74"/>
        <v>L</v>
      </c>
      <c r="S407" s="379"/>
      <c r="T407" s="379"/>
      <c r="U407" s="756">
        <f t="shared" si="75"/>
        <v>2336</v>
      </c>
    </row>
    <row r="408" spans="1:21" ht="14.1" customHeight="1">
      <c r="A408" s="559">
        <v>408</v>
      </c>
      <c r="B408" s="551" t="s">
        <v>527</v>
      </c>
      <c r="C408" s="552" t="s">
        <v>521</v>
      </c>
      <c r="D408" s="757">
        <f>VLOOKUP(B408,Locatieoverzicht!$A$14:$E$21,5,FALSE)</f>
        <v>1</v>
      </c>
      <c r="E408" s="380">
        <v>1</v>
      </c>
      <c r="F408" s="598" t="s">
        <v>421</v>
      </c>
      <c r="G408" s="550" t="s">
        <v>398</v>
      </c>
      <c r="H408" s="374" t="str">
        <f t="shared" si="76"/>
        <v>Gangen en hallen</v>
      </c>
      <c r="I408" s="380" t="s">
        <v>612</v>
      </c>
      <c r="J408" s="561">
        <v>142</v>
      </c>
      <c r="K408" s="612">
        <v>3200</v>
      </c>
      <c r="L408" s="376">
        <f t="shared" si="77"/>
        <v>200</v>
      </c>
      <c r="M408" s="377">
        <f t="shared" si="72"/>
        <v>0</v>
      </c>
      <c r="N408" s="377">
        <f t="shared" si="73"/>
        <v>0</v>
      </c>
      <c r="O408" s="377">
        <f t="shared" si="78"/>
        <v>0</v>
      </c>
      <c r="P408" s="377">
        <f t="shared" si="79"/>
        <v>0</v>
      </c>
      <c r="Q408" s="755">
        <v>1</v>
      </c>
      <c r="R408" s="378" t="str">
        <f t="shared" si="74"/>
        <v>V</v>
      </c>
      <c r="S408" s="379"/>
      <c r="T408" s="379"/>
      <c r="U408" s="756">
        <f t="shared" si="75"/>
        <v>28400</v>
      </c>
    </row>
    <row r="409" spans="1:21" ht="14.1" customHeight="1">
      <c r="A409" s="559">
        <v>409</v>
      </c>
      <c r="B409" s="551" t="s">
        <v>527</v>
      </c>
      <c r="C409" s="552" t="s">
        <v>521</v>
      </c>
      <c r="D409" s="757">
        <f>VLOOKUP(B409,Locatieoverzicht!$A$14:$E$21,5,FALSE)</f>
        <v>1</v>
      </c>
      <c r="E409" s="380">
        <v>1</v>
      </c>
      <c r="F409" s="598" t="s">
        <v>422</v>
      </c>
      <c r="G409" s="550" t="s">
        <v>401</v>
      </c>
      <c r="H409" s="374" t="str">
        <f t="shared" si="76"/>
        <v>Leslokaal regulier</v>
      </c>
      <c r="I409" s="380" t="s">
        <v>612</v>
      </c>
      <c r="J409" s="561">
        <v>58.3</v>
      </c>
      <c r="K409" s="612">
        <v>8040</v>
      </c>
      <c r="L409" s="376">
        <f t="shared" si="77"/>
        <v>40</v>
      </c>
      <c r="M409" s="377">
        <f t="shared" si="72"/>
        <v>0</v>
      </c>
      <c r="N409" s="377">
        <f t="shared" si="73"/>
        <v>0</v>
      </c>
      <c r="O409" s="377">
        <f t="shared" si="78"/>
        <v>0</v>
      </c>
      <c r="P409" s="377">
        <f t="shared" si="79"/>
        <v>0</v>
      </c>
      <c r="Q409" s="755">
        <v>1</v>
      </c>
      <c r="R409" s="378" t="str">
        <f t="shared" si="74"/>
        <v>L</v>
      </c>
      <c r="S409" s="379"/>
      <c r="T409" s="379"/>
      <c r="U409" s="756">
        <f t="shared" si="75"/>
        <v>2332</v>
      </c>
    </row>
    <row r="410" spans="1:21" ht="14.1" customHeight="1">
      <c r="A410" s="559">
        <v>410</v>
      </c>
      <c r="B410" s="551" t="s">
        <v>527</v>
      </c>
      <c r="C410" s="552" t="s">
        <v>521</v>
      </c>
      <c r="D410" s="757">
        <f>VLOOKUP(B410,Locatieoverzicht!$A$14:$E$21,5,FALSE)</f>
        <v>1</v>
      </c>
      <c r="E410" s="380">
        <v>1</v>
      </c>
      <c r="F410" s="598" t="s">
        <v>423</v>
      </c>
      <c r="G410" s="550" t="s">
        <v>540</v>
      </c>
      <c r="H410" s="374" t="str">
        <f t="shared" si="76"/>
        <v>Niet van toepassing</v>
      </c>
      <c r="I410" s="380" t="s">
        <v>612</v>
      </c>
      <c r="J410" s="561">
        <v>3</v>
      </c>
      <c r="K410" s="612" t="s">
        <v>239</v>
      </c>
      <c r="L410" s="376">
        <f t="shared" si="77"/>
        <v>0</v>
      </c>
      <c r="M410" s="377">
        <f t="shared" si="72"/>
        <v>0</v>
      </c>
      <c r="N410" s="377">
        <f t="shared" si="73"/>
        <v>0</v>
      </c>
      <c r="O410" s="377">
        <f t="shared" si="78"/>
        <v>0</v>
      </c>
      <c r="P410" s="377">
        <f t="shared" si="79"/>
        <v>0</v>
      </c>
      <c r="Q410" s="755">
        <v>1</v>
      </c>
      <c r="R410" s="378">
        <f t="shared" si="74"/>
        <v>0</v>
      </c>
      <c r="S410" s="379"/>
      <c r="T410" s="379"/>
      <c r="U410" s="756">
        <f t="shared" si="75"/>
        <v>0</v>
      </c>
    </row>
    <row r="411" spans="1:21" ht="14.1" customHeight="1">
      <c r="A411" s="559">
        <v>411</v>
      </c>
      <c r="B411" s="551" t="s">
        <v>527</v>
      </c>
      <c r="C411" s="552" t="s">
        <v>521</v>
      </c>
      <c r="D411" s="757">
        <f>VLOOKUP(B411,Locatieoverzicht!$A$14:$E$21,5,FALSE)</f>
        <v>1</v>
      </c>
      <c r="E411" s="380">
        <v>1</v>
      </c>
      <c r="F411" s="598" t="s">
        <v>424</v>
      </c>
      <c r="G411" s="550" t="s">
        <v>402</v>
      </c>
      <c r="H411" s="374" t="str">
        <f t="shared" si="76"/>
        <v>Administratieve ruimten</v>
      </c>
      <c r="I411" s="380" t="s">
        <v>612</v>
      </c>
      <c r="J411" s="561">
        <v>12.6</v>
      </c>
      <c r="K411" s="612">
        <v>1040</v>
      </c>
      <c r="L411" s="376">
        <f t="shared" si="77"/>
        <v>40</v>
      </c>
      <c r="M411" s="377">
        <f t="shared" si="72"/>
        <v>0</v>
      </c>
      <c r="N411" s="377">
        <f t="shared" si="73"/>
        <v>0</v>
      </c>
      <c r="O411" s="377">
        <f t="shared" si="78"/>
        <v>0</v>
      </c>
      <c r="P411" s="377">
        <f t="shared" si="79"/>
        <v>0</v>
      </c>
      <c r="Q411" s="755">
        <v>1</v>
      </c>
      <c r="R411" s="378" t="str">
        <f t="shared" si="74"/>
        <v>B</v>
      </c>
      <c r="S411" s="379"/>
      <c r="T411" s="379"/>
      <c r="U411" s="756">
        <f t="shared" si="75"/>
        <v>504</v>
      </c>
    </row>
    <row r="412" spans="1:21" ht="14.1" customHeight="1">
      <c r="A412" s="559">
        <v>412</v>
      </c>
      <c r="B412" s="551" t="s">
        <v>527</v>
      </c>
      <c r="C412" s="552" t="s">
        <v>521</v>
      </c>
      <c r="D412" s="757">
        <f>VLOOKUP(B412,Locatieoverzicht!$A$14:$E$21,5,FALSE)</f>
        <v>1</v>
      </c>
      <c r="E412" s="380">
        <v>1</v>
      </c>
      <c r="F412" s="598" t="s">
        <v>425</v>
      </c>
      <c r="G412" s="550" t="s">
        <v>402</v>
      </c>
      <c r="H412" s="374" t="str">
        <f t="shared" si="76"/>
        <v>Administratieve ruimten</v>
      </c>
      <c r="I412" s="380" t="s">
        <v>612</v>
      </c>
      <c r="J412" s="561">
        <v>11.8</v>
      </c>
      <c r="K412" s="612">
        <v>1040</v>
      </c>
      <c r="L412" s="376">
        <f t="shared" si="77"/>
        <v>40</v>
      </c>
      <c r="M412" s="377">
        <f t="shared" si="72"/>
        <v>0</v>
      </c>
      <c r="N412" s="377">
        <f t="shared" si="73"/>
        <v>0</v>
      </c>
      <c r="O412" s="377">
        <f t="shared" si="78"/>
        <v>0</v>
      </c>
      <c r="P412" s="377">
        <f t="shared" si="79"/>
        <v>0</v>
      </c>
      <c r="Q412" s="755">
        <v>1</v>
      </c>
      <c r="R412" s="378" t="str">
        <f t="shared" si="74"/>
        <v>B</v>
      </c>
      <c r="S412" s="379"/>
      <c r="T412" s="379"/>
      <c r="U412" s="756">
        <f t="shared" si="75"/>
        <v>472</v>
      </c>
    </row>
    <row r="413" spans="1:21" ht="14.1" customHeight="1">
      <c r="A413" s="559">
        <v>413</v>
      </c>
      <c r="B413" s="551" t="s">
        <v>527</v>
      </c>
      <c r="C413" s="552" t="s">
        <v>521</v>
      </c>
      <c r="D413" s="757">
        <f>VLOOKUP(B413,Locatieoverzicht!$A$14:$E$21,5,FALSE)</f>
        <v>1</v>
      </c>
      <c r="E413" s="380">
        <v>1</v>
      </c>
      <c r="F413" s="598" t="s">
        <v>426</v>
      </c>
      <c r="G413" s="550" t="s">
        <v>522</v>
      </c>
      <c r="H413" s="374" t="str">
        <f t="shared" si="76"/>
        <v>Niet van toepassing</v>
      </c>
      <c r="I413" s="380" t="s">
        <v>612</v>
      </c>
      <c r="J413" s="561">
        <v>2.6</v>
      </c>
      <c r="K413" s="612" t="s">
        <v>239</v>
      </c>
      <c r="L413" s="376">
        <f t="shared" si="77"/>
        <v>0</v>
      </c>
      <c r="M413" s="377">
        <f t="shared" si="72"/>
        <v>0</v>
      </c>
      <c r="N413" s="377">
        <f t="shared" si="73"/>
        <v>0</v>
      </c>
      <c r="O413" s="377">
        <f t="shared" si="78"/>
        <v>0</v>
      </c>
      <c r="P413" s="377">
        <f t="shared" si="79"/>
        <v>0</v>
      </c>
      <c r="Q413" s="755">
        <v>1</v>
      </c>
      <c r="R413" s="378">
        <f t="shared" si="74"/>
        <v>0</v>
      </c>
      <c r="S413" s="379"/>
      <c r="T413" s="379"/>
      <c r="U413" s="756">
        <f t="shared" si="75"/>
        <v>0</v>
      </c>
    </row>
    <row r="414" spans="1:21" ht="14.1" customHeight="1">
      <c r="A414" s="559">
        <v>414</v>
      </c>
      <c r="B414" s="551" t="s">
        <v>527</v>
      </c>
      <c r="C414" s="552" t="s">
        <v>521</v>
      </c>
      <c r="D414" s="757">
        <f>VLOOKUP(B414,Locatieoverzicht!$A$14:$E$21,5,FALSE)</f>
        <v>1</v>
      </c>
      <c r="E414" s="380">
        <v>1</v>
      </c>
      <c r="F414" s="598" t="s">
        <v>427</v>
      </c>
      <c r="G414" s="550" t="s">
        <v>401</v>
      </c>
      <c r="H414" s="374" t="str">
        <f t="shared" si="76"/>
        <v>Leslokaal regulier</v>
      </c>
      <c r="I414" s="380" t="s">
        <v>612</v>
      </c>
      <c r="J414" s="561">
        <v>48.5</v>
      </c>
      <c r="K414" s="612">
        <v>8040</v>
      </c>
      <c r="L414" s="376">
        <f t="shared" si="77"/>
        <v>40</v>
      </c>
      <c r="M414" s="377">
        <f t="shared" si="72"/>
        <v>0</v>
      </c>
      <c r="N414" s="377">
        <f t="shared" si="73"/>
        <v>0</v>
      </c>
      <c r="O414" s="377">
        <f t="shared" si="78"/>
        <v>0</v>
      </c>
      <c r="P414" s="377">
        <f t="shared" si="79"/>
        <v>0</v>
      </c>
      <c r="Q414" s="755">
        <v>1</v>
      </c>
      <c r="R414" s="378" t="str">
        <f t="shared" si="74"/>
        <v>L</v>
      </c>
      <c r="S414" s="379"/>
      <c r="T414" s="379"/>
      <c r="U414" s="756">
        <f t="shared" si="75"/>
        <v>1940</v>
      </c>
    </row>
    <row r="415" spans="1:21" ht="14.1" customHeight="1">
      <c r="A415" s="559">
        <v>415</v>
      </c>
      <c r="B415" s="551" t="s">
        <v>527</v>
      </c>
      <c r="C415" s="552" t="s">
        <v>521</v>
      </c>
      <c r="D415" s="757">
        <f>VLOOKUP(B415,Locatieoverzicht!$A$14:$E$21,5,FALSE)</f>
        <v>1</v>
      </c>
      <c r="E415" s="380">
        <v>1</v>
      </c>
      <c r="F415" s="598" t="s">
        <v>428</v>
      </c>
      <c r="G415" s="550" t="s">
        <v>402</v>
      </c>
      <c r="H415" s="374" t="str">
        <f t="shared" si="76"/>
        <v>Administratieve ruimten</v>
      </c>
      <c r="I415" s="380" t="s">
        <v>612</v>
      </c>
      <c r="J415" s="561">
        <v>16.899999999999999</v>
      </c>
      <c r="K415" s="612">
        <v>1040</v>
      </c>
      <c r="L415" s="376">
        <f t="shared" si="77"/>
        <v>40</v>
      </c>
      <c r="M415" s="377">
        <f t="shared" si="72"/>
        <v>0</v>
      </c>
      <c r="N415" s="377">
        <f t="shared" si="73"/>
        <v>0</v>
      </c>
      <c r="O415" s="377">
        <f t="shared" si="78"/>
        <v>0</v>
      </c>
      <c r="P415" s="377">
        <f t="shared" si="79"/>
        <v>0</v>
      </c>
      <c r="Q415" s="755">
        <v>1</v>
      </c>
      <c r="R415" s="378" t="str">
        <f t="shared" si="74"/>
        <v>B</v>
      </c>
      <c r="S415" s="379"/>
      <c r="T415" s="379"/>
      <c r="U415" s="756">
        <f t="shared" si="75"/>
        <v>676</v>
      </c>
    </row>
    <row r="416" spans="1:21" ht="14.1" customHeight="1">
      <c r="A416" s="559">
        <v>416</v>
      </c>
      <c r="B416" s="551" t="s">
        <v>527</v>
      </c>
      <c r="C416" s="552" t="s">
        <v>521</v>
      </c>
      <c r="D416" s="757">
        <f>VLOOKUP(B416,Locatieoverzicht!$A$14:$E$21,5,FALSE)</f>
        <v>1</v>
      </c>
      <c r="E416" s="380">
        <v>1</v>
      </c>
      <c r="F416" s="598" t="s">
        <v>429</v>
      </c>
      <c r="G416" s="550" t="s">
        <v>401</v>
      </c>
      <c r="H416" s="374" t="str">
        <f t="shared" si="76"/>
        <v>Leslokaal regulier</v>
      </c>
      <c r="I416" s="380" t="s">
        <v>612</v>
      </c>
      <c r="J416" s="561">
        <v>59.3</v>
      </c>
      <c r="K416" s="612">
        <v>8040</v>
      </c>
      <c r="L416" s="376">
        <f t="shared" si="77"/>
        <v>40</v>
      </c>
      <c r="M416" s="377">
        <f t="shared" si="72"/>
        <v>0</v>
      </c>
      <c r="N416" s="377">
        <f t="shared" si="73"/>
        <v>0</v>
      </c>
      <c r="O416" s="377">
        <f t="shared" si="78"/>
        <v>0</v>
      </c>
      <c r="P416" s="377">
        <f t="shared" si="79"/>
        <v>0</v>
      </c>
      <c r="Q416" s="755">
        <v>1</v>
      </c>
      <c r="R416" s="378" t="str">
        <f t="shared" si="74"/>
        <v>L</v>
      </c>
      <c r="S416" s="379"/>
      <c r="T416" s="379"/>
      <c r="U416" s="756">
        <f t="shared" si="75"/>
        <v>2372</v>
      </c>
    </row>
    <row r="417" spans="1:21" ht="14.1" customHeight="1">
      <c r="A417" s="559">
        <v>417</v>
      </c>
      <c r="B417" s="551" t="s">
        <v>527</v>
      </c>
      <c r="C417" s="552" t="s">
        <v>521</v>
      </c>
      <c r="D417" s="757">
        <f>VLOOKUP(B417,Locatieoverzicht!$A$14:$E$21,5,FALSE)</f>
        <v>1</v>
      </c>
      <c r="E417" s="380">
        <v>2</v>
      </c>
      <c r="F417" s="598" t="s">
        <v>464</v>
      </c>
      <c r="G417" s="550" t="s">
        <v>398</v>
      </c>
      <c r="H417" s="374" t="str">
        <f t="shared" si="76"/>
        <v>Gangen en hallen</v>
      </c>
      <c r="I417" s="380" t="s">
        <v>616</v>
      </c>
      <c r="J417" s="561">
        <v>16.2</v>
      </c>
      <c r="K417" s="612">
        <v>3200</v>
      </c>
      <c r="L417" s="376">
        <f t="shared" si="77"/>
        <v>200</v>
      </c>
      <c r="M417" s="377">
        <f t="shared" si="72"/>
        <v>0</v>
      </c>
      <c r="N417" s="377">
        <f t="shared" si="73"/>
        <v>0</v>
      </c>
      <c r="O417" s="377">
        <f t="shared" si="78"/>
        <v>0</v>
      </c>
      <c r="P417" s="377">
        <f t="shared" si="79"/>
        <v>0</v>
      </c>
      <c r="Q417" s="755">
        <v>1</v>
      </c>
      <c r="R417" s="378" t="str">
        <f t="shared" si="74"/>
        <v>V</v>
      </c>
      <c r="S417" s="379"/>
      <c r="T417" s="379"/>
      <c r="U417" s="756">
        <f t="shared" si="75"/>
        <v>3240</v>
      </c>
    </row>
    <row r="418" spans="1:21" ht="14.1" customHeight="1">
      <c r="A418" s="559">
        <v>418</v>
      </c>
      <c r="B418" s="551" t="s">
        <v>527</v>
      </c>
      <c r="C418" s="552" t="s">
        <v>521</v>
      </c>
      <c r="D418" s="757">
        <f>VLOOKUP(B418,Locatieoverzicht!$A$14:$E$21,5,FALSE)</f>
        <v>1</v>
      </c>
      <c r="E418" s="380">
        <v>2</v>
      </c>
      <c r="F418" s="598" t="s">
        <v>465</v>
      </c>
      <c r="G418" s="550" t="s">
        <v>400</v>
      </c>
      <c r="H418" s="374" t="str">
        <f t="shared" si="76"/>
        <v>Sanitaire ruimten</v>
      </c>
      <c r="I418" s="380" t="s">
        <v>616</v>
      </c>
      <c r="J418" s="561">
        <v>11.4</v>
      </c>
      <c r="K418" s="612">
        <v>2200</v>
      </c>
      <c r="L418" s="376">
        <f t="shared" si="77"/>
        <v>200</v>
      </c>
      <c r="M418" s="377">
        <f t="shared" si="72"/>
        <v>0</v>
      </c>
      <c r="N418" s="377">
        <f t="shared" si="73"/>
        <v>0</v>
      </c>
      <c r="O418" s="377">
        <f t="shared" si="78"/>
        <v>0</v>
      </c>
      <c r="P418" s="377">
        <f t="shared" si="79"/>
        <v>0</v>
      </c>
      <c r="Q418" s="755">
        <v>1</v>
      </c>
      <c r="R418" s="378" t="str">
        <f t="shared" si="74"/>
        <v>S</v>
      </c>
      <c r="S418" s="379"/>
      <c r="T418" s="379"/>
      <c r="U418" s="756">
        <f t="shared" si="75"/>
        <v>2280</v>
      </c>
    </row>
    <row r="419" spans="1:21" ht="14.1" customHeight="1">
      <c r="A419" s="559">
        <v>419</v>
      </c>
      <c r="B419" s="551" t="s">
        <v>527</v>
      </c>
      <c r="C419" s="552" t="s">
        <v>521</v>
      </c>
      <c r="D419" s="757">
        <f>VLOOKUP(B419,Locatieoverzicht!$A$14:$E$21,5,FALSE)</f>
        <v>1</v>
      </c>
      <c r="E419" s="380">
        <v>2</v>
      </c>
      <c r="F419" s="598" t="s">
        <v>466</v>
      </c>
      <c r="G419" s="550" t="s">
        <v>400</v>
      </c>
      <c r="H419" s="374" t="str">
        <f t="shared" si="76"/>
        <v>Sanitaire ruimten</v>
      </c>
      <c r="I419" s="380" t="s">
        <v>616</v>
      </c>
      <c r="J419" s="561">
        <v>4.5</v>
      </c>
      <c r="K419" s="612">
        <v>2200</v>
      </c>
      <c r="L419" s="376">
        <f t="shared" si="77"/>
        <v>200</v>
      </c>
      <c r="M419" s="377">
        <f t="shared" si="72"/>
        <v>0</v>
      </c>
      <c r="N419" s="377">
        <f t="shared" si="73"/>
        <v>0</v>
      </c>
      <c r="O419" s="377">
        <f t="shared" si="78"/>
        <v>0</v>
      </c>
      <c r="P419" s="377">
        <f t="shared" si="79"/>
        <v>0</v>
      </c>
      <c r="Q419" s="755">
        <v>1</v>
      </c>
      <c r="R419" s="378" t="str">
        <f t="shared" si="74"/>
        <v>S</v>
      </c>
      <c r="S419" s="379"/>
      <c r="T419" s="379"/>
      <c r="U419" s="756">
        <f t="shared" si="75"/>
        <v>900</v>
      </c>
    </row>
    <row r="420" spans="1:21" ht="14.1" customHeight="1">
      <c r="A420" s="559">
        <v>420</v>
      </c>
      <c r="B420" s="551" t="s">
        <v>527</v>
      </c>
      <c r="C420" s="552" t="s">
        <v>521</v>
      </c>
      <c r="D420" s="757">
        <f>VLOOKUP(B420,Locatieoverzicht!$A$14:$E$21,5,FALSE)</f>
        <v>1</v>
      </c>
      <c r="E420" s="380">
        <v>2</v>
      </c>
      <c r="F420" s="598" t="s">
        <v>467</v>
      </c>
      <c r="G420" s="550" t="s">
        <v>403</v>
      </c>
      <c r="H420" s="374" t="str">
        <f t="shared" si="76"/>
        <v>Personeelsruimten</v>
      </c>
      <c r="I420" s="380" t="s">
        <v>612</v>
      </c>
      <c r="J420" s="561">
        <v>146.30000000000001</v>
      </c>
      <c r="K420" s="612">
        <v>12200</v>
      </c>
      <c r="L420" s="376">
        <f t="shared" si="77"/>
        <v>200</v>
      </c>
      <c r="M420" s="377">
        <f t="shared" si="72"/>
        <v>0</v>
      </c>
      <c r="N420" s="377">
        <f t="shared" si="73"/>
        <v>0</v>
      </c>
      <c r="O420" s="377">
        <f t="shared" si="78"/>
        <v>0</v>
      </c>
      <c r="P420" s="377">
        <f t="shared" si="79"/>
        <v>0</v>
      </c>
      <c r="Q420" s="755">
        <v>1</v>
      </c>
      <c r="R420" s="378" t="str">
        <f t="shared" si="74"/>
        <v>V</v>
      </c>
      <c r="S420" s="379"/>
      <c r="T420" s="379"/>
      <c r="U420" s="756">
        <f t="shared" si="75"/>
        <v>29260.000000000004</v>
      </c>
    </row>
    <row r="421" spans="1:21" ht="14.1" customHeight="1">
      <c r="A421" s="559">
        <v>421</v>
      </c>
      <c r="B421" s="551" t="s">
        <v>527</v>
      </c>
      <c r="C421" s="552" t="s">
        <v>521</v>
      </c>
      <c r="D421" s="757">
        <f>VLOOKUP(B421,Locatieoverzicht!$A$14:$E$21,5,FALSE)</f>
        <v>1</v>
      </c>
      <c r="E421" s="380">
        <v>2</v>
      </c>
      <c r="F421" s="598" t="s">
        <v>468</v>
      </c>
      <c r="G421" s="550" t="s">
        <v>540</v>
      </c>
      <c r="H421" s="374" t="str">
        <f t="shared" si="76"/>
        <v>Niet van toepassing</v>
      </c>
      <c r="I421" s="380" t="s">
        <v>612</v>
      </c>
      <c r="J421" s="561">
        <v>3</v>
      </c>
      <c r="K421" s="612" t="s">
        <v>239</v>
      </c>
      <c r="L421" s="376">
        <f t="shared" si="77"/>
        <v>0</v>
      </c>
      <c r="M421" s="377">
        <f t="shared" si="72"/>
        <v>0</v>
      </c>
      <c r="N421" s="377">
        <f t="shared" si="73"/>
        <v>0</v>
      </c>
      <c r="O421" s="377">
        <f t="shared" si="78"/>
        <v>0</v>
      </c>
      <c r="P421" s="377">
        <f t="shared" si="79"/>
        <v>0</v>
      </c>
      <c r="Q421" s="755">
        <v>1</v>
      </c>
      <c r="R421" s="378">
        <f t="shared" si="74"/>
        <v>0</v>
      </c>
      <c r="S421" s="379"/>
      <c r="T421" s="379"/>
      <c r="U421" s="756">
        <f t="shared" si="75"/>
        <v>0</v>
      </c>
    </row>
    <row r="422" spans="1:21" ht="14.1" customHeight="1">
      <c r="A422" s="559">
        <v>422</v>
      </c>
      <c r="B422" s="551" t="s">
        <v>527</v>
      </c>
      <c r="C422" s="552" t="s">
        <v>521</v>
      </c>
      <c r="D422" s="757">
        <f>VLOOKUP(B422,Locatieoverzicht!$A$14:$E$21,5,FALSE)</f>
        <v>1</v>
      </c>
      <c r="E422" s="380">
        <v>2</v>
      </c>
      <c r="F422" s="598" t="s">
        <v>469</v>
      </c>
      <c r="G422" s="550" t="s">
        <v>398</v>
      </c>
      <c r="H422" s="374" t="str">
        <f t="shared" si="76"/>
        <v>Gangen en hallen</v>
      </c>
      <c r="I422" s="380" t="s">
        <v>612</v>
      </c>
      <c r="J422" s="561">
        <v>26</v>
      </c>
      <c r="K422" s="612">
        <v>3200</v>
      </c>
      <c r="L422" s="376">
        <f t="shared" si="77"/>
        <v>200</v>
      </c>
      <c r="M422" s="377">
        <f t="shared" si="72"/>
        <v>0</v>
      </c>
      <c r="N422" s="377">
        <f t="shared" si="73"/>
        <v>0</v>
      </c>
      <c r="O422" s="377">
        <f t="shared" si="78"/>
        <v>0</v>
      </c>
      <c r="P422" s="377">
        <f t="shared" si="79"/>
        <v>0</v>
      </c>
      <c r="Q422" s="755">
        <v>1</v>
      </c>
      <c r="R422" s="378" t="str">
        <f t="shared" si="74"/>
        <v>V</v>
      </c>
      <c r="S422" s="379"/>
      <c r="T422" s="379"/>
      <c r="U422" s="756">
        <f t="shared" si="75"/>
        <v>5200</v>
      </c>
    </row>
    <row r="423" spans="1:21" ht="14.1" customHeight="1">
      <c r="A423" s="559">
        <v>423</v>
      </c>
      <c r="B423" s="551" t="s">
        <v>527</v>
      </c>
      <c r="C423" s="552" t="s">
        <v>521</v>
      </c>
      <c r="D423" s="757">
        <f>VLOOKUP(B423,Locatieoverzicht!$A$14:$E$21,5,FALSE)</f>
        <v>1</v>
      </c>
      <c r="E423" s="380">
        <v>2</v>
      </c>
      <c r="F423" s="598" t="s">
        <v>470</v>
      </c>
      <c r="G423" s="550" t="s">
        <v>402</v>
      </c>
      <c r="H423" s="374" t="str">
        <f t="shared" si="76"/>
        <v>Administratieve ruimten</v>
      </c>
      <c r="I423" s="380" t="s">
        <v>612</v>
      </c>
      <c r="J423" s="561">
        <v>29.1</v>
      </c>
      <c r="K423" s="612">
        <v>1040</v>
      </c>
      <c r="L423" s="376">
        <f t="shared" si="77"/>
        <v>40</v>
      </c>
      <c r="M423" s="377">
        <f t="shared" si="72"/>
        <v>0</v>
      </c>
      <c r="N423" s="377">
        <f t="shared" si="73"/>
        <v>0</v>
      </c>
      <c r="O423" s="377">
        <f t="shared" si="78"/>
        <v>0</v>
      </c>
      <c r="P423" s="377">
        <f t="shared" si="79"/>
        <v>0</v>
      </c>
      <c r="Q423" s="755">
        <v>1</v>
      </c>
      <c r="R423" s="378" t="str">
        <f t="shared" si="74"/>
        <v>B</v>
      </c>
      <c r="S423" s="379"/>
      <c r="T423" s="379"/>
      <c r="U423" s="756">
        <f t="shared" si="75"/>
        <v>1164</v>
      </c>
    </row>
    <row r="424" spans="1:21" ht="14.1" customHeight="1">
      <c r="A424" s="559">
        <v>424</v>
      </c>
      <c r="B424" s="551" t="s">
        <v>527</v>
      </c>
      <c r="C424" s="552" t="s">
        <v>521</v>
      </c>
      <c r="D424" s="757">
        <f>VLOOKUP(B424,Locatieoverzicht!$A$14:$E$21,5,FALSE)</f>
        <v>1</v>
      </c>
      <c r="E424" s="380">
        <v>2</v>
      </c>
      <c r="F424" s="598" t="s">
        <v>471</v>
      </c>
      <c r="G424" s="550" t="s">
        <v>401</v>
      </c>
      <c r="H424" s="374" t="str">
        <f t="shared" si="76"/>
        <v>Leslokaal regulier</v>
      </c>
      <c r="I424" s="380" t="s">
        <v>612</v>
      </c>
      <c r="J424" s="561">
        <v>82.5</v>
      </c>
      <c r="K424" s="612">
        <v>8040</v>
      </c>
      <c r="L424" s="376">
        <f t="shared" si="77"/>
        <v>40</v>
      </c>
      <c r="M424" s="377">
        <f t="shared" si="72"/>
        <v>0</v>
      </c>
      <c r="N424" s="377">
        <f t="shared" si="73"/>
        <v>0</v>
      </c>
      <c r="O424" s="377">
        <f t="shared" si="78"/>
        <v>0</v>
      </c>
      <c r="P424" s="377">
        <f t="shared" si="79"/>
        <v>0</v>
      </c>
      <c r="Q424" s="755">
        <v>1</v>
      </c>
      <c r="R424" s="378" t="str">
        <f t="shared" si="74"/>
        <v>L</v>
      </c>
      <c r="S424" s="379"/>
      <c r="T424" s="379"/>
      <c r="U424" s="756">
        <f t="shared" si="75"/>
        <v>3300</v>
      </c>
    </row>
    <row r="425" spans="1:21" ht="14.1" customHeight="1">
      <c r="A425" s="559">
        <v>425</v>
      </c>
      <c r="B425" s="551" t="s">
        <v>527</v>
      </c>
      <c r="C425" s="552" t="s">
        <v>521</v>
      </c>
      <c r="D425" s="757">
        <f>VLOOKUP(B425,Locatieoverzicht!$A$14:$E$21,5,FALSE)</f>
        <v>1</v>
      </c>
      <c r="E425" s="380">
        <v>2</v>
      </c>
      <c r="F425" s="598" t="s">
        <v>472</v>
      </c>
      <c r="G425" s="550" t="s">
        <v>401</v>
      </c>
      <c r="H425" s="374" t="str">
        <f t="shared" si="76"/>
        <v>Leslokaal regulier</v>
      </c>
      <c r="I425" s="380" t="s">
        <v>612</v>
      </c>
      <c r="J425" s="561">
        <v>59</v>
      </c>
      <c r="K425" s="612">
        <v>8040</v>
      </c>
      <c r="L425" s="376">
        <f t="shared" si="77"/>
        <v>40</v>
      </c>
      <c r="M425" s="377">
        <f t="shared" si="72"/>
        <v>0</v>
      </c>
      <c r="N425" s="377">
        <f t="shared" si="73"/>
        <v>0</v>
      </c>
      <c r="O425" s="377">
        <f t="shared" si="78"/>
        <v>0</v>
      </c>
      <c r="P425" s="377">
        <f t="shared" si="79"/>
        <v>0</v>
      </c>
      <c r="Q425" s="755">
        <v>1</v>
      </c>
      <c r="R425" s="378" t="str">
        <f t="shared" si="74"/>
        <v>L</v>
      </c>
      <c r="S425" s="379"/>
      <c r="T425" s="379"/>
      <c r="U425" s="756">
        <f t="shared" si="75"/>
        <v>2360</v>
      </c>
    </row>
    <row r="426" spans="1:21" ht="14.1" customHeight="1">
      <c r="A426" s="559">
        <v>426</v>
      </c>
      <c r="B426" s="375" t="s">
        <v>499</v>
      </c>
      <c r="C426" s="552" t="s">
        <v>521</v>
      </c>
      <c r="D426" s="757">
        <f>VLOOKUP(B426,Locatieoverzicht!$A$14:$E$21,5,FALSE)</f>
        <v>1</v>
      </c>
      <c r="E426" s="373">
        <v>0</v>
      </c>
      <c r="F426" s="549" t="s">
        <v>327</v>
      </c>
      <c r="G426" s="550" t="s">
        <v>398</v>
      </c>
      <c r="H426" s="374" t="str">
        <f t="shared" si="76"/>
        <v>Gangen en hallen</v>
      </c>
      <c r="I426" s="375"/>
      <c r="J426" s="561">
        <v>15.86</v>
      </c>
      <c r="K426" s="612">
        <v>3200</v>
      </c>
      <c r="L426" s="376">
        <f t="shared" si="77"/>
        <v>200</v>
      </c>
      <c r="M426" s="377">
        <f t="shared" si="72"/>
        <v>0</v>
      </c>
      <c r="N426" s="377">
        <f t="shared" si="73"/>
        <v>0</v>
      </c>
      <c r="O426" s="377">
        <f t="shared" si="78"/>
        <v>0</v>
      </c>
      <c r="P426" s="377">
        <f t="shared" si="79"/>
        <v>0</v>
      </c>
      <c r="Q426" s="755">
        <v>1</v>
      </c>
      <c r="R426" s="378" t="str">
        <f t="shared" si="74"/>
        <v>V</v>
      </c>
      <c r="S426" s="379"/>
      <c r="T426" s="379"/>
      <c r="U426" s="756">
        <f t="shared" si="75"/>
        <v>3172</v>
      </c>
    </row>
    <row r="427" spans="1:21" ht="14.1" customHeight="1">
      <c r="A427" s="559">
        <v>427</v>
      </c>
      <c r="B427" s="375" t="s">
        <v>499</v>
      </c>
      <c r="C427" s="552" t="s">
        <v>521</v>
      </c>
      <c r="D427" s="757">
        <f>VLOOKUP(B427,Locatieoverzicht!$A$14:$E$21,5,FALSE)</f>
        <v>1</v>
      </c>
      <c r="E427" s="373">
        <v>0</v>
      </c>
      <c r="F427" s="549" t="s">
        <v>328</v>
      </c>
      <c r="G427" s="550" t="s">
        <v>326</v>
      </c>
      <c r="H427" s="374" t="str">
        <f t="shared" si="76"/>
        <v>Niet van toepassing</v>
      </c>
      <c r="I427" s="375"/>
      <c r="J427" s="561">
        <v>3.84</v>
      </c>
      <c r="K427" s="612" t="s">
        <v>239</v>
      </c>
      <c r="L427" s="376">
        <f t="shared" si="77"/>
        <v>0</v>
      </c>
      <c r="M427" s="377">
        <f t="shared" si="72"/>
        <v>0</v>
      </c>
      <c r="N427" s="377">
        <f t="shared" si="73"/>
        <v>0</v>
      </c>
      <c r="O427" s="377">
        <f t="shared" si="78"/>
        <v>0</v>
      </c>
      <c r="P427" s="377">
        <f t="shared" si="79"/>
        <v>0</v>
      </c>
      <c r="Q427" s="755">
        <v>1</v>
      </c>
      <c r="R427" s="378">
        <f t="shared" si="74"/>
        <v>0</v>
      </c>
      <c r="S427" s="379"/>
      <c r="T427" s="379"/>
      <c r="U427" s="756">
        <f t="shared" si="75"/>
        <v>0</v>
      </c>
    </row>
    <row r="428" spans="1:21" ht="14.1" customHeight="1">
      <c r="A428" s="559">
        <v>428</v>
      </c>
      <c r="B428" s="375" t="s">
        <v>499</v>
      </c>
      <c r="C428" s="552" t="s">
        <v>521</v>
      </c>
      <c r="D428" s="757">
        <f>VLOOKUP(B428,Locatieoverzicht!$A$14:$E$21,5,FALSE)</f>
        <v>1</v>
      </c>
      <c r="E428" s="373">
        <v>0</v>
      </c>
      <c r="F428" s="549" t="s">
        <v>329</v>
      </c>
      <c r="G428" s="550" t="s">
        <v>500</v>
      </c>
      <c r="H428" s="374" t="str">
        <f t="shared" si="76"/>
        <v>Sanitaire ruimten</v>
      </c>
      <c r="I428" s="375"/>
      <c r="J428" s="561">
        <v>31.54</v>
      </c>
      <c r="K428" s="612">
        <v>2200</v>
      </c>
      <c r="L428" s="376">
        <f t="shared" si="77"/>
        <v>200</v>
      </c>
      <c r="M428" s="377">
        <f t="shared" si="72"/>
        <v>0</v>
      </c>
      <c r="N428" s="377">
        <f t="shared" si="73"/>
        <v>0</v>
      </c>
      <c r="O428" s="377">
        <f t="shared" si="78"/>
        <v>0</v>
      </c>
      <c r="P428" s="377">
        <f t="shared" si="79"/>
        <v>0</v>
      </c>
      <c r="Q428" s="755">
        <v>1</v>
      </c>
      <c r="R428" s="378" t="str">
        <f t="shared" si="74"/>
        <v>S</v>
      </c>
      <c r="S428" s="379"/>
      <c r="T428" s="379"/>
      <c r="U428" s="756">
        <f t="shared" si="75"/>
        <v>6308</v>
      </c>
    </row>
    <row r="429" spans="1:21" ht="14.1" customHeight="1">
      <c r="A429" s="559">
        <v>429</v>
      </c>
      <c r="B429" s="375" t="s">
        <v>499</v>
      </c>
      <c r="C429" s="552" t="s">
        <v>521</v>
      </c>
      <c r="D429" s="757">
        <f>VLOOKUP(B429,Locatieoverzicht!$A$14:$E$21,5,FALSE)</f>
        <v>1</v>
      </c>
      <c r="E429" s="373">
        <v>0</v>
      </c>
      <c r="F429" s="549" t="s">
        <v>330</v>
      </c>
      <c r="G429" s="550" t="s">
        <v>500</v>
      </c>
      <c r="H429" s="374" t="str">
        <f t="shared" si="76"/>
        <v>Sanitaire ruimten</v>
      </c>
      <c r="I429" s="375"/>
      <c r="J429" s="561">
        <v>31.54</v>
      </c>
      <c r="K429" s="612">
        <v>2200</v>
      </c>
      <c r="L429" s="376">
        <f t="shared" si="77"/>
        <v>200</v>
      </c>
      <c r="M429" s="377">
        <f t="shared" si="72"/>
        <v>0</v>
      </c>
      <c r="N429" s="377">
        <f t="shared" si="73"/>
        <v>0</v>
      </c>
      <c r="O429" s="377">
        <f t="shared" si="78"/>
        <v>0</v>
      </c>
      <c r="P429" s="377">
        <f t="shared" si="79"/>
        <v>0</v>
      </c>
      <c r="Q429" s="755">
        <v>1</v>
      </c>
      <c r="R429" s="378" t="str">
        <f t="shared" si="74"/>
        <v>S</v>
      </c>
      <c r="S429" s="379"/>
      <c r="T429" s="379"/>
      <c r="U429" s="756">
        <f t="shared" si="75"/>
        <v>6308</v>
      </c>
    </row>
    <row r="430" spans="1:21" ht="14.1" customHeight="1">
      <c r="A430" s="559">
        <v>430</v>
      </c>
      <c r="B430" s="375" t="s">
        <v>499</v>
      </c>
      <c r="C430" s="552" t="s">
        <v>521</v>
      </c>
      <c r="D430" s="757">
        <f>VLOOKUP(B430,Locatieoverzicht!$A$14:$E$21,5,FALSE)</f>
        <v>1</v>
      </c>
      <c r="E430" s="373">
        <v>0</v>
      </c>
      <c r="F430" s="549" t="s">
        <v>331</v>
      </c>
      <c r="G430" s="550" t="s">
        <v>501</v>
      </c>
      <c r="H430" s="374" t="str">
        <f t="shared" si="76"/>
        <v>Gym lokaal</v>
      </c>
      <c r="I430" s="375"/>
      <c r="J430" s="561">
        <v>252</v>
      </c>
      <c r="K430" s="612">
        <v>10200</v>
      </c>
      <c r="L430" s="376">
        <f t="shared" si="77"/>
        <v>200</v>
      </c>
      <c r="M430" s="377">
        <f t="shared" si="72"/>
        <v>0</v>
      </c>
      <c r="N430" s="377">
        <f t="shared" si="73"/>
        <v>0</v>
      </c>
      <c r="O430" s="377">
        <f t="shared" si="78"/>
        <v>0</v>
      </c>
      <c r="P430" s="377">
        <f t="shared" si="79"/>
        <v>0</v>
      </c>
      <c r="Q430" s="755">
        <v>1</v>
      </c>
      <c r="R430" s="378" t="str">
        <f t="shared" si="74"/>
        <v>V</v>
      </c>
      <c r="S430" s="379"/>
      <c r="T430" s="379"/>
      <c r="U430" s="756">
        <f t="shared" si="75"/>
        <v>50400</v>
      </c>
    </row>
    <row r="431" spans="1:21" ht="14.1" customHeight="1">
      <c r="A431" s="559">
        <v>431</v>
      </c>
      <c r="B431" s="375" t="s">
        <v>499</v>
      </c>
      <c r="C431" s="552" t="s">
        <v>521</v>
      </c>
      <c r="D431" s="757">
        <f>VLOOKUP(B431,Locatieoverzicht!$A$14:$E$21,5,FALSE)</f>
        <v>1</v>
      </c>
      <c r="E431" s="373">
        <v>0</v>
      </c>
      <c r="F431" s="549" t="s">
        <v>332</v>
      </c>
      <c r="G431" s="550" t="s">
        <v>326</v>
      </c>
      <c r="H431" s="374" t="str">
        <f t="shared" si="76"/>
        <v>Niet van toepassing</v>
      </c>
      <c r="I431" s="375"/>
      <c r="J431" s="561">
        <v>25.1</v>
      </c>
      <c r="K431" s="612" t="s">
        <v>239</v>
      </c>
      <c r="L431" s="376">
        <f t="shared" si="77"/>
        <v>0</v>
      </c>
      <c r="M431" s="377">
        <f t="shared" si="72"/>
        <v>0</v>
      </c>
      <c r="N431" s="377">
        <f t="shared" si="73"/>
        <v>0</v>
      </c>
      <c r="O431" s="377">
        <f t="shared" si="78"/>
        <v>0</v>
      </c>
      <c r="P431" s="377">
        <f t="shared" si="79"/>
        <v>0</v>
      </c>
      <c r="Q431" s="755">
        <v>1</v>
      </c>
      <c r="R431" s="378">
        <f t="shared" si="74"/>
        <v>0</v>
      </c>
      <c r="S431" s="379"/>
      <c r="T431" s="379"/>
      <c r="U431" s="756">
        <f t="shared" si="75"/>
        <v>0</v>
      </c>
    </row>
    <row r="432" spans="1:21" ht="14.1" customHeight="1">
      <c r="A432" s="559">
        <v>432</v>
      </c>
      <c r="B432" s="375" t="s">
        <v>499</v>
      </c>
      <c r="C432" s="552" t="s">
        <v>521</v>
      </c>
      <c r="D432" s="757">
        <f>VLOOKUP(B432,Locatieoverzicht!$A$14:$E$21,5,FALSE)</f>
        <v>1</v>
      </c>
      <c r="E432" s="373">
        <v>0</v>
      </c>
      <c r="F432" s="549" t="s">
        <v>333</v>
      </c>
      <c r="G432" s="550" t="s">
        <v>326</v>
      </c>
      <c r="H432" s="374" t="str">
        <f t="shared" si="76"/>
        <v>Niet van toepassing</v>
      </c>
      <c r="I432" s="375"/>
      <c r="J432" s="561">
        <v>7.1</v>
      </c>
      <c r="K432" s="612" t="s">
        <v>239</v>
      </c>
      <c r="L432" s="376">
        <f t="shared" si="77"/>
        <v>0</v>
      </c>
      <c r="M432" s="377">
        <f t="shared" si="72"/>
        <v>0</v>
      </c>
      <c r="N432" s="377">
        <f t="shared" si="73"/>
        <v>0</v>
      </c>
      <c r="O432" s="377">
        <f t="shared" si="78"/>
        <v>0</v>
      </c>
      <c r="P432" s="377">
        <f t="shared" si="79"/>
        <v>0</v>
      </c>
      <c r="Q432" s="755">
        <v>1</v>
      </c>
      <c r="R432" s="378">
        <f t="shared" si="74"/>
        <v>0</v>
      </c>
      <c r="S432" s="379"/>
      <c r="T432" s="379"/>
      <c r="U432" s="756">
        <f t="shared" si="75"/>
        <v>0</v>
      </c>
    </row>
    <row r="433" spans="1:22" ht="14.1" customHeight="1">
      <c r="A433" s="559">
        <v>433</v>
      </c>
      <c r="B433" s="375" t="s">
        <v>499</v>
      </c>
      <c r="C433" s="552" t="s">
        <v>521</v>
      </c>
      <c r="D433" s="757">
        <f>VLOOKUP(B433,Locatieoverzicht!$A$14:$E$21,5,FALSE)</f>
        <v>1</v>
      </c>
      <c r="E433" s="603">
        <v>0</v>
      </c>
      <c r="F433" s="549" t="s">
        <v>334</v>
      </c>
      <c r="G433" s="550" t="s">
        <v>405</v>
      </c>
      <c r="H433" s="374" t="str">
        <f t="shared" si="76"/>
        <v>Niet van toepassing</v>
      </c>
      <c r="I433" s="375"/>
      <c r="J433" s="561">
        <v>6.4</v>
      </c>
      <c r="K433" s="612" t="s">
        <v>239</v>
      </c>
      <c r="L433" s="376">
        <f t="shared" si="77"/>
        <v>0</v>
      </c>
      <c r="M433" s="377">
        <f t="shared" si="72"/>
        <v>0</v>
      </c>
      <c r="N433" s="377">
        <f t="shared" si="73"/>
        <v>0</v>
      </c>
      <c r="O433" s="377">
        <f t="shared" si="78"/>
        <v>0</v>
      </c>
      <c r="P433" s="377">
        <f t="shared" si="79"/>
        <v>0</v>
      </c>
      <c r="Q433" s="755">
        <v>1</v>
      </c>
      <c r="R433" s="378">
        <f t="shared" si="74"/>
        <v>0</v>
      </c>
      <c r="S433" s="379"/>
      <c r="T433" s="379"/>
      <c r="U433" s="756">
        <f t="shared" si="75"/>
        <v>0</v>
      </c>
    </row>
    <row r="434" spans="1:22" ht="14.1" customHeight="1">
      <c r="A434" s="559">
        <v>434</v>
      </c>
      <c r="B434" s="375" t="s">
        <v>499</v>
      </c>
      <c r="C434" s="552" t="s">
        <v>521</v>
      </c>
      <c r="D434" s="757">
        <f>VLOOKUP(B434,Locatieoverzicht!$A$14:$E$21,5,FALSE)</f>
        <v>1</v>
      </c>
      <c r="E434" s="373">
        <v>0</v>
      </c>
      <c r="F434" s="549" t="s">
        <v>335</v>
      </c>
      <c r="G434" s="550" t="s">
        <v>402</v>
      </c>
      <c r="H434" s="374" t="str">
        <f t="shared" si="76"/>
        <v>Administratieve ruimten</v>
      </c>
      <c r="I434" s="375"/>
      <c r="J434" s="561">
        <v>9.56</v>
      </c>
      <c r="K434" s="612">
        <v>1040</v>
      </c>
      <c r="L434" s="376">
        <f t="shared" si="77"/>
        <v>40</v>
      </c>
      <c r="M434" s="377">
        <f t="shared" si="72"/>
        <v>0</v>
      </c>
      <c r="N434" s="377">
        <f t="shared" si="73"/>
        <v>0</v>
      </c>
      <c r="O434" s="377">
        <f t="shared" si="78"/>
        <v>0</v>
      </c>
      <c r="P434" s="377">
        <f t="shared" si="79"/>
        <v>0</v>
      </c>
      <c r="Q434" s="755">
        <v>1</v>
      </c>
      <c r="R434" s="378" t="str">
        <f t="shared" si="74"/>
        <v>B</v>
      </c>
      <c r="S434" s="379"/>
      <c r="T434" s="379"/>
      <c r="U434" s="756">
        <f t="shared" si="75"/>
        <v>382.40000000000003</v>
      </c>
    </row>
    <row r="435" spans="1:22" ht="14.1" customHeight="1">
      <c r="A435" s="559">
        <v>435</v>
      </c>
      <c r="B435" s="375" t="s">
        <v>499</v>
      </c>
      <c r="C435" s="552" t="s">
        <v>521</v>
      </c>
      <c r="D435" s="757">
        <f>VLOOKUP(B435,Locatieoverzicht!$A$14:$E$21,5,FALSE)</f>
        <v>1</v>
      </c>
      <c r="E435" s="373">
        <v>0</v>
      </c>
      <c r="F435" s="549" t="s">
        <v>336</v>
      </c>
      <c r="G435" s="550" t="s">
        <v>326</v>
      </c>
      <c r="H435" s="374" t="str">
        <f t="shared" si="76"/>
        <v>Niet van toepassing</v>
      </c>
      <c r="I435" s="375"/>
      <c r="J435" s="561">
        <v>0.45</v>
      </c>
      <c r="K435" s="612" t="s">
        <v>239</v>
      </c>
      <c r="L435" s="376">
        <f t="shared" si="77"/>
        <v>0</v>
      </c>
      <c r="M435" s="377">
        <f t="shared" si="72"/>
        <v>0</v>
      </c>
      <c r="N435" s="377">
        <f t="shared" si="73"/>
        <v>0</v>
      </c>
      <c r="O435" s="377">
        <f t="shared" si="78"/>
        <v>0</v>
      </c>
      <c r="P435" s="377">
        <f t="shared" si="79"/>
        <v>0</v>
      </c>
      <c r="Q435" s="755">
        <v>1</v>
      </c>
      <c r="R435" s="378">
        <f t="shared" si="74"/>
        <v>0</v>
      </c>
      <c r="S435" s="379"/>
      <c r="T435" s="379"/>
      <c r="U435" s="756">
        <f t="shared" si="75"/>
        <v>0</v>
      </c>
    </row>
    <row r="437" spans="1:22" ht="14.1" customHeight="1">
      <c r="U437" s="658">
        <f>SUM(U10:U435)</f>
        <v>1459187.0416761981</v>
      </c>
      <c r="V437" s="380" t="s">
        <v>603</v>
      </c>
    </row>
    <row r="438" spans="1:22" ht="14.1" customHeight="1">
      <c r="U438" s="656">
        <f>SUM(M10:M435)</f>
        <v>0</v>
      </c>
      <c r="V438" s="380" t="s">
        <v>604</v>
      </c>
    </row>
    <row r="439" spans="1:22" ht="14.1" customHeight="1">
      <c r="U439" s="657" t="e">
        <f>U437/U438</f>
        <v>#DIV/0!</v>
      </c>
      <c r="V439" s="380" t="s">
        <v>605</v>
      </c>
    </row>
  </sheetData>
  <autoFilter ref="A9:T435">
    <sortState ref="A10:T2368">
      <sortCondition ref="A9:A2368"/>
    </sortState>
  </autoFilter>
  <phoneticPr fontId="9"/>
  <conditionalFormatting sqref="J10:J435">
    <cfRule type="cellIs" dxfId="3" priority="163" operator="greaterThanOrEqual">
      <formula>100</formula>
    </cfRule>
    <cfRule type="cellIs" dxfId="2" priority="164" operator="between">
      <formula>10</formula>
      <formula>100</formula>
    </cfRule>
    <cfRule type="cellIs" dxfId="1" priority="165" operator="lessThan">
      <formula>10</formula>
    </cfRule>
  </conditionalFormatting>
  <printOptions horizontalCentered="1" gridLinesSet="0"/>
  <pageMargins left="0.19685039370078741" right="0.19685039370078741" top="0.59055118110236227" bottom="0.78740157480314965" header="0.39370078740157483" footer="0.19685039370078741"/>
  <pageSetup paperSize="9" orientation="portrait" r:id="rId1"/>
  <headerFooter alignWithMargins="0">
    <oddFooter>&amp;L&amp;"Verdana,Regular"&amp;F-&amp;A
Atir b.v. ©&amp;C&amp;R&amp;"Verdana,Regular"printversie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9"/>
  <sheetViews>
    <sheetView showGridLines="0" showZeros="0" showOutlineSymbols="0" zoomScaleSheetLayoutView="100" workbookViewId="0">
      <pane ySplit="7" topLeftCell="A8" activePane="bottomLeft" state="frozen"/>
      <selection sqref="A1:XFD1048576"/>
      <selection pane="bottomLeft" activeCell="D48" sqref="D48:D51"/>
    </sheetView>
  </sheetViews>
  <sheetFormatPr defaultColWidth="9.28515625" defaultRowHeight="12.75"/>
  <cols>
    <col min="1" max="1" width="45.5703125" style="37" customWidth="1"/>
    <col min="2" max="2" width="16.140625" style="37" customWidth="1"/>
    <col min="3" max="3" width="18.42578125" style="37" customWidth="1"/>
    <col min="4" max="4" width="10.7109375" style="37" customWidth="1"/>
    <col min="5" max="5" width="11.140625" style="37" customWidth="1"/>
    <col min="6" max="6" width="12.85546875" style="37" bestFit="1" customWidth="1"/>
    <col min="7" max="7" width="2.140625" style="37" customWidth="1"/>
    <col min="8" max="8" width="7.85546875" style="37" customWidth="1"/>
    <col min="9" max="9" width="27" style="37" bestFit="1" customWidth="1"/>
    <col min="10" max="16384" width="9.28515625" style="37"/>
  </cols>
  <sheetData>
    <row r="1" spans="1:10">
      <c r="A1" s="35"/>
      <c r="B1" s="35"/>
      <c r="C1" s="35"/>
      <c r="D1" s="35"/>
      <c r="E1" s="35"/>
      <c r="F1" s="36"/>
      <c r="G1" s="36"/>
      <c r="H1" s="36"/>
    </row>
    <row r="2" spans="1:10" ht="15">
      <c r="A2" s="84" t="s">
        <v>114</v>
      </c>
      <c r="B2" s="85" t="str">
        <f>'1-Contractblad'!B3</f>
        <v>LMC</v>
      </c>
      <c r="C2" s="35"/>
      <c r="D2" s="35"/>
      <c r="E2" s="35"/>
      <c r="F2" s="36"/>
      <c r="G2" s="36"/>
      <c r="H2" s="36"/>
    </row>
    <row r="3" spans="1:10" ht="15">
      <c r="A3" s="84" t="s">
        <v>55</v>
      </c>
      <c r="B3" s="85" t="s">
        <v>97</v>
      </c>
      <c r="C3" s="301"/>
      <c r="D3" s="179"/>
      <c r="E3" s="302"/>
      <c r="F3" s="38"/>
      <c r="G3" s="38"/>
      <c r="H3" s="38"/>
    </row>
    <row r="4" spans="1:10" ht="15">
      <c r="A4" s="84" t="s">
        <v>272</v>
      </c>
      <c r="B4" s="85" t="str">
        <f>'1-Contractblad'!B5</f>
        <v>Rotterdam</v>
      </c>
      <c r="C4" s="84"/>
      <c r="D4" s="303"/>
      <c r="E4" s="304"/>
      <c r="F4" s="40"/>
      <c r="G4" s="41"/>
      <c r="H4" s="38"/>
    </row>
    <row r="5" spans="1:10" ht="15">
      <c r="A5" s="84" t="s">
        <v>145</v>
      </c>
      <c r="B5" s="85" t="str">
        <f>'1-Contractblad'!B6</f>
        <v>LMC-EA-JV-2014</v>
      </c>
      <c r="C5" s="305"/>
      <c r="D5" s="303"/>
      <c r="E5" s="304"/>
      <c r="F5" s="40"/>
      <c r="G5" s="41"/>
      <c r="H5" s="38"/>
    </row>
    <row r="6" spans="1:10" ht="15">
      <c r="A6" s="84" t="s">
        <v>208</v>
      </c>
      <c r="B6" s="85">
        <f>'1-Contractblad'!B7</f>
        <v>0</v>
      </c>
      <c r="C6" s="306"/>
      <c r="D6" s="59"/>
      <c r="E6" s="307"/>
      <c r="F6" s="40"/>
      <c r="G6" s="41"/>
      <c r="H6" s="38"/>
      <c r="I6" s="10"/>
      <c r="J6" s="10"/>
    </row>
    <row r="7" spans="1:10" ht="15">
      <c r="A7" s="84" t="s">
        <v>45</v>
      </c>
      <c r="B7" s="308">
        <f>'1-Contractblad'!B8</f>
        <v>2014</v>
      </c>
      <c r="C7" s="304"/>
      <c r="D7" s="304"/>
      <c r="E7" s="304"/>
      <c r="F7" s="40"/>
      <c r="G7" s="41"/>
      <c r="H7" s="38"/>
    </row>
    <row r="8" spans="1:10" ht="15">
      <c r="A8" s="309"/>
      <c r="B8" s="304"/>
      <c r="C8" s="304"/>
      <c r="D8" s="304"/>
      <c r="E8" s="304"/>
      <c r="F8" s="40"/>
      <c r="G8" s="41"/>
      <c r="H8" s="38"/>
    </row>
    <row r="9" spans="1:10" ht="18">
      <c r="A9" s="310" t="s">
        <v>10</v>
      </c>
      <c r="B9" s="26"/>
      <c r="C9" s="26"/>
      <c r="D9" s="26"/>
      <c r="E9" s="311"/>
      <c r="F9" s="40"/>
      <c r="G9" s="41"/>
      <c r="H9" s="38"/>
    </row>
    <row r="10" spans="1:10">
      <c r="A10" s="312"/>
      <c r="B10" s="27"/>
      <c r="C10" s="27"/>
      <c r="D10" s="27"/>
      <c r="E10" s="27"/>
      <c r="F10" s="38"/>
      <c r="G10" s="38"/>
      <c r="H10" s="38"/>
    </row>
    <row r="11" spans="1:10">
      <c r="A11" s="313"/>
      <c r="B11" s="314"/>
      <c r="C11" s="315" t="s">
        <v>144</v>
      </c>
      <c r="D11" s="27"/>
      <c r="E11" s="27"/>
      <c r="F11" s="24"/>
      <c r="G11" s="41"/>
      <c r="H11" s="38"/>
    </row>
    <row r="12" spans="1:10">
      <c r="A12" s="316" t="s">
        <v>33</v>
      </c>
      <c r="B12" s="317"/>
      <c r="C12" s="20"/>
      <c r="D12" s="27"/>
      <c r="E12" s="40"/>
      <c r="F12" s="24"/>
      <c r="G12" s="38"/>
    </row>
    <row r="13" spans="1:10">
      <c r="A13" s="316" t="s">
        <v>34</v>
      </c>
      <c r="B13" s="317"/>
      <c r="C13" s="21"/>
      <c r="D13" s="27"/>
      <c r="E13" s="40"/>
      <c r="F13" s="24"/>
      <c r="G13" s="38"/>
    </row>
    <row r="14" spans="1:10">
      <c r="A14" s="316" t="s">
        <v>35</v>
      </c>
      <c r="B14" s="317"/>
      <c r="C14" s="20"/>
      <c r="D14" s="27"/>
      <c r="E14" s="40"/>
      <c r="F14" s="24"/>
      <c r="G14" s="38"/>
      <c r="H14" s="83"/>
    </row>
    <row r="15" spans="1:10">
      <c r="A15" s="316" t="s">
        <v>171</v>
      </c>
      <c r="B15" s="317"/>
      <c r="C15" s="20"/>
      <c r="D15" s="27"/>
      <c r="E15" s="40"/>
      <c r="F15" s="24"/>
      <c r="G15" s="38"/>
      <c r="H15" s="83"/>
    </row>
    <row r="16" spans="1:10">
      <c r="A16" s="318" t="s">
        <v>36</v>
      </c>
      <c r="B16" s="319"/>
      <c r="C16" s="22">
        <f>SUM(C12:C15)</f>
        <v>0</v>
      </c>
      <c r="D16" s="27"/>
      <c r="E16" s="40"/>
      <c r="F16" s="24"/>
      <c r="G16" s="38"/>
      <c r="H16" s="83"/>
    </row>
    <row r="17" spans="1:10">
      <c r="A17" s="318"/>
      <c r="B17" s="319"/>
      <c r="C17" s="22"/>
      <c r="D17" s="27"/>
      <c r="E17" s="40"/>
      <c r="F17" s="24"/>
      <c r="G17" s="38"/>
      <c r="H17" s="83"/>
    </row>
    <row r="18" spans="1:10">
      <c r="A18" s="784" t="s">
        <v>231</v>
      </c>
      <c r="B18" s="785"/>
      <c r="C18" s="20"/>
      <c r="D18" s="27"/>
      <c r="E18" s="40"/>
      <c r="F18" s="24"/>
      <c r="G18" s="38"/>
    </row>
    <row r="19" spans="1:10">
      <c r="A19" s="784" t="s">
        <v>130</v>
      </c>
      <c r="B19" s="785"/>
      <c r="C19" s="20"/>
      <c r="D19" s="27"/>
      <c r="E19" s="40"/>
      <c r="F19" s="24"/>
      <c r="G19" s="38"/>
    </row>
    <row r="20" spans="1:10">
      <c r="A20" s="784" t="s">
        <v>131</v>
      </c>
      <c r="B20" s="785"/>
      <c r="C20" s="20"/>
      <c r="D20" s="27"/>
      <c r="E20" s="40"/>
      <c r="F20" s="24"/>
      <c r="G20" s="38"/>
    </row>
    <row r="21" spans="1:10">
      <c r="A21" s="784" t="s">
        <v>132</v>
      </c>
      <c r="B21" s="785"/>
      <c r="C21" s="20"/>
      <c r="D21" s="27"/>
      <c r="E21" s="40"/>
      <c r="F21" s="24"/>
      <c r="G21" s="38"/>
    </row>
    <row r="22" spans="1:10">
      <c r="A22" s="784" t="s">
        <v>133</v>
      </c>
      <c r="B22" s="785"/>
      <c r="C22" s="20"/>
      <c r="D22" s="27"/>
      <c r="E22" s="40"/>
      <c r="F22" s="24"/>
      <c r="G22" s="38"/>
    </row>
    <row r="23" spans="1:10">
      <c r="A23" s="784" t="s">
        <v>232</v>
      </c>
      <c r="B23" s="785"/>
      <c r="C23" s="20"/>
      <c r="D23" s="27"/>
      <c r="E23" s="40"/>
      <c r="F23" s="24"/>
      <c r="G23" s="38"/>
    </row>
    <row r="24" spans="1:10">
      <c r="A24" s="784" t="s">
        <v>229</v>
      </c>
      <c r="B24" s="785"/>
      <c r="C24" s="20"/>
      <c r="D24" s="27"/>
      <c r="E24" s="40"/>
      <c r="F24" s="24"/>
      <c r="G24" s="38"/>
    </row>
    <row r="25" spans="1:10">
      <c r="A25" s="786" t="s">
        <v>230</v>
      </c>
      <c r="B25" s="787"/>
      <c r="C25" s="23">
        <f>SUM(C16:C24)</f>
        <v>0</v>
      </c>
      <c r="D25" s="304"/>
      <c r="E25" s="38"/>
      <c r="F25" s="24"/>
      <c r="G25" s="38"/>
    </row>
    <row r="26" spans="1:10">
      <c r="A26" s="69"/>
      <c r="B26" s="137"/>
      <c r="C26" s="24"/>
      <c r="D26" s="304"/>
      <c r="E26" s="38"/>
      <c r="F26" s="24"/>
      <c r="G26" s="38"/>
    </row>
    <row r="27" spans="1:10">
      <c r="A27" s="69"/>
      <c r="B27" s="137"/>
      <c r="C27" s="24"/>
      <c r="D27" s="304"/>
      <c r="E27" s="38"/>
      <c r="F27" s="24"/>
      <c r="G27" s="38"/>
    </row>
    <row r="28" spans="1:10">
      <c r="A28" s="320"/>
      <c r="B28" s="179"/>
      <c r="C28" s="25"/>
      <c r="D28" s="56"/>
      <c r="E28" s="56"/>
      <c r="F28" s="25"/>
      <c r="G28" s="56"/>
      <c r="H28" s="38"/>
    </row>
    <row r="29" spans="1:10" ht="18">
      <c r="A29" s="310" t="s">
        <v>216</v>
      </c>
      <c r="B29" s="26"/>
      <c r="C29" s="26"/>
      <c r="D29" s="26"/>
      <c r="E29" s="311"/>
      <c r="F29" s="27"/>
      <c r="G29" s="41"/>
      <c r="H29" s="38"/>
    </row>
    <row r="30" spans="1:10">
      <c r="A30" s="312"/>
      <c r="B30" s="27"/>
      <c r="C30" s="27"/>
      <c r="D30" s="304"/>
      <c r="E30" s="304"/>
      <c r="F30" s="27"/>
      <c r="G30" s="38"/>
      <c r="H30" s="38"/>
      <c r="I30" s="83"/>
    </row>
    <row r="31" spans="1:10">
      <c r="A31" s="27"/>
      <c r="B31" s="27"/>
      <c r="C31" s="28" t="s">
        <v>66</v>
      </c>
      <c r="I31" s="83"/>
    </row>
    <row r="32" spans="1:10">
      <c r="A32" s="316" t="s">
        <v>84</v>
      </c>
      <c r="B32" s="314"/>
      <c r="C32" s="29">
        <f>('5-Opbouw uurtarieven'!K21+'5-Opbouw uurtarieven'!N21)/2</f>
        <v>0</v>
      </c>
      <c r="D32" s="83"/>
      <c r="I32" s="83"/>
      <c r="J32" s="83"/>
    </row>
    <row r="33" spans="1:10">
      <c r="A33" s="316" t="s">
        <v>181</v>
      </c>
      <c r="B33" s="314"/>
      <c r="C33" s="30"/>
      <c r="I33" s="83"/>
      <c r="J33" s="83"/>
    </row>
    <row r="34" spans="1:10">
      <c r="A34" s="316" t="s">
        <v>168</v>
      </c>
      <c r="B34" s="314"/>
      <c r="C34" s="31">
        <f>C32+C33</f>
        <v>0</v>
      </c>
      <c r="I34" s="83"/>
      <c r="J34" s="83"/>
    </row>
    <row r="35" spans="1:10">
      <c r="A35" s="321" t="s">
        <v>1</v>
      </c>
      <c r="B35" s="322"/>
      <c r="C35" s="32"/>
      <c r="I35" s="83"/>
    </row>
    <row r="36" spans="1:10">
      <c r="A36" s="312"/>
      <c r="B36" s="323"/>
      <c r="C36" s="27"/>
      <c r="I36" s="83"/>
    </row>
    <row r="37" spans="1:10">
      <c r="A37" s="324" t="s">
        <v>169</v>
      </c>
      <c r="B37" s="323"/>
      <c r="C37" s="33" t="e">
        <f>(C34/C32)*C35</f>
        <v>#DIV/0!</v>
      </c>
      <c r="I37" s="83"/>
    </row>
    <row r="38" spans="1:10">
      <c r="A38" s="69"/>
      <c r="B38" s="137"/>
      <c r="C38" s="325"/>
      <c r="D38" s="326"/>
      <c r="I38" s="83"/>
    </row>
    <row r="39" spans="1:10">
      <c r="A39" s="312"/>
      <c r="B39" s="27"/>
      <c r="C39" s="327"/>
      <c r="D39" s="304"/>
      <c r="E39" s="27"/>
      <c r="F39" s="38"/>
      <c r="G39" s="41"/>
      <c r="H39" s="38"/>
    </row>
    <row r="40" spans="1:10">
      <c r="A40" s="312"/>
      <c r="B40" s="27"/>
      <c r="C40" s="27"/>
      <c r="D40" s="304"/>
      <c r="E40" s="27"/>
      <c r="F40" s="38"/>
      <c r="G40" s="38"/>
      <c r="H40" s="38"/>
    </row>
    <row r="41" spans="1:10" ht="18">
      <c r="A41" s="328" t="s">
        <v>187</v>
      </c>
      <c r="B41" s="329"/>
      <c r="C41" s="330"/>
      <c r="D41" s="331"/>
      <c r="E41" s="332"/>
      <c r="F41" s="56"/>
      <c r="G41" s="56"/>
      <c r="H41" s="38"/>
    </row>
    <row r="42" spans="1:10">
      <c r="A42" s="320"/>
      <c r="B42" s="179"/>
      <c r="C42" s="25"/>
      <c r="D42" s="56"/>
      <c r="E42" s="56"/>
      <c r="F42" s="56"/>
      <c r="G42" s="56"/>
      <c r="H42" s="38"/>
    </row>
    <row r="43" spans="1:10">
      <c r="A43" s="320"/>
      <c r="B43" s="333" t="s">
        <v>249</v>
      </c>
      <c r="C43" s="25"/>
      <c r="D43" s="333" t="s">
        <v>250</v>
      </c>
      <c r="E43" s="334"/>
      <c r="F43" s="56"/>
      <c r="G43" s="49"/>
      <c r="H43" s="38"/>
    </row>
    <row r="44" spans="1:10">
      <c r="A44" s="335" t="s">
        <v>24</v>
      </c>
      <c r="B44" s="336"/>
      <c r="C44" s="337"/>
      <c r="D44" s="336"/>
      <c r="E44" s="338"/>
      <c r="F44" s="27"/>
      <c r="G44" s="49"/>
      <c r="H44" s="61"/>
    </row>
    <row r="45" spans="1:10">
      <c r="A45" s="335" t="s">
        <v>21</v>
      </c>
      <c r="B45" s="339"/>
      <c r="C45" s="338"/>
      <c r="D45" s="339"/>
      <c r="E45" s="337"/>
      <c r="F45" s="61"/>
      <c r="G45" s="49"/>
      <c r="H45" s="61"/>
    </row>
    <row r="46" spans="1:10">
      <c r="A46" s="340" t="s">
        <v>25</v>
      </c>
      <c r="B46" s="338"/>
      <c r="C46" s="341">
        <f>B44-B45</f>
        <v>0</v>
      </c>
      <c r="D46" s="338"/>
      <c r="E46" s="341">
        <f>D44-D45</f>
        <v>0</v>
      </c>
      <c r="F46" s="60"/>
      <c r="G46" s="49"/>
      <c r="H46" s="50"/>
    </row>
    <row r="47" spans="1:10">
      <c r="A47" s="340"/>
      <c r="B47" s="342"/>
      <c r="C47" s="340"/>
      <c r="D47" s="342"/>
      <c r="E47" s="340"/>
      <c r="F47" s="60"/>
      <c r="G47" s="49"/>
      <c r="H47" s="50"/>
    </row>
    <row r="48" spans="1:10">
      <c r="A48" s="335" t="s">
        <v>117</v>
      </c>
      <c r="B48" s="339"/>
      <c r="C48" s="342"/>
      <c r="D48" s="339"/>
      <c r="E48" s="342"/>
      <c r="F48" s="56"/>
      <c r="G48" s="49"/>
      <c r="H48" s="50"/>
    </row>
    <row r="49" spans="1:9">
      <c r="A49" s="335" t="s">
        <v>83</v>
      </c>
      <c r="B49" s="339"/>
      <c r="C49" s="342"/>
      <c r="D49" s="339"/>
      <c r="E49" s="342"/>
      <c r="F49" s="56"/>
      <c r="G49" s="49"/>
      <c r="H49" s="50"/>
    </row>
    <row r="50" spans="1:9">
      <c r="A50" s="335" t="s">
        <v>156</v>
      </c>
      <c r="B50" s="339"/>
      <c r="C50" s="342"/>
      <c r="D50" s="339"/>
      <c r="E50" s="342"/>
      <c r="F50" s="56"/>
      <c r="G50" s="49"/>
      <c r="H50" s="50"/>
    </row>
    <row r="51" spans="1:9">
      <c r="A51" s="335" t="s">
        <v>177</v>
      </c>
      <c r="B51" s="339"/>
      <c r="C51" s="342"/>
      <c r="D51" s="339"/>
      <c r="E51" s="342"/>
      <c r="F51" s="56"/>
      <c r="G51" s="49"/>
      <c r="H51" s="50"/>
    </row>
    <row r="52" spans="1:9">
      <c r="A52" s="340" t="s">
        <v>111</v>
      </c>
      <c r="B52" s="342"/>
      <c r="C52" s="341">
        <f>C46-SUM(B48:B51)</f>
        <v>0</v>
      </c>
      <c r="D52" s="342"/>
      <c r="E52" s="341">
        <f>E46-SUM(D48:D51)</f>
        <v>0</v>
      </c>
      <c r="F52" s="56"/>
      <c r="G52" s="49"/>
      <c r="H52" s="50"/>
    </row>
    <row r="53" spans="1:9">
      <c r="A53" s="343"/>
      <c r="B53" s="342"/>
      <c r="C53" s="343"/>
      <c r="D53" s="342"/>
      <c r="E53" s="343"/>
      <c r="F53" s="56"/>
      <c r="G53" s="49"/>
      <c r="H53" s="50"/>
    </row>
    <row r="54" spans="1:9">
      <c r="A54" s="344" t="s">
        <v>218</v>
      </c>
      <c r="B54" s="345">
        <f>IF(B48=0,0,B48/$C$52)</f>
        <v>0</v>
      </c>
      <c r="C54" s="342"/>
      <c r="D54" s="345">
        <f>IF(D48=0,0,D48/$E$52)</f>
        <v>0</v>
      </c>
      <c r="E54" s="342"/>
      <c r="F54" s="56"/>
      <c r="G54" s="49"/>
      <c r="H54" s="50"/>
    </row>
    <row r="55" spans="1:9">
      <c r="A55" s="344" t="s">
        <v>83</v>
      </c>
      <c r="B55" s="345">
        <f>IF(B49=0,0,B49/$C$52)</f>
        <v>0</v>
      </c>
      <c r="C55" s="342"/>
      <c r="D55" s="345">
        <f>IF(D49=0,0,D49/$E$52)</f>
        <v>0</v>
      </c>
      <c r="E55" s="342"/>
      <c r="F55" s="56"/>
      <c r="G55" s="49"/>
      <c r="H55" s="50"/>
    </row>
    <row r="56" spans="1:9">
      <c r="A56" s="344" t="s">
        <v>194</v>
      </c>
      <c r="B56" s="345">
        <f>IF(B50=0,0,B50/$C$52)</f>
        <v>0</v>
      </c>
      <c r="C56" s="342"/>
      <c r="D56" s="345">
        <f>IF(D50=0,0,D50/$E$52)</f>
        <v>0</v>
      </c>
      <c r="E56" s="342"/>
      <c r="F56" s="56"/>
      <c r="G56" s="49"/>
      <c r="H56" s="50"/>
    </row>
    <row r="57" spans="1:9">
      <c r="A57" s="344" t="s">
        <v>177</v>
      </c>
      <c r="B57" s="345">
        <f>IF(B51=0,0,B51/$C$52)</f>
        <v>0</v>
      </c>
      <c r="C57" s="342"/>
      <c r="D57" s="345">
        <f>IF(D51=0,0,D51/$E$52)</f>
        <v>0</v>
      </c>
      <c r="E57" s="342"/>
      <c r="F57" s="56"/>
      <c r="G57" s="66"/>
      <c r="H57" s="68"/>
    </row>
    <row r="58" spans="1:9">
      <c r="A58" s="340" t="s">
        <v>233</v>
      </c>
      <c r="B58" s="342"/>
      <c r="C58" s="346">
        <f>SUM(B54:B57)</f>
        <v>0</v>
      </c>
      <c r="D58" s="342"/>
      <c r="E58" s="346">
        <f>SUM(D54:D57)</f>
        <v>0</v>
      </c>
      <c r="F58" s="56"/>
      <c r="G58" s="66"/>
      <c r="H58" s="72"/>
    </row>
    <row r="59" spans="1:9">
      <c r="A59" s="76"/>
      <c r="B59" s="76"/>
      <c r="C59" s="76"/>
      <c r="D59" s="76"/>
      <c r="E59" s="76"/>
      <c r="F59" s="56"/>
      <c r="G59" s="36"/>
      <c r="H59" s="36"/>
    </row>
    <row r="60" spans="1:9">
      <c r="A60" s="347" t="s">
        <v>109</v>
      </c>
      <c r="B60" s="348"/>
      <c r="C60" s="82"/>
      <c r="D60" s="82"/>
      <c r="E60" s="82"/>
      <c r="F60" s="36"/>
      <c r="G60" s="36"/>
      <c r="H60" s="36"/>
      <c r="I60" s="83"/>
    </row>
    <row r="61" spans="1:9">
      <c r="A61" s="80"/>
      <c r="B61" s="81"/>
      <c r="C61" s="81"/>
      <c r="D61" s="82"/>
      <c r="E61" s="82"/>
      <c r="F61" s="36"/>
      <c r="G61" s="36"/>
      <c r="H61" s="36"/>
    </row>
    <row r="62" spans="1:9" s="83" customFormat="1"/>
    <row r="63" spans="1:9" s="83" customFormat="1"/>
    <row r="64" spans="1:9" s="83" customFormat="1" ht="14.25">
      <c r="A64" s="349"/>
      <c r="B64" s="350"/>
    </row>
    <row r="65" spans="1:3" s="83" customFormat="1" ht="14.25">
      <c r="A65" s="349"/>
      <c r="B65" s="350"/>
    </row>
    <row r="66" spans="1:3" s="83" customFormat="1" ht="14.25">
      <c r="A66" s="349"/>
      <c r="B66" s="350"/>
    </row>
    <row r="67" spans="1:3" s="83" customFormat="1" ht="14.25">
      <c r="A67" s="349"/>
      <c r="B67" s="350"/>
    </row>
    <row r="68" spans="1:3" s="83" customFormat="1" ht="14.25">
      <c r="A68" s="351"/>
      <c r="B68" s="350"/>
    </row>
    <row r="69" spans="1:3" s="83" customFormat="1" ht="14.25">
      <c r="A69" s="350"/>
      <c r="B69" s="350"/>
    </row>
    <row r="70" spans="1:3" s="83" customFormat="1" ht="14.25">
      <c r="A70" s="350"/>
      <c r="B70" s="350"/>
    </row>
    <row r="71" spans="1:3" s="83" customFormat="1" ht="14.25">
      <c r="A71" s="350"/>
      <c r="B71" s="350"/>
    </row>
    <row r="72" spans="1:3" s="83" customFormat="1" ht="14.25">
      <c r="A72" s="350"/>
      <c r="B72" s="350"/>
    </row>
    <row r="73" spans="1:3" s="83" customFormat="1" ht="14.25">
      <c r="A73" s="350"/>
      <c r="B73" s="350"/>
    </row>
    <row r="74" spans="1:3" s="83" customFormat="1" ht="14.25">
      <c r="A74" s="350"/>
      <c r="B74" s="350"/>
    </row>
    <row r="75" spans="1:3" s="83" customFormat="1" ht="14.25">
      <c r="A75" s="350"/>
      <c r="B75" s="350"/>
    </row>
    <row r="76" spans="1:3" s="83" customFormat="1" ht="14.25">
      <c r="A76" s="350"/>
      <c r="B76" s="352"/>
    </row>
    <row r="77" spans="1:3" s="83" customFormat="1" ht="14.25">
      <c r="A77" s="350"/>
      <c r="B77" s="350"/>
    </row>
    <row r="78" spans="1:3" s="83" customFormat="1" ht="14.25">
      <c r="B78" s="350"/>
    </row>
    <row r="79" spans="1:3" s="83" customFormat="1" ht="14.25">
      <c r="A79" s="350"/>
      <c r="B79" s="350"/>
      <c r="C79" s="350"/>
    </row>
    <row r="80" spans="1:3" s="83" customFormat="1" ht="14.25">
      <c r="A80" s="353"/>
      <c r="B80" s="350"/>
      <c r="C80" s="353"/>
    </row>
    <row r="81" spans="1:3" s="83" customFormat="1" ht="14.25">
      <c r="A81" s="350"/>
      <c r="B81" s="350"/>
      <c r="C81" s="350"/>
    </row>
    <row r="82" spans="1:3" s="83" customFormat="1" ht="14.25">
      <c r="A82" s="350"/>
      <c r="B82" s="350"/>
      <c r="C82" s="350"/>
    </row>
    <row r="83" spans="1:3" s="83" customFormat="1" ht="14.25">
      <c r="A83" s="350"/>
      <c r="B83" s="350"/>
      <c r="C83" s="350"/>
    </row>
    <row r="84" spans="1:3" s="83" customFormat="1" ht="14.25">
      <c r="A84" s="353"/>
      <c r="B84" s="350"/>
      <c r="C84" s="353"/>
    </row>
    <row r="85" spans="1:3" s="83" customFormat="1" ht="14.25">
      <c r="A85" s="353"/>
      <c r="B85" s="350"/>
      <c r="C85" s="353"/>
    </row>
    <row r="86" spans="1:3" s="83" customFormat="1" ht="14.25">
      <c r="A86" s="353"/>
      <c r="B86" s="350"/>
      <c r="C86" s="353"/>
    </row>
    <row r="87" spans="1:3" s="83" customFormat="1" ht="14.25">
      <c r="A87" s="350"/>
      <c r="B87" s="350"/>
    </row>
    <row r="88" spans="1:3" s="83" customFormat="1" ht="14.25">
      <c r="A88" s="350"/>
      <c r="B88" s="350"/>
    </row>
    <row r="89" spans="1:3" s="83" customFormat="1" ht="14.25">
      <c r="A89" s="350"/>
      <c r="B89" s="350"/>
    </row>
  </sheetData>
  <dataConsolidate/>
  <mergeCells count="8">
    <mergeCell ref="A18:B18"/>
    <mergeCell ref="A19:B19"/>
    <mergeCell ref="A25:B25"/>
    <mergeCell ref="A21:B21"/>
    <mergeCell ref="A20:B20"/>
    <mergeCell ref="A24:B24"/>
    <mergeCell ref="A23:B23"/>
    <mergeCell ref="A22:B22"/>
  </mergeCells>
  <phoneticPr fontId="9"/>
  <pageMargins left="0.59055118110236227" right="0.59055118110236227" top="0.59055118110236227" bottom="0.78740157480314965" header="0.39370078740157483" footer="0.19685039370078741"/>
  <headerFooter alignWithMargins="0">
    <oddFooter>&amp;L&amp;"Verdana,Regular"&amp;F-&amp;A
Atir b.v. ©&amp;C&amp;R&amp;"Verdana,Regular"printversie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6"/>
  <sheetViews>
    <sheetView showGridLines="0" showZeros="0" showOutlineSymbols="0" topLeftCell="A16" zoomScale="80" zoomScaleNormal="80" workbookViewId="0">
      <selection activeCell="AI14" sqref="AI14"/>
    </sheetView>
  </sheetViews>
  <sheetFormatPr defaultColWidth="11.42578125" defaultRowHeight="12.75"/>
  <cols>
    <col min="1" max="1" width="35.85546875" style="37" customWidth="1"/>
    <col min="2" max="2" width="16.140625" style="37" customWidth="1"/>
    <col min="3" max="3" width="19.28515625" style="37" bestFit="1" customWidth="1"/>
    <col min="4" max="4" width="2" style="37" customWidth="1"/>
    <col min="5" max="5" width="14.42578125" style="37" customWidth="1"/>
    <col min="6" max="6" width="10.7109375" style="37" customWidth="1"/>
    <col min="7" max="7" width="2" style="37" customWidth="1"/>
    <col min="8" max="8" width="15.28515625" style="37" bestFit="1" customWidth="1"/>
    <col min="9" max="9" width="10" style="37" bestFit="1" customWidth="1"/>
    <col min="10" max="10" width="2.140625" style="37" customWidth="1"/>
    <col min="11" max="11" width="15.28515625" style="37" bestFit="1" customWidth="1"/>
    <col min="12" max="12" width="10.42578125" style="83" bestFit="1" customWidth="1"/>
    <col min="13" max="13" width="4.85546875" style="37" bestFit="1" customWidth="1"/>
    <col min="14" max="14" width="15.28515625" style="37" bestFit="1" customWidth="1"/>
    <col min="15" max="15" width="10" style="37" customWidth="1"/>
    <col min="16" max="16" width="4.5703125" style="37" bestFit="1" customWidth="1"/>
    <col min="17" max="17" width="15.5703125" style="37" bestFit="1" customWidth="1"/>
    <col min="18" max="18" width="10.28515625" style="37" bestFit="1" customWidth="1"/>
    <col min="19" max="19" width="4.5703125" style="37" bestFit="1" customWidth="1"/>
    <col min="20" max="20" width="15.28515625" style="37" bestFit="1" customWidth="1"/>
    <col min="21" max="21" width="9.85546875" style="37" bestFit="1" customWidth="1"/>
    <col min="22" max="22" width="5.5703125" style="37" bestFit="1" customWidth="1"/>
    <col min="23" max="23" width="15.85546875" style="37" bestFit="1" customWidth="1"/>
    <col min="24" max="24" width="11.7109375" style="37" bestFit="1" customWidth="1"/>
    <col min="25" max="25" width="5.42578125" style="37" bestFit="1" customWidth="1"/>
    <col min="26" max="26" width="15.7109375" style="37" bestFit="1" customWidth="1"/>
    <col min="27" max="27" width="11.28515625" style="37" bestFit="1" customWidth="1"/>
    <col min="28" max="28" width="5.7109375" style="37" bestFit="1" customWidth="1"/>
    <col min="29" max="29" width="15.5703125" style="37" bestFit="1" customWidth="1"/>
    <col min="30" max="30" width="11.140625" style="37" bestFit="1" customWidth="1"/>
    <col min="31" max="31" width="5.5703125" style="37" bestFit="1" customWidth="1"/>
    <col min="32" max="32" width="15.7109375" style="37" bestFit="1" customWidth="1"/>
    <col min="33" max="33" width="11.28515625" style="37" bestFit="1" customWidth="1"/>
    <col min="34" max="34" width="5.5703125" style="37" bestFit="1" customWidth="1"/>
    <col min="35" max="35" width="15.85546875" style="37" bestFit="1" customWidth="1"/>
    <col min="36" max="36" width="12" style="37" customWidth="1"/>
    <col min="37" max="37" width="8" style="37" customWidth="1"/>
    <col min="38" max="38" width="15.28515625" style="37" bestFit="1" customWidth="1"/>
    <col min="39" max="39" width="9.85546875" style="37" bestFit="1" customWidth="1"/>
    <col min="40" max="42" width="1.140625" style="37" bestFit="1" customWidth="1"/>
    <col min="43" max="16384" width="11.42578125" style="37"/>
  </cols>
  <sheetData>
    <row r="1" spans="1:39">
      <c r="A1" s="230"/>
      <c r="B1" s="231"/>
      <c r="C1" s="232"/>
      <c r="D1" s="231"/>
      <c r="E1" s="233"/>
      <c r="F1" s="234"/>
      <c r="H1" s="233"/>
      <c r="I1" s="234"/>
      <c r="K1" s="233"/>
      <c r="L1" s="234"/>
      <c r="M1" s="233"/>
      <c r="N1" s="233"/>
      <c r="O1" s="234"/>
      <c r="P1" s="231"/>
      <c r="Q1" s="233"/>
      <c r="R1" s="234"/>
      <c r="S1" s="233"/>
      <c r="T1" s="233"/>
      <c r="U1" s="234"/>
      <c r="V1" s="233"/>
      <c r="W1" s="233"/>
      <c r="X1" s="234"/>
      <c r="Y1" s="231"/>
      <c r="Z1" s="233"/>
      <c r="AA1" s="234"/>
      <c r="AB1" s="233"/>
      <c r="AC1" s="233"/>
      <c r="AD1" s="234"/>
      <c r="AE1" s="233"/>
      <c r="AF1" s="233"/>
      <c r="AG1" s="234"/>
      <c r="AH1" s="233"/>
      <c r="AI1" s="233"/>
      <c r="AJ1" s="234"/>
      <c r="AK1" s="233"/>
    </row>
    <row r="2" spans="1:39" ht="18">
      <c r="A2" s="235" t="s">
        <v>114</v>
      </c>
      <c r="B2" s="236" t="str">
        <f>'1-Contractblad'!B3</f>
        <v>LMC</v>
      </c>
      <c r="C2" s="232"/>
      <c r="D2" s="231"/>
      <c r="E2" s="237"/>
      <c r="F2" s="238"/>
      <c r="H2" s="237"/>
      <c r="I2" s="238"/>
      <c r="K2" s="237"/>
      <c r="L2" s="238"/>
      <c r="M2" s="233"/>
      <c r="N2" s="237"/>
      <c r="O2" s="238"/>
      <c r="P2" s="231"/>
      <c r="Q2" s="237"/>
      <c r="R2" s="238"/>
      <c r="S2" s="233"/>
      <c r="T2" s="237"/>
      <c r="U2" s="238"/>
      <c r="V2" s="233"/>
      <c r="W2" s="237"/>
      <c r="X2" s="238"/>
      <c r="Y2" s="231"/>
      <c r="Z2" s="237"/>
      <c r="AA2" s="238"/>
      <c r="AB2" s="233"/>
      <c r="AC2" s="237"/>
      <c r="AD2" s="238"/>
      <c r="AE2" s="233"/>
      <c r="AF2" s="237"/>
      <c r="AG2" s="238"/>
      <c r="AH2" s="233"/>
      <c r="AI2" s="237"/>
      <c r="AJ2" s="238"/>
      <c r="AK2" s="233"/>
    </row>
    <row r="3" spans="1:39" ht="15">
      <c r="A3" s="235" t="s">
        <v>55</v>
      </c>
      <c r="B3" s="153" t="s">
        <v>61</v>
      </c>
      <c r="C3" s="239"/>
      <c r="D3" s="240"/>
    </row>
    <row r="4" spans="1:39" ht="15">
      <c r="A4" s="235" t="s">
        <v>272</v>
      </c>
      <c r="B4" s="236" t="str">
        <f>'1-Contractblad'!B5</f>
        <v>Rotterdam</v>
      </c>
      <c r="C4" s="239"/>
      <c r="D4" s="240"/>
    </row>
    <row r="5" spans="1:39" ht="15">
      <c r="A5" s="235" t="s">
        <v>145</v>
      </c>
      <c r="B5" s="236" t="str">
        <f>'1-Contractblad'!B6</f>
        <v>LMC-EA-JV-2014</v>
      </c>
      <c r="C5" s="239"/>
      <c r="D5" s="240"/>
    </row>
    <row r="6" spans="1:39" s="10" customFormat="1" ht="15">
      <c r="A6" s="235" t="s">
        <v>208</v>
      </c>
      <c r="B6" s="236">
        <f>'1-Contractblad'!B7</f>
        <v>0</v>
      </c>
      <c r="C6" s="239"/>
      <c r="D6" s="240"/>
    </row>
    <row r="7" spans="1:39" ht="15">
      <c r="A7" s="235" t="s">
        <v>45</v>
      </c>
      <c r="B7" s="183">
        <f>'1-Contractblad'!B8</f>
        <v>2014</v>
      </c>
      <c r="C7" s="239"/>
      <c r="D7" s="240"/>
    </row>
    <row r="8" spans="1:39" ht="15">
      <c r="A8" s="235"/>
      <c r="B8" s="153"/>
      <c r="C8" s="239"/>
      <c r="D8" s="240"/>
      <c r="E8" s="241"/>
      <c r="F8" s="242"/>
      <c r="H8" s="241"/>
      <c r="I8" s="242"/>
      <c r="K8" s="243"/>
      <c r="L8" s="242"/>
      <c r="M8" s="233"/>
      <c r="N8" s="243"/>
      <c r="O8" s="242"/>
      <c r="P8" s="240"/>
      <c r="Q8" s="241"/>
      <c r="R8" s="242"/>
      <c r="S8" s="233"/>
      <c r="T8" s="243"/>
      <c r="U8" s="242"/>
      <c r="V8" s="233"/>
      <c r="W8" s="243"/>
      <c r="X8" s="242"/>
      <c r="Y8" s="240"/>
      <c r="Z8" s="241"/>
      <c r="AA8" s="242"/>
      <c r="AB8" s="233"/>
      <c r="AC8" s="243"/>
      <c r="AD8" s="242"/>
      <c r="AE8" s="233"/>
      <c r="AF8" s="243"/>
      <c r="AG8" s="242"/>
      <c r="AH8" s="233"/>
      <c r="AI8" s="243"/>
      <c r="AJ8" s="242"/>
      <c r="AK8" s="233"/>
    </row>
    <row r="9" spans="1:39" s="248" customFormat="1" ht="30.75" customHeight="1">
      <c r="A9" s="244" t="s">
        <v>100</v>
      </c>
      <c r="B9" s="245"/>
      <c r="C9" s="246"/>
      <c r="D9" s="247"/>
      <c r="E9" s="788" t="s">
        <v>126</v>
      </c>
      <c r="F9" s="790"/>
      <c r="H9" s="788" t="s">
        <v>87</v>
      </c>
      <c r="I9" s="790"/>
      <c r="K9" s="788" t="s">
        <v>53</v>
      </c>
      <c r="L9" s="790"/>
      <c r="M9" s="249"/>
      <c r="N9" s="788" t="s">
        <v>42</v>
      </c>
      <c r="O9" s="789"/>
      <c r="P9" s="247"/>
      <c r="Q9" s="788" t="s">
        <v>135</v>
      </c>
      <c r="R9" s="790"/>
      <c r="S9" s="249"/>
      <c r="T9" s="788" t="s">
        <v>137</v>
      </c>
      <c r="U9" s="789"/>
      <c r="V9" s="249"/>
      <c r="W9" s="788" t="s">
        <v>138</v>
      </c>
      <c r="X9" s="789"/>
      <c r="Y9" s="247"/>
      <c r="Z9" s="788" t="s">
        <v>96</v>
      </c>
      <c r="AA9" s="790"/>
      <c r="AB9" s="249"/>
      <c r="AC9" s="788" t="s">
        <v>121</v>
      </c>
      <c r="AD9" s="789"/>
      <c r="AE9" s="249"/>
      <c r="AF9" s="788" t="s">
        <v>122</v>
      </c>
      <c r="AG9" s="789"/>
      <c r="AH9" s="249"/>
      <c r="AI9" s="788" t="s">
        <v>63</v>
      </c>
      <c r="AJ9" s="789"/>
      <c r="AK9" s="249"/>
      <c r="AL9" s="788" t="s">
        <v>276</v>
      </c>
      <c r="AM9" s="789"/>
    </row>
    <row r="10" spans="1:39">
      <c r="A10" s="250"/>
      <c r="B10" s="251" t="s">
        <v>196</v>
      </c>
      <c r="C10" s="252" t="s">
        <v>196</v>
      </c>
      <c r="D10" s="240"/>
      <c r="E10" s="7"/>
      <c r="F10" s="253"/>
      <c r="H10" s="7"/>
      <c r="I10" s="253"/>
      <c r="K10" s="1"/>
      <c r="L10" s="253"/>
      <c r="M10" s="233"/>
      <c r="N10" s="1"/>
      <c r="O10" s="253"/>
      <c r="P10" s="240"/>
      <c r="Q10" s="7"/>
      <c r="R10" s="253"/>
      <c r="S10" s="233"/>
      <c r="T10" s="1"/>
      <c r="U10" s="253"/>
      <c r="V10" s="233"/>
      <c r="W10" s="1"/>
      <c r="X10" s="253"/>
      <c r="Y10" s="240"/>
      <c r="Z10" s="7"/>
      <c r="AA10" s="253"/>
      <c r="AB10" s="233"/>
      <c r="AC10" s="1"/>
      <c r="AD10" s="253"/>
      <c r="AE10" s="233"/>
      <c r="AF10" s="1"/>
      <c r="AG10" s="253"/>
      <c r="AH10" s="233"/>
      <c r="AI10" s="1"/>
      <c r="AJ10" s="253"/>
      <c r="AK10" s="233"/>
      <c r="AL10" s="1"/>
      <c r="AM10" s="253"/>
    </row>
    <row r="11" spans="1:39">
      <c r="A11" s="250" t="s">
        <v>143</v>
      </c>
      <c r="B11" s="254"/>
      <c r="C11" s="255"/>
      <c r="D11" s="240"/>
      <c r="E11" s="686">
        <f>6.68*102%*102%</f>
        <v>6.949872</v>
      </c>
      <c r="F11" s="687"/>
      <c r="G11" s="688"/>
      <c r="H11" s="686">
        <f>9*102%*102%</f>
        <v>9.3635999999999999</v>
      </c>
      <c r="I11" s="687"/>
      <c r="J11" s="688"/>
      <c r="K11" s="686">
        <v>10.695311999999999</v>
      </c>
      <c r="L11" s="687"/>
      <c r="M11" s="689"/>
      <c r="N11" s="686">
        <f>10.59*102%*102%</f>
        <v>11.017836000000001</v>
      </c>
      <c r="O11" s="687"/>
      <c r="P11" s="690"/>
      <c r="Q11" s="686">
        <f>9.89*102%*102%</f>
        <v>10.289556000000001</v>
      </c>
      <c r="R11" s="687"/>
      <c r="S11" s="689"/>
      <c r="T11" s="686">
        <f>11.33*102%*102%</f>
        <v>11.787732</v>
      </c>
      <c r="U11" s="687"/>
      <c r="V11" s="689"/>
      <c r="W11" s="686">
        <f>11.64*102%*102%</f>
        <v>12.110256000000001</v>
      </c>
      <c r="X11" s="687"/>
      <c r="Y11" s="690"/>
      <c r="Z11" s="686">
        <f>10.8*102%*102%</f>
        <v>11.236320000000003</v>
      </c>
      <c r="AA11" s="687"/>
      <c r="AB11" s="689"/>
      <c r="AC11" s="686">
        <f>12.38*102%*102%</f>
        <v>12.880152000000001</v>
      </c>
      <c r="AD11" s="687"/>
      <c r="AE11" s="689"/>
      <c r="AF11" s="686">
        <f>12.7*102%*102%</f>
        <v>13.21308</v>
      </c>
      <c r="AG11" s="687"/>
      <c r="AH11" s="689"/>
      <c r="AI11" s="691">
        <f>11.33*102%*102%</f>
        <v>11.787732</v>
      </c>
      <c r="AJ11" s="687"/>
      <c r="AK11" s="689"/>
      <c r="AL11" s="692"/>
      <c r="AM11" s="3"/>
    </row>
    <row r="12" spans="1:39">
      <c r="A12" s="250" t="s">
        <v>64</v>
      </c>
      <c r="B12" s="256"/>
      <c r="C12" s="257" t="s">
        <v>213</v>
      </c>
      <c r="D12" s="240"/>
      <c r="E12" s="692"/>
      <c r="F12" s="687"/>
      <c r="G12" s="688"/>
      <c r="H12" s="692"/>
      <c r="I12" s="687"/>
      <c r="J12" s="688"/>
      <c r="K12" s="692"/>
      <c r="L12" s="687"/>
      <c r="M12" s="689"/>
      <c r="N12" s="692"/>
      <c r="O12" s="687"/>
      <c r="P12" s="690"/>
      <c r="Q12" s="692"/>
      <c r="R12" s="687"/>
      <c r="S12" s="689"/>
      <c r="T12" s="692"/>
      <c r="U12" s="687"/>
      <c r="V12" s="689"/>
      <c r="W12" s="692"/>
      <c r="X12" s="687"/>
      <c r="Y12" s="690"/>
      <c r="Z12" s="692"/>
      <c r="AA12" s="687"/>
      <c r="AB12" s="689"/>
      <c r="AC12" s="692"/>
      <c r="AD12" s="687"/>
      <c r="AE12" s="689"/>
      <c r="AF12" s="692"/>
      <c r="AG12" s="687"/>
      <c r="AH12" s="689"/>
      <c r="AI12" s="693"/>
      <c r="AJ12" s="687"/>
      <c r="AK12" s="689"/>
      <c r="AL12" s="692"/>
      <c r="AM12" s="3"/>
    </row>
    <row r="13" spans="1:39">
      <c r="A13" s="250" t="s">
        <v>161</v>
      </c>
      <c r="B13" s="256"/>
      <c r="C13" s="257" t="s">
        <v>213</v>
      </c>
      <c r="D13" s="240"/>
      <c r="E13" s="692"/>
      <c r="F13" s="687"/>
      <c r="G13" s="688"/>
      <c r="H13" s="692"/>
      <c r="I13" s="687"/>
      <c r="J13" s="688"/>
      <c r="K13" s="692"/>
      <c r="L13" s="687"/>
      <c r="M13" s="689"/>
      <c r="N13" s="692"/>
      <c r="O13" s="687"/>
      <c r="P13" s="690"/>
      <c r="Q13" s="692"/>
      <c r="R13" s="687"/>
      <c r="S13" s="689"/>
      <c r="T13" s="692"/>
      <c r="U13" s="687"/>
      <c r="V13" s="689"/>
      <c r="W13" s="692"/>
      <c r="X13" s="687"/>
      <c r="Y13" s="690"/>
      <c r="Z13" s="692"/>
      <c r="AA13" s="687"/>
      <c r="AB13" s="689"/>
      <c r="AC13" s="692"/>
      <c r="AD13" s="687"/>
      <c r="AE13" s="689"/>
      <c r="AF13" s="692"/>
      <c r="AG13" s="687"/>
      <c r="AH13" s="689"/>
      <c r="AI13" s="693"/>
      <c r="AJ13" s="687"/>
      <c r="AK13" s="689"/>
      <c r="AL13" s="692"/>
      <c r="AM13" s="3"/>
    </row>
    <row r="14" spans="1:39" s="83" customFormat="1">
      <c r="A14" s="259" t="s">
        <v>123</v>
      </c>
      <c r="B14" s="260"/>
      <c r="C14" s="261"/>
      <c r="D14" s="240"/>
      <c r="E14" s="5"/>
      <c r="F14" s="3"/>
      <c r="H14" s="5"/>
      <c r="I14" s="3"/>
      <c r="K14" s="5"/>
      <c r="L14" s="3"/>
      <c r="M14" s="233"/>
      <c r="N14" s="5"/>
      <c r="O14" s="3"/>
      <c r="P14" s="240"/>
      <c r="Q14" s="5"/>
      <c r="R14" s="3"/>
      <c r="S14" s="233"/>
      <c r="T14" s="5"/>
      <c r="U14" s="3"/>
      <c r="V14" s="233"/>
      <c r="W14" s="5"/>
      <c r="X14" s="3"/>
      <c r="Y14" s="240"/>
      <c r="Z14" s="5"/>
      <c r="AA14" s="3"/>
      <c r="AB14" s="233"/>
      <c r="AC14" s="5"/>
      <c r="AD14" s="3"/>
      <c r="AE14" s="233"/>
      <c r="AF14" s="5"/>
      <c r="AG14" s="3"/>
      <c r="AH14" s="233"/>
      <c r="AI14" s="258"/>
      <c r="AJ14" s="3"/>
      <c r="AK14" s="233"/>
      <c r="AL14" s="5"/>
      <c r="AM14" s="3"/>
    </row>
    <row r="15" spans="1:39">
      <c r="A15" s="262" t="s">
        <v>54</v>
      </c>
      <c r="B15" s="260"/>
      <c r="C15" s="261"/>
      <c r="D15" s="240"/>
      <c r="E15" s="6">
        <f>SUM(E11:E14)</f>
        <v>6.949872</v>
      </c>
      <c r="F15" s="3"/>
      <c r="H15" s="6">
        <f>SUM(H11:H14)</f>
        <v>9.3635999999999999</v>
      </c>
      <c r="I15" s="3"/>
      <c r="K15" s="6">
        <f>SUM(K11:K14)</f>
        <v>10.695311999999999</v>
      </c>
      <c r="L15" s="3"/>
      <c r="M15" s="233"/>
      <c r="N15" s="6">
        <f>SUM(N11:N14)</f>
        <v>11.017836000000001</v>
      </c>
      <c r="O15" s="3"/>
      <c r="P15" s="240"/>
      <c r="Q15" s="6">
        <f>SUM(Q11:Q14)</f>
        <v>10.289556000000001</v>
      </c>
      <c r="R15" s="3"/>
      <c r="S15" s="233"/>
      <c r="T15" s="6">
        <f>SUM(T11:T14)</f>
        <v>11.787732</v>
      </c>
      <c r="U15" s="3"/>
      <c r="V15" s="233"/>
      <c r="W15" s="6">
        <f>SUM(W11:W14)</f>
        <v>12.110256000000001</v>
      </c>
      <c r="X15" s="3"/>
      <c r="Y15" s="240"/>
      <c r="Z15" s="6">
        <f>SUM(Z11:Z14)</f>
        <v>11.236320000000003</v>
      </c>
      <c r="AA15" s="3"/>
      <c r="AB15" s="233"/>
      <c r="AC15" s="6">
        <f>SUM(AC11:AC14)</f>
        <v>12.880152000000001</v>
      </c>
      <c r="AD15" s="3"/>
      <c r="AE15" s="233"/>
      <c r="AF15" s="6">
        <f>SUM(AF11:AF14)</f>
        <v>13.21308</v>
      </c>
      <c r="AG15" s="3"/>
      <c r="AH15" s="233"/>
      <c r="AI15" s="6">
        <f>SUM(AI11:AI14)</f>
        <v>11.787732</v>
      </c>
      <c r="AJ15" s="3"/>
      <c r="AK15" s="233"/>
      <c r="AL15" s="6">
        <f>SUM(AL11:AL14)</f>
        <v>0</v>
      </c>
      <c r="AM15" s="3"/>
    </row>
    <row r="16" spans="1:39">
      <c r="A16" s="259"/>
      <c r="B16" s="263"/>
      <c r="C16" s="264"/>
      <c r="D16" s="240"/>
      <c r="E16" s="1"/>
      <c r="F16" s="3"/>
      <c r="H16" s="1"/>
      <c r="I16" s="3"/>
      <c r="K16" s="1"/>
      <c r="L16" s="3"/>
      <c r="M16" s="233"/>
      <c r="N16" s="1"/>
      <c r="O16" s="3"/>
      <c r="P16" s="240"/>
      <c r="Q16" s="1"/>
      <c r="R16" s="3"/>
      <c r="S16" s="233"/>
      <c r="T16" s="1"/>
      <c r="U16" s="3"/>
      <c r="V16" s="233"/>
      <c r="W16" s="1"/>
      <c r="X16" s="3"/>
      <c r="Y16" s="240"/>
      <c r="Z16" s="1"/>
      <c r="AA16" s="3"/>
      <c r="AB16" s="233"/>
      <c r="AC16" s="1"/>
      <c r="AD16" s="3"/>
      <c r="AE16" s="233"/>
      <c r="AF16" s="1"/>
      <c r="AG16" s="3"/>
      <c r="AH16" s="233"/>
      <c r="AI16" s="1"/>
      <c r="AJ16" s="3"/>
      <c r="AK16" s="233"/>
      <c r="AL16" s="1"/>
      <c r="AM16" s="3"/>
    </row>
    <row r="17" spans="1:39">
      <c r="A17" s="265" t="s">
        <v>189</v>
      </c>
      <c r="B17" s="266"/>
      <c r="C17" s="267"/>
      <c r="D17" s="240"/>
      <c r="E17" s="5">
        <f>$C17*E15</f>
        <v>0</v>
      </c>
      <c r="F17" s="3"/>
      <c r="H17" s="5">
        <f>$C17*H15</f>
        <v>0</v>
      </c>
      <c r="I17" s="3"/>
      <c r="K17" s="5">
        <f>$C17*K15</f>
        <v>0</v>
      </c>
      <c r="L17" s="3"/>
      <c r="M17" s="233"/>
      <c r="N17" s="5">
        <f>$C17*N15</f>
        <v>0</v>
      </c>
      <c r="O17" s="3"/>
      <c r="P17" s="240"/>
      <c r="Q17" s="5">
        <f>$C17*Q15</f>
        <v>0</v>
      </c>
      <c r="R17" s="3"/>
      <c r="S17" s="233"/>
      <c r="T17" s="5">
        <f>$C17*T15</f>
        <v>0</v>
      </c>
      <c r="U17" s="3"/>
      <c r="V17" s="233"/>
      <c r="W17" s="5">
        <f>$C17*W15</f>
        <v>0</v>
      </c>
      <c r="X17" s="3"/>
      <c r="Y17" s="240"/>
      <c r="Z17" s="5">
        <f>$C17*Z15</f>
        <v>0</v>
      </c>
      <c r="AA17" s="3"/>
      <c r="AB17" s="233"/>
      <c r="AC17" s="5">
        <f>$C17*AC15</f>
        <v>0</v>
      </c>
      <c r="AD17" s="3"/>
      <c r="AE17" s="233"/>
      <c r="AF17" s="5">
        <f>$C17*AF15</f>
        <v>0</v>
      </c>
      <c r="AG17" s="3"/>
      <c r="AH17" s="233"/>
      <c r="AI17" s="5">
        <f>$C17*AI15</f>
        <v>0</v>
      </c>
      <c r="AJ17" s="3"/>
      <c r="AK17" s="233"/>
      <c r="AL17" s="5">
        <f>$C17*AL15</f>
        <v>0</v>
      </c>
      <c r="AM17" s="3"/>
    </row>
    <row r="18" spans="1:39" s="83" customFormat="1">
      <c r="A18" s="265" t="s">
        <v>275</v>
      </c>
      <c r="B18" s="266"/>
      <c r="C18" s="267"/>
      <c r="D18" s="240"/>
      <c r="E18" s="5">
        <f>$C18*E15</f>
        <v>0</v>
      </c>
      <c r="F18" s="3"/>
      <c r="H18" s="5">
        <f>$C18*H15</f>
        <v>0</v>
      </c>
      <c r="I18" s="3"/>
      <c r="K18" s="5">
        <f>$C18*K15</f>
        <v>0</v>
      </c>
      <c r="L18" s="3"/>
      <c r="M18" s="233"/>
      <c r="N18" s="5">
        <f>$C18*N15</f>
        <v>0</v>
      </c>
      <c r="O18" s="3"/>
      <c r="P18" s="240"/>
      <c r="Q18" s="5">
        <f>$C18*Q15</f>
        <v>0</v>
      </c>
      <c r="R18" s="3"/>
      <c r="S18" s="233"/>
      <c r="T18" s="5">
        <f>$C18*T15</f>
        <v>0</v>
      </c>
      <c r="U18" s="3"/>
      <c r="V18" s="233"/>
      <c r="W18" s="5">
        <f>$C18*W15</f>
        <v>0</v>
      </c>
      <c r="X18" s="3"/>
      <c r="Y18" s="240"/>
      <c r="Z18" s="5">
        <f>$C18*Z15</f>
        <v>0</v>
      </c>
      <c r="AA18" s="3"/>
      <c r="AB18" s="233"/>
      <c r="AC18" s="5">
        <f>$C18*AC15</f>
        <v>0</v>
      </c>
      <c r="AD18" s="3"/>
      <c r="AE18" s="233"/>
      <c r="AF18" s="5">
        <f>$C18*AF15</f>
        <v>0</v>
      </c>
      <c r="AG18" s="3"/>
      <c r="AH18" s="233"/>
      <c r="AI18" s="5">
        <f>$C18*AI15</f>
        <v>0</v>
      </c>
      <c r="AJ18" s="3"/>
      <c r="AK18" s="233"/>
      <c r="AL18" s="5">
        <f>$C18*AL15</f>
        <v>0</v>
      </c>
      <c r="AM18" s="3"/>
    </row>
    <row r="19" spans="1:39">
      <c r="A19" s="262" t="s">
        <v>180</v>
      </c>
      <c r="B19" s="268"/>
      <c r="C19" s="261"/>
      <c r="D19" s="240"/>
      <c r="E19" s="6">
        <f>SUM(E15:E18)</f>
        <v>6.949872</v>
      </c>
      <c r="F19" s="269">
        <f>IF(E19=0,0,E19/E$47)</f>
        <v>1</v>
      </c>
      <c r="H19" s="6">
        <f>SUM(H15:H18)</f>
        <v>9.3635999999999999</v>
      </c>
      <c r="I19" s="269">
        <f>IF(H19=0,0,H19/H$47)</f>
        <v>1</v>
      </c>
      <c r="K19" s="6">
        <f>SUM(K15:K18)</f>
        <v>10.695311999999999</v>
      </c>
      <c r="L19" s="269">
        <f>IF(K19=0,0,K19/K$47)</f>
        <v>1</v>
      </c>
      <c r="M19" s="233"/>
      <c r="N19" s="6">
        <f>SUM(N15:N18)</f>
        <v>11.017836000000001</v>
      </c>
      <c r="O19" s="269">
        <f>IF(N19=0,0,N19/N$47)</f>
        <v>1</v>
      </c>
      <c r="P19" s="240"/>
      <c r="Q19" s="6">
        <f>SUM(Q15:Q18)</f>
        <v>10.289556000000001</v>
      </c>
      <c r="R19" s="269">
        <f>IF(Q19=0,0,Q19/Q$47)</f>
        <v>1</v>
      </c>
      <c r="S19" s="233"/>
      <c r="T19" s="6">
        <f>SUM(T15:T18)</f>
        <v>11.787732</v>
      </c>
      <c r="U19" s="269">
        <f>IF(T19=0,0,T19/T$47)</f>
        <v>1</v>
      </c>
      <c r="V19" s="233"/>
      <c r="W19" s="6">
        <f>SUM(W15:W18)</f>
        <v>12.110256000000001</v>
      </c>
      <c r="X19" s="269">
        <f>IF(W19=0,0,W19/W$47)</f>
        <v>1</v>
      </c>
      <c r="Y19" s="240"/>
      <c r="Z19" s="6">
        <f>SUM(Z15:Z18)</f>
        <v>11.236320000000003</v>
      </c>
      <c r="AA19" s="269">
        <f>IF(Z19=0,0,Z19/Z$47)</f>
        <v>1</v>
      </c>
      <c r="AB19" s="233"/>
      <c r="AC19" s="6">
        <f>SUM(AC15:AC18)</f>
        <v>12.880152000000001</v>
      </c>
      <c r="AD19" s="269">
        <f>IF(AC19=0,0,AC19/AC$47)</f>
        <v>1</v>
      </c>
      <c r="AE19" s="233"/>
      <c r="AF19" s="6">
        <f>SUM(AF15:AF18)</f>
        <v>13.21308</v>
      </c>
      <c r="AG19" s="269">
        <f>IF(AF19=0,0,AF19/AF$47)</f>
        <v>1</v>
      </c>
      <c r="AH19" s="233"/>
      <c r="AI19" s="6">
        <f>SUM(AI15:AI18)</f>
        <v>11.787732</v>
      </c>
      <c r="AJ19" s="269">
        <f>IF(AI19=0,0,AI19/AI$47)</f>
        <v>1</v>
      </c>
      <c r="AK19" s="233"/>
      <c r="AL19" s="6">
        <f>SUM(AL15:AL18)</f>
        <v>0</v>
      </c>
      <c r="AM19" s="269">
        <f>IF(AL19=0,0,AL19/AL$47)</f>
        <v>0</v>
      </c>
    </row>
    <row r="20" spans="1:39">
      <c r="A20" s="259"/>
      <c r="B20" s="263"/>
      <c r="C20" s="264"/>
      <c r="D20" s="240"/>
      <c r="E20" s="1"/>
      <c r="F20" s="3"/>
      <c r="H20" s="1"/>
      <c r="I20" s="3"/>
      <c r="K20" s="1"/>
      <c r="L20" s="3"/>
      <c r="M20" s="233"/>
      <c r="N20" s="1"/>
      <c r="O20" s="3"/>
      <c r="P20" s="240"/>
      <c r="Q20" s="1"/>
      <c r="R20" s="3"/>
      <c r="S20" s="233"/>
      <c r="T20" s="1"/>
      <c r="U20" s="3"/>
      <c r="V20" s="233"/>
      <c r="W20" s="1"/>
      <c r="X20" s="3"/>
      <c r="Y20" s="240"/>
      <c r="Z20" s="1"/>
      <c r="AA20" s="3"/>
      <c r="AB20" s="233"/>
      <c r="AC20" s="1"/>
      <c r="AD20" s="3"/>
      <c r="AE20" s="233"/>
      <c r="AF20" s="1"/>
      <c r="AG20" s="3"/>
      <c r="AH20" s="233"/>
      <c r="AI20" s="1"/>
      <c r="AJ20" s="3"/>
      <c r="AK20" s="233"/>
      <c r="AL20" s="1"/>
      <c r="AM20" s="3"/>
    </row>
    <row r="21" spans="1:39" s="228" customFormat="1">
      <c r="A21" s="270" t="s">
        <v>191</v>
      </c>
      <c r="B21" s="266"/>
      <c r="C21" s="264"/>
      <c r="D21" s="271"/>
      <c r="E21" s="694"/>
      <c r="F21" s="695"/>
      <c r="G21" s="696"/>
      <c r="H21" s="694"/>
      <c r="I21" s="695"/>
      <c r="J21" s="696"/>
      <c r="K21" s="694"/>
      <c r="L21" s="695"/>
      <c r="M21" s="697"/>
      <c r="N21" s="694"/>
      <c r="O21" s="695"/>
      <c r="P21" s="698"/>
      <c r="Q21" s="694"/>
      <c r="R21" s="695"/>
      <c r="S21" s="697"/>
      <c r="T21" s="694"/>
      <c r="U21" s="695"/>
      <c r="V21" s="697"/>
      <c r="W21" s="694"/>
      <c r="X21" s="695"/>
      <c r="Y21" s="698"/>
      <c r="Z21" s="694"/>
      <c r="AA21" s="695"/>
      <c r="AB21" s="697"/>
      <c r="AC21" s="694"/>
      <c r="AD21" s="695"/>
      <c r="AE21" s="697"/>
      <c r="AF21" s="694"/>
      <c r="AG21" s="695"/>
      <c r="AH21" s="697"/>
      <c r="AI21" s="694"/>
      <c r="AJ21" s="695"/>
      <c r="AK21" s="697"/>
      <c r="AL21" s="694"/>
      <c r="AM21" s="272"/>
    </row>
    <row r="22" spans="1:39">
      <c r="A22" s="265" t="s">
        <v>219</v>
      </c>
      <c r="B22" s="266"/>
      <c r="C22" s="274" t="s">
        <v>162</v>
      </c>
      <c r="D22" s="240"/>
      <c r="E22" s="699">
        <f>E21*'4-Premies en opslagen'!$C25</f>
        <v>0</v>
      </c>
      <c r="F22" s="687"/>
      <c r="G22" s="688"/>
      <c r="H22" s="699">
        <f>H21*'4-Premies en opslagen'!$C25</f>
        <v>0</v>
      </c>
      <c r="I22" s="687"/>
      <c r="J22" s="688"/>
      <c r="K22" s="699">
        <f>K21*'4-Premies en opslagen'!$C25</f>
        <v>0</v>
      </c>
      <c r="L22" s="687"/>
      <c r="M22" s="689"/>
      <c r="N22" s="699">
        <f>N21*'4-Premies en opslagen'!$C25</f>
        <v>0</v>
      </c>
      <c r="O22" s="687"/>
      <c r="P22" s="690"/>
      <c r="Q22" s="699">
        <f>Q21*'4-Premies en opslagen'!$C25</f>
        <v>0</v>
      </c>
      <c r="R22" s="687"/>
      <c r="S22" s="689"/>
      <c r="T22" s="699">
        <f>T21*'4-Premies en opslagen'!$C25</f>
        <v>0</v>
      </c>
      <c r="U22" s="687"/>
      <c r="V22" s="689"/>
      <c r="W22" s="699">
        <f>W21*'4-Premies en opslagen'!$C25</f>
        <v>0</v>
      </c>
      <c r="X22" s="687"/>
      <c r="Y22" s="690"/>
      <c r="Z22" s="699">
        <f>Z21*'4-Premies en opslagen'!$C25</f>
        <v>0</v>
      </c>
      <c r="AA22" s="687"/>
      <c r="AB22" s="689"/>
      <c r="AC22" s="699">
        <f>AC21*'4-Premies en opslagen'!$C25</f>
        <v>0</v>
      </c>
      <c r="AD22" s="687"/>
      <c r="AE22" s="689"/>
      <c r="AF22" s="699">
        <f>AF21*'4-Premies en opslagen'!$C25</f>
        <v>0</v>
      </c>
      <c r="AG22" s="687"/>
      <c r="AH22" s="689"/>
      <c r="AI22" s="699">
        <f>AI21*'4-Premies en opslagen'!$C25</f>
        <v>0</v>
      </c>
      <c r="AJ22" s="687"/>
      <c r="AK22" s="689"/>
      <c r="AL22" s="699">
        <f>AL21*'4-Premies en opslagen'!$C25</f>
        <v>0</v>
      </c>
      <c r="AM22" s="3"/>
    </row>
    <row r="23" spans="1:39">
      <c r="A23" s="262" t="s">
        <v>214</v>
      </c>
      <c r="B23" s="268"/>
      <c r="C23" s="261"/>
      <c r="D23" s="240"/>
      <c r="E23" s="6">
        <f>E22+E19</f>
        <v>6.949872</v>
      </c>
      <c r="F23" s="269">
        <f>IF(E23=0,0,E23/E$47)</f>
        <v>1</v>
      </c>
      <c r="H23" s="6">
        <f>H22+H19</f>
        <v>9.3635999999999999</v>
      </c>
      <c r="I23" s="269">
        <f>IF(H23=0,0,H23/H$47)</f>
        <v>1</v>
      </c>
      <c r="K23" s="6">
        <f>K22+K19</f>
        <v>10.695311999999999</v>
      </c>
      <c r="L23" s="269">
        <f>IF(K23=0,0,K23/K$47)</f>
        <v>1</v>
      </c>
      <c r="M23" s="233"/>
      <c r="N23" s="6">
        <f>N22+N19</f>
        <v>11.017836000000001</v>
      </c>
      <c r="O23" s="269">
        <f>IF(N23=0,0,N23/N$47)</f>
        <v>1</v>
      </c>
      <c r="P23" s="240"/>
      <c r="Q23" s="6">
        <f>Q22+Q19</f>
        <v>10.289556000000001</v>
      </c>
      <c r="R23" s="269">
        <f>IF(Q23=0,0,Q23/Q$47)</f>
        <v>1</v>
      </c>
      <c r="S23" s="233"/>
      <c r="T23" s="6">
        <f>T22+T19</f>
        <v>11.787732</v>
      </c>
      <c r="U23" s="269">
        <f>IF(T23=0,0,T23/T$47)</f>
        <v>1</v>
      </c>
      <c r="V23" s="233"/>
      <c r="W23" s="6">
        <f>W22+W19</f>
        <v>12.110256000000001</v>
      </c>
      <c r="X23" s="269">
        <f>IF(W23=0,0,W23/W$47)</f>
        <v>1</v>
      </c>
      <c r="Y23" s="240"/>
      <c r="Z23" s="6">
        <f>Z22+Z19</f>
        <v>11.236320000000003</v>
      </c>
      <c r="AA23" s="269">
        <f>IF(Z23=0,0,Z23/Z$47)</f>
        <v>1</v>
      </c>
      <c r="AB23" s="233"/>
      <c r="AC23" s="6">
        <f>AC22+AC19</f>
        <v>12.880152000000001</v>
      </c>
      <c r="AD23" s="269">
        <f>IF(AC23=0,0,AC23/AC$47)</f>
        <v>1</v>
      </c>
      <c r="AE23" s="233"/>
      <c r="AF23" s="6">
        <f>AF22+AF19</f>
        <v>13.21308</v>
      </c>
      <c r="AG23" s="269">
        <f>IF(AF23=0,0,AF23/AF$47)</f>
        <v>1</v>
      </c>
      <c r="AH23" s="233"/>
      <c r="AI23" s="6">
        <f>AI22+AI19</f>
        <v>11.787732</v>
      </c>
      <c r="AJ23" s="269">
        <f>IF(AI23=0,0,AI23/AI$47)</f>
        <v>1</v>
      </c>
      <c r="AK23" s="233"/>
      <c r="AL23" s="6">
        <f>AL22+AL19</f>
        <v>0</v>
      </c>
      <c r="AM23" s="269">
        <f>IF(AL23=0,0,AL23/AL$47)</f>
        <v>0</v>
      </c>
    </row>
    <row r="24" spans="1:39">
      <c r="A24" s="259"/>
      <c r="B24" s="268"/>
      <c r="C24" s="261"/>
      <c r="D24" s="240"/>
      <c r="E24" s="7"/>
      <c r="F24" s="3"/>
      <c r="H24" s="7"/>
      <c r="I24" s="3"/>
      <c r="K24" s="7"/>
      <c r="L24" s="3"/>
      <c r="M24" s="233"/>
      <c r="N24" s="7"/>
      <c r="O24" s="3"/>
      <c r="P24" s="240"/>
      <c r="Q24" s="7"/>
      <c r="R24" s="3"/>
      <c r="S24" s="233"/>
      <c r="T24" s="7"/>
      <c r="U24" s="3"/>
      <c r="V24" s="233"/>
      <c r="W24" s="7"/>
      <c r="X24" s="3"/>
      <c r="Y24" s="240"/>
      <c r="Z24" s="7"/>
      <c r="AA24" s="3"/>
      <c r="AB24" s="233"/>
      <c r="AC24" s="7"/>
      <c r="AD24" s="3"/>
      <c r="AE24" s="233"/>
      <c r="AF24" s="7"/>
      <c r="AG24" s="3"/>
      <c r="AH24" s="233"/>
      <c r="AI24" s="7"/>
      <c r="AJ24" s="3"/>
      <c r="AK24" s="233"/>
      <c r="AL24" s="7"/>
      <c r="AM24" s="3"/>
    </row>
    <row r="25" spans="1:39">
      <c r="A25" s="265" t="s">
        <v>127</v>
      </c>
      <c r="B25" s="266"/>
      <c r="C25" s="274" t="s">
        <v>162</v>
      </c>
      <c r="D25" s="240"/>
      <c r="E25" s="5">
        <f>E23*'4-Premies en opslagen'!$C58</f>
        <v>0</v>
      </c>
      <c r="F25" s="3"/>
      <c r="H25" s="5">
        <f>H23*'4-Premies en opslagen'!$C58</f>
        <v>0</v>
      </c>
      <c r="I25" s="3"/>
      <c r="K25" s="5">
        <f>K23*'4-Premies en opslagen'!$C58</f>
        <v>0</v>
      </c>
      <c r="L25" s="3"/>
      <c r="M25" s="233"/>
      <c r="N25" s="5">
        <f>N23*'4-Premies en opslagen'!$C58</f>
        <v>0</v>
      </c>
      <c r="O25" s="3"/>
      <c r="P25" s="240"/>
      <c r="Q25" s="5">
        <f>Q23*'4-Premies en opslagen'!$C58</f>
        <v>0</v>
      </c>
      <c r="R25" s="3"/>
      <c r="S25" s="233"/>
      <c r="T25" s="5">
        <f>T23*'4-Premies en opslagen'!$C58</f>
        <v>0</v>
      </c>
      <c r="U25" s="3"/>
      <c r="V25" s="233"/>
      <c r="W25" s="5">
        <f>W23*'4-Premies en opslagen'!$C58</f>
        <v>0</v>
      </c>
      <c r="X25" s="3"/>
      <c r="Y25" s="240"/>
      <c r="Z25" s="5">
        <f>Z23*'4-Premies en opslagen'!$C58</f>
        <v>0</v>
      </c>
      <c r="AA25" s="3"/>
      <c r="AB25" s="233"/>
      <c r="AC25" s="5">
        <f>AC23*'4-Premies en opslagen'!$C58</f>
        <v>0</v>
      </c>
      <c r="AD25" s="3"/>
      <c r="AE25" s="233"/>
      <c r="AF25" s="5">
        <f>AF23*'4-Premies en opslagen'!$C58</f>
        <v>0</v>
      </c>
      <c r="AG25" s="3"/>
      <c r="AH25" s="233"/>
      <c r="AI25" s="5">
        <f>AI23*'4-Premies en opslagen'!$E58</f>
        <v>0</v>
      </c>
      <c r="AJ25" s="3"/>
      <c r="AK25" s="233"/>
      <c r="AL25" s="5">
        <f>AL23*'4-Premies en opslagen'!$E58</f>
        <v>0</v>
      </c>
      <c r="AM25" s="3"/>
    </row>
    <row r="26" spans="1:39">
      <c r="A26" s="262" t="s">
        <v>235</v>
      </c>
      <c r="B26" s="268"/>
      <c r="C26" s="261"/>
      <c r="D26" s="240"/>
      <c r="E26" s="6">
        <f>SUM(E23:E25)</f>
        <v>6.949872</v>
      </c>
      <c r="F26" s="269">
        <f>IF(E26=0,0,E26/E$47)</f>
        <v>1</v>
      </c>
      <c r="H26" s="6">
        <f>SUM(H23:H25)</f>
        <v>9.3635999999999999</v>
      </c>
      <c r="I26" s="269">
        <f>IF(H26=0,0,H26/H$47)</f>
        <v>1</v>
      </c>
      <c r="K26" s="6">
        <f>SUM(K23:K25)</f>
        <v>10.695311999999999</v>
      </c>
      <c r="L26" s="269">
        <f>IF(K26=0,0,K26/K$47)</f>
        <v>1</v>
      </c>
      <c r="M26" s="233"/>
      <c r="N26" s="6">
        <f>SUM(N23:N25)</f>
        <v>11.017836000000001</v>
      </c>
      <c r="O26" s="269">
        <f>IF(N26=0,0,N26/N$47)</f>
        <v>1</v>
      </c>
      <c r="P26" s="240"/>
      <c r="Q26" s="6">
        <f>SUM(Q23:Q25)</f>
        <v>10.289556000000001</v>
      </c>
      <c r="R26" s="269">
        <f>IF(Q26=0,0,Q26/Q$47)</f>
        <v>1</v>
      </c>
      <c r="S26" s="233"/>
      <c r="T26" s="6">
        <f>SUM(T23:T25)</f>
        <v>11.787732</v>
      </c>
      <c r="U26" s="269">
        <f>IF(T26=0,0,T26/T$47)</f>
        <v>1</v>
      </c>
      <c r="V26" s="233"/>
      <c r="W26" s="6">
        <f>SUM(W23:W25)</f>
        <v>12.110256000000001</v>
      </c>
      <c r="X26" s="269">
        <f>IF(W26=0,0,W26/W$47)</f>
        <v>1</v>
      </c>
      <c r="Y26" s="240"/>
      <c r="Z26" s="6">
        <f>SUM(Z23:Z25)</f>
        <v>11.236320000000003</v>
      </c>
      <c r="AA26" s="269">
        <f>IF(Z26=0,0,Z26/Z$47)</f>
        <v>1</v>
      </c>
      <c r="AB26" s="233"/>
      <c r="AC26" s="6">
        <f>SUM(AC23:AC25)</f>
        <v>12.880152000000001</v>
      </c>
      <c r="AD26" s="269">
        <f>IF(AC26=0,0,AC26/AC$47)</f>
        <v>1</v>
      </c>
      <c r="AE26" s="233"/>
      <c r="AF26" s="6">
        <f>SUM(AF23:AF25)</f>
        <v>13.21308</v>
      </c>
      <c r="AG26" s="269">
        <f>IF(AF26=0,0,AF26/AF$47)</f>
        <v>1</v>
      </c>
      <c r="AH26" s="233"/>
      <c r="AI26" s="6">
        <f>SUM(AI23:AI25)</f>
        <v>11.787732</v>
      </c>
      <c r="AJ26" s="269">
        <f>IF(AI26=0,0,AI26/AI$47)</f>
        <v>1</v>
      </c>
      <c r="AK26" s="233"/>
      <c r="AL26" s="6">
        <f>SUM(AL23:AL25)</f>
        <v>0</v>
      </c>
      <c r="AM26" s="269">
        <f>IF(AL26=0,0,AL26/AL$47)</f>
        <v>0</v>
      </c>
    </row>
    <row r="27" spans="1:39">
      <c r="A27" s="259"/>
      <c r="B27" s="268"/>
      <c r="C27" s="261"/>
      <c r="D27" s="240"/>
      <c r="E27" s="7"/>
      <c r="F27" s="3"/>
      <c r="H27" s="7"/>
      <c r="I27" s="3"/>
      <c r="K27" s="7"/>
      <c r="L27" s="3"/>
      <c r="M27" s="233"/>
      <c r="N27" s="7"/>
      <c r="O27" s="3"/>
      <c r="P27" s="240"/>
      <c r="Q27" s="7"/>
      <c r="R27" s="3"/>
      <c r="S27" s="233"/>
      <c r="T27" s="7"/>
      <c r="U27" s="3"/>
      <c r="V27" s="233"/>
      <c r="W27" s="7"/>
      <c r="X27" s="3"/>
      <c r="Y27" s="240"/>
      <c r="Z27" s="7"/>
      <c r="AA27" s="3"/>
      <c r="AB27" s="233"/>
      <c r="AC27" s="7"/>
      <c r="AD27" s="3"/>
      <c r="AE27" s="233"/>
      <c r="AF27" s="7"/>
      <c r="AG27" s="3"/>
      <c r="AH27" s="233"/>
      <c r="AI27" s="7"/>
      <c r="AJ27" s="3"/>
      <c r="AK27" s="233"/>
      <c r="AL27" s="7"/>
      <c r="AM27" s="3"/>
    </row>
    <row r="28" spans="1:39">
      <c r="A28" s="259" t="s">
        <v>192</v>
      </c>
      <c r="B28" s="275"/>
      <c r="C28" s="257" t="s">
        <v>213</v>
      </c>
      <c r="D28" s="240"/>
      <c r="E28" s="692"/>
      <c r="F28" s="687"/>
      <c r="G28" s="688"/>
      <c r="H28" s="692"/>
      <c r="I28" s="687"/>
      <c r="J28" s="688"/>
      <c r="K28" s="692"/>
      <c r="L28" s="687"/>
      <c r="M28" s="689"/>
      <c r="N28" s="692"/>
      <c r="O28" s="687"/>
      <c r="P28" s="690"/>
      <c r="Q28" s="692"/>
      <c r="R28" s="687"/>
      <c r="S28" s="689"/>
      <c r="T28" s="692"/>
      <c r="U28" s="687"/>
      <c r="V28" s="689"/>
      <c r="W28" s="692"/>
      <c r="X28" s="687"/>
      <c r="Y28" s="690"/>
      <c r="Z28" s="692"/>
      <c r="AA28" s="687"/>
      <c r="AB28" s="689"/>
      <c r="AC28" s="692"/>
      <c r="AD28" s="687"/>
      <c r="AE28" s="689"/>
      <c r="AF28" s="692"/>
      <c r="AG28" s="687"/>
      <c r="AH28" s="689"/>
      <c r="AI28" s="692"/>
      <c r="AJ28" s="687"/>
      <c r="AK28" s="689"/>
      <c r="AL28" s="687"/>
      <c r="AM28" s="3">
        <v>0</v>
      </c>
    </row>
    <row r="29" spans="1:39">
      <c r="A29" s="259" t="s">
        <v>204</v>
      </c>
      <c r="B29" s="276"/>
      <c r="C29" s="257" t="s">
        <v>213</v>
      </c>
      <c r="D29" s="240"/>
      <c r="E29" s="692"/>
      <c r="F29" s="687"/>
      <c r="G29" s="688"/>
      <c r="H29" s="692"/>
      <c r="I29" s="687"/>
      <c r="J29" s="688"/>
      <c r="K29" s="692"/>
      <c r="L29" s="687"/>
      <c r="M29" s="689"/>
      <c r="N29" s="692"/>
      <c r="O29" s="687"/>
      <c r="P29" s="690"/>
      <c r="Q29" s="692"/>
      <c r="R29" s="687"/>
      <c r="S29" s="689"/>
      <c r="T29" s="692"/>
      <c r="U29" s="687"/>
      <c r="V29" s="689"/>
      <c r="W29" s="692"/>
      <c r="X29" s="687"/>
      <c r="Y29" s="690"/>
      <c r="Z29" s="692"/>
      <c r="AA29" s="687"/>
      <c r="AB29" s="689"/>
      <c r="AC29" s="692"/>
      <c r="AD29" s="687"/>
      <c r="AE29" s="689"/>
      <c r="AF29" s="692"/>
      <c r="AG29" s="687"/>
      <c r="AH29" s="689"/>
      <c r="AI29" s="692"/>
      <c r="AJ29" s="687"/>
      <c r="AK29" s="689"/>
      <c r="AL29" s="692"/>
      <c r="AM29" s="3">
        <v>0</v>
      </c>
    </row>
    <row r="30" spans="1:39" ht="12.75" customHeight="1">
      <c r="A30" s="259" t="s">
        <v>205</v>
      </c>
      <c r="B30" s="268"/>
      <c r="C30" s="261" t="s">
        <v>196</v>
      </c>
      <c r="D30" s="240"/>
      <c r="E30" s="277" t="s">
        <v>69</v>
      </c>
      <c r="F30" s="3"/>
      <c r="H30" s="277" t="s">
        <v>69</v>
      </c>
      <c r="I30" s="3"/>
      <c r="K30" s="277" t="s">
        <v>69</v>
      </c>
      <c r="L30" s="3"/>
      <c r="M30" s="233"/>
      <c r="N30" s="277" t="s">
        <v>69</v>
      </c>
      <c r="O30" s="3"/>
      <c r="P30" s="240"/>
      <c r="Q30" s="277" t="s">
        <v>69</v>
      </c>
      <c r="R30" s="3"/>
      <c r="S30" s="233"/>
      <c r="T30" s="277" t="s">
        <v>69</v>
      </c>
      <c r="U30" s="3"/>
      <c r="V30" s="233"/>
      <c r="W30" s="277" t="s">
        <v>69</v>
      </c>
      <c r="X30" s="3"/>
      <c r="Y30" s="240"/>
      <c r="Z30" s="277" t="s">
        <v>69</v>
      </c>
      <c r="AA30" s="3"/>
      <c r="AB30" s="233"/>
      <c r="AC30" s="277" t="s">
        <v>69</v>
      </c>
      <c r="AD30" s="3"/>
      <c r="AE30" s="233"/>
      <c r="AF30" s="277" t="s">
        <v>69</v>
      </c>
      <c r="AG30" s="3"/>
      <c r="AH30" s="233"/>
      <c r="AI30" s="277" t="s">
        <v>69</v>
      </c>
      <c r="AJ30" s="3"/>
      <c r="AK30" s="233"/>
      <c r="AL30" s="277" t="s">
        <v>69</v>
      </c>
      <c r="AM30" s="3"/>
    </row>
    <row r="31" spans="1:39" ht="12.75" customHeight="1">
      <c r="A31" s="278"/>
      <c r="B31" s="268"/>
      <c r="C31" s="261" t="s">
        <v>196</v>
      </c>
      <c r="D31" s="240"/>
      <c r="E31" s="4"/>
      <c r="F31" s="3"/>
      <c r="H31" s="4"/>
      <c r="I31" s="3"/>
      <c r="K31" s="4"/>
      <c r="L31" s="3"/>
      <c r="M31" s="233"/>
      <c r="N31" s="4"/>
      <c r="O31" s="3"/>
      <c r="P31" s="240"/>
      <c r="Q31" s="4"/>
      <c r="R31" s="3"/>
      <c r="S31" s="233"/>
      <c r="T31" s="4"/>
      <c r="U31" s="3"/>
      <c r="V31" s="233"/>
      <c r="W31" s="4"/>
      <c r="X31" s="3"/>
      <c r="Y31" s="240"/>
      <c r="Z31" s="4"/>
      <c r="AA31" s="3"/>
      <c r="AB31" s="233"/>
      <c r="AC31" s="4"/>
      <c r="AD31" s="3"/>
      <c r="AE31" s="233"/>
      <c r="AF31" s="4"/>
      <c r="AG31" s="3"/>
      <c r="AH31" s="233"/>
      <c r="AI31" s="258"/>
      <c r="AJ31" s="3"/>
      <c r="AK31" s="233"/>
      <c r="AL31" s="4"/>
      <c r="AM31" s="3"/>
    </row>
    <row r="32" spans="1:39" ht="12.75" customHeight="1">
      <c r="A32" s="262" t="s">
        <v>185</v>
      </c>
      <c r="B32" s="268"/>
      <c r="C32" s="261"/>
      <c r="D32" s="240"/>
      <c r="E32" s="6">
        <f>SUM(E26:E31)</f>
        <v>6.949872</v>
      </c>
      <c r="F32" s="269">
        <f>IF(E32=0,0,E32/E$47)</f>
        <v>1</v>
      </c>
      <c r="H32" s="6">
        <f>SUM(H26:H31)</f>
        <v>9.3635999999999999</v>
      </c>
      <c r="I32" s="269">
        <f>IF(H32=0,0,H32/H$47)</f>
        <v>1</v>
      </c>
      <c r="K32" s="6">
        <f>SUM(K26:K31)</f>
        <v>10.695311999999999</v>
      </c>
      <c r="L32" s="269">
        <f>IF(K32=0,0,K32/K$47)</f>
        <v>1</v>
      </c>
      <c r="M32" s="233"/>
      <c r="N32" s="6">
        <f>SUM(N26:N31)</f>
        <v>11.017836000000001</v>
      </c>
      <c r="O32" s="269">
        <f>IF(N32=0,0,N32/N$47)</f>
        <v>1</v>
      </c>
      <c r="P32" s="240"/>
      <c r="Q32" s="6">
        <f>SUM(Q26:Q31)</f>
        <v>10.289556000000001</v>
      </c>
      <c r="R32" s="269">
        <f>IF(Q32=0,0,Q32/Q$47)</f>
        <v>1</v>
      </c>
      <c r="S32" s="233"/>
      <c r="T32" s="6">
        <f>SUM(T26:T31)</f>
        <v>11.787732</v>
      </c>
      <c r="U32" s="269">
        <f>IF(T32=0,0,T32/T$47)</f>
        <v>1</v>
      </c>
      <c r="V32" s="233"/>
      <c r="W32" s="6">
        <f>SUM(W26:W31)</f>
        <v>12.110256000000001</v>
      </c>
      <c r="X32" s="269">
        <f>IF(W32=0,0,W32/W$47)</f>
        <v>1</v>
      </c>
      <c r="Y32" s="240"/>
      <c r="Z32" s="6">
        <f>SUM(Z26:Z31)</f>
        <v>11.236320000000003</v>
      </c>
      <c r="AA32" s="269">
        <f>IF(Z32=0,0,Z32/Z$47)</f>
        <v>1</v>
      </c>
      <c r="AB32" s="233"/>
      <c r="AC32" s="6">
        <f>SUM(AC26:AC31)</f>
        <v>12.880152000000001</v>
      </c>
      <c r="AD32" s="269">
        <f>IF(AC32=0,0,AC32/AC$47)</f>
        <v>1</v>
      </c>
      <c r="AE32" s="233"/>
      <c r="AF32" s="6">
        <f>SUM(AF26:AF31)</f>
        <v>13.21308</v>
      </c>
      <c r="AG32" s="269">
        <f>IF(AF32=0,0,AF32/AF$47)</f>
        <v>1</v>
      </c>
      <c r="AH32" s="233"/>
      <c r="AI32" s="6">
        <f>SUM(AI26:AI31)</f>
        <v>11.787732</v>
      </c>
      <c r="AJ32" s="269">
        <f>IF(AI32=0,0,AI32/AI$47)</f>
        <v>1</v>
      </c>
      <c r="AK32" s="233"/>
      <c r="AL32" s="6">
        <f>SUM(AL26:AL31)</f>
        <v>0</v>
      </c>
      <c r="AM32" s="269">
        <f>IF(AL32=0,0,AL32/AL$47)</f>
        <v>0</v>
      </c>
    </row>
    <row r="33" spans="1:39" ht="12.75" customHeight="1">
      <c r="A33" s="259"/>
      <c r="B33" s="268"/>
      <c r="C33" s="261"/>
      <c r="D33" s="240"/>
      <c r="E33" s="7"/>
      <c r="F33" s="3"/>
      <c r="H33" s="7"/>
      <c r="I33" s="3"/>
      <c r="K33" s="7"/>
      <c r="L33" s="3"/>
      <c r="M33" s="233"/>
      <c r="N33" s="7"/>
      <c r="O33" s="3"/>
      <c r="P33" s="240"/>
      <c r="Q33" s="7"/>
      <c r="R33" s="3"/>
      <c r="S33" s="233"/>
      <c r="T33" s="7"/>
      <c r="U33" s="3"/>
      <c r="V33" s="233"/>
      <c r="W33" s="7"/>
      <c r="X33" s="3"/>
      <c r="Y33" s="240"/>
      <c r="Z33" s="7"/>
      <c r="AA33" s="3"/>
      <c r="AB33" s="233"/>
      <c r="AC33" s="7"/>
      <c r="AD33" s="3"/>
      <c r="AE33" s="233"/>
      <c r="AF33" s="7"/>
      <c r="AG33" s="3"/>
      <c r="AH33" s="233"/>
      <c r="AI33" s="7"/>
      <c r="AJ33" s="3"/>
      <c r="AK33" s="233"/>
      <c r="AL33" s="7"/>
      <c r="AM33" s="3"/>
    </row>
    <row r="34" spans="1:39" ht="12.75" customHeight="1">
      <c r="A34" s="259" t="s">
        <v>247</v>
      </c>
      <c r="B34" s="268"/>
      <c r="C34" s="279"/>
      <c r="D34" s="240"/>
      <c r="E34" s="692"/>
      <c r="F34" s="3"/>
      <c r="H34" s="692"/>
      <c r="I34" s="280"/>
      <c r="K34" s="692"/>
      <c r="L34" s="3"/>
      <c r="M34" s="233"/>
      <c r="N34" s="692"/>
      <c r="O34" s="3"/>
      <c r="P34" s="240"/>
      <c r="Q34" s="692"/>
      <c r="R34" s="3"/>
      <c r="S34" s="233"/>
      <c r="T34" s="692"/>
      <c r="U34" s="3"/>
      <c r="V34" s="233"/>
      <c r="W34" s="692"/>
      <c r="X34" s="3"/>
      <c r="Y34" s="240"/>
      <c r="Z34" s="692"/>
      <c r="AA34" s="3"/>
      <c r="AB34" s="233"/>
      <c r="AC34" s="692"/>
      <c r="AD34" s="3"/>
      <c r="AE34" s="233"/>
      <c r="AF34" s="692"/>
      <c r="AG34" s="3"/>
      <c r="AH34" s="233"/>
      <c r="AI34" s="692"/>
      <c r="AJ34" s="3"/>
      <c r="AK34" s="233"/>
      <c r="AL34" s="692"/>
      <c r="AM34" s="3">
        <v>0</v>
      </c>
    </row>
    <row r="35" spans="1:39">
      <c r="A35" s="259" t="s">
        <v>125</v>
      </c>
      <c r="B35" s="268"/>
      <c r="C35" s="279"/>
      <c r="D35" s="240"/>
      <c r="E35" s="692"/>
      <c r="F35" s="3"/>
      <c r="H35" s="692"/>
      <c r="I35" s="280"/>
      <c r="K35" s="692"/>
      <c r="L35" s="3"/>
      <c r="M35" s="233"/>
      <c r="N35" s="692"/>
      <c r="O35" s="3"/>
      <c r="P35" s="240"/>
      <c r="Q35" s="692"/>
      <c r="R35" s="3"/>
      <c r="S35" s="233"/>
      <c r="T35" s="692"/>
      <c r="U35" s="3"/>
      <c r="V35" s="233"/>
      <c r="W35" s="692"/>
      <c r="X35" s="3"/>
      <c r="Y35" s="240"/>
      <c r="Z35" s="692"/>
      <c r="AA35" s="3"/>
      <c r="AB35" s="233"/>
      <c r="AC35" s="692"/>
      <c r="AD35" s="3"/>
      <c r="AE35" s="233"/>
      <c r="AF35" s="692"/>
      <c r="AG35" s="3"/>
      <c r="AH35" s="233"/>
      <c r="AI35" s="692"/>
      <c r="AJ35" s="3"/>
      <c r="AK35" s="233"/>
      <c r="AL35" s="692"/>
      <c r="AM35" s="3">
        <v>0</v>
      </c>
    </row>
    <row r="36" spans="1:39">
      <c r="A36" s="259" t="s">
        <v>95</v>
      </c>
      <c r="B36" s="268"/>
      <c r="C36" s="279"/>
      <c r="D36" s="240"/>
      <c r="E36" s="692"/>
      <c r="F36" s="3"/>
      <c r="H36" s="692"/>
      <c r="I36" s="3"/>
      <c r="K36" s="692"/>
      <c r="L36" s="3"/>
      <c r="M36" s="233"/>
      <c r="N36" s="692"/>
      <c r="O36" s="3"/>
      <c r="P36" s="240"/>
      <c r="Q36" s="692"/>
      <c r="R36" s="3"/>
      <c r="S36" s="233"/>
      <c r="T36" s="692"/>
      <c r="U36" s="3"/>
      <c r="V36" s="233"/>
      <c r="W36" s="692"/>
      <c r="X36" s="3"/>
      <c r="Y36" s="240"/>
      <c r="Z36" s="692"/>
      <c r="AA36" s="3"/>
      <c r="AB36" s="233"/>
      <c r="AC36" s="692"/>
      <c r="AD36" s="3"/>
      <c r="AE36" s="233"/>
      <c r="AF36" s="692"/>
      <c r="AG36" s="3"/>
      <c r="AH36" s="233"/>
      <c r="AI36" s="692"/>
      <c r="AJ36" s="3"/>
      <c r="AK36" s="233"/>
      <c r="AL36" s="692"/>
      <c r="AM36" s="3">
        <v>0</v>
      </c>
    </row>
    <row r="37" spans="1:39">
      <c r="A37" s="259" t="s">
        <v>9</v>
      </c>
      <c r="B37" s="268"/>
      <c r="C37" s="281"/>
      <c r="D37" s="240"/>
      <c r="E37" s="692"/>
      <c r="F37" s="3"/>
      <c r="H37" s="692"/>
      <c r="I37" s="3"/>
      <c r="K37" s="692"/>
      <c r="L37" s="3"/>
      <c r="M37" s="233"/>
      <c r="N37" s="692"/>
      <c r="O37" s="3"/>
      <c r="P37" s="240"/>
      <c r="Q37" s="692"/>
      <c r="R37" s="3"/>
      <c r="S37" s="233"/>
      <c r="T37" s="692"/>
      <c r="U37" s="3"/>
      <c r="V37" s="233"/>
      <c r="W37" s="692"/>
      <c r="X37" s="3"/>
      <c r="Y37" s="240"/>
      <c r="Z37" s="692"/>
      <c r="AA37" s="3"/>
      <c r="AB37" s="233"/>
      <c r="AC37" s="692"/>
      <c r="AD37" s="3"/>
      <c r="AE37" s="233"/>
      <c r="AF37" s="692"/>
      <c r="AG37" s="3"/>
      <c r="AH37" s="233"/>
      <c r="AI37" s="692"/>
      <c r="AJ37" s="3"/>
      <c r="AK37" s="233"/>
      <c r="AL37" s="692"/>
      <c r="AM37" s="3">
        <v>0</v>
      </c>
    </row>
    <row r="38" spans="1:39">
      <c r="A38" s="259" t="s">
        <v>119</v>
      </c>
      <c r="B38" s="268"/>
      <c r="C38" s="279"/>
      <c r="D38" s="240"/>
      <c r="E38" s="692"/>
      <c r="F38" s="3"/>
      <c r="H38" s="692"/>
      <c r="I38" s="3"/>
      <c r="K38" s="692"/>
      <c r="L38" s="3"/>
      <c r="M38" s="233"/>
      <c r="N38" s="692"/>
      <c r="O38" s="3"/>
      <c r="P38" s="240"/>
      <c r="Q38" s="692"/>
      <c r="R38" s="3"/>
      <c r="S38" s="233"/>
      <c r="T38" s="692"/>
      <c r="U38" s="3"/>
      <c r="V38" s="233"/>
      <c r="W38" s="692"/>
      <c r="X38" s="3"/>
      <c r="Y38" s="240"/>
      <c r="Z38" s="692"/>
      <c r="AA38" s="3"/>
      <c r="AB38" s="233"/>
      <c r="AC38" s="692"/>
      <c r="AD38" s="3"/>
      <c r="AE38" s="233"/>
      <c r="AF38" s="692"/>
      <c r="AG38" s="3"/>
      <c r="AH38" s="233"/>
      <c r="AI38" s="692"/>
      <c r="AJ38" s="3"/>
      <c r="AK38" s="233"/>
      <c r="AL38" s="692"/>
      <c r="AM38" s="3">
        <v>0</v>
      </c>
    </row>
    <row r="39" spans="1:39">
      <c r="A39" s="259" t="s">
        <v>113</v>
      </c>
      <c r="B39" s="268"/>
      <c r="C39" s="281"/>
      <c r="D39" s="240"/>
      <c r="E39" s="692"/>
      <c r="F39" s="3"/>
      <c r="H39" s="692"/>
      <c r="I39" s="3"/>
      <c r="K39" s="692"/>
      <c r="L39" s="3"/>
      <c r="M39" s="233"/>
      <c r="N39" s="692"/>
      <c r="O39" s="3"/>
      <c r="P39" s="240"/>
      <c r="Q39" s="692"/>
      <c r="R39" s="3"/>
      <c r="S39" s="233"/>
      <c r="T39" s="692"/>
      <c r="U39" s="3"/>
      <c r="V39" s="233"/>
      <c r="W39" s="692"/>
      <c r="X39" s="3"/>
      <c r="Y39" s="240"/>
      <c r="Z39" s="692"/>
      <c r="AA39" s="3"/>
      <c r="AB39" s="233"/>
      <c r="AC39" s="692"/>
      <c r="AD39" s="3"/>
      <c r="AE39" s="233"/>
      <c r="AF39" s="692"/>
      <c r="AG39" s="3"/>
      <c r="AH39" s="233"/>
      <c r="AI39" s="692"/>
      <c r="AJ39" s="3"/>
      <c r="AK39" s="233"/>
      <c r="AL39" s="692"/>
      <c r="AM39" s="3">
        <v>0</v>
      </c>
    </row>
    <row r="40" spans="1:39">
      <c r="A40" s="259" t="s">
        <v>222</v>
      </c>
      <c r="B40" s="268"/>
      <c r="C40" s="257" t="s">
        <v>213</v>
      </c>
      <c r="D40" s="240"/>
      <c r="E40" s="692"/>
      <c r="F40" s="3"/>
      <c r="H40" s="692"/>
      <c r="I40" s="3"/>
      <c r="K40" s="692"/>
      <c r="L40" s="3"/>
      <c r="M40" s="233"/>
      <c r="N40" s="692"/>
      <c r="O40" s="3"/>
      <c r="P40" s="240"/>
      <c r="Q40" s="692"/>
      <c r="R40" s="3"/>
      <c r="S40" s="233"/>
      <c r="T40" s="692"/>
      <c r="U40" s="3"/>
      <c r="V40" s="233"/>
      <c r="W40" s="692"/>
      <c r="X40" s="3"/>
      <c r="Y40" s="240"/>
      <c r="Z40" s="692"/>
      <c r="AA40" s="3"/>
      <c r="AB40" s="233"/>
      <c r="AC40" s="692"/>
      <c r="AD40" s="3"/>
      <c r="AE40" s="233"/>
      <c r="AF40" s="692"/>
      <c r="AG40" s="3"/>
      <c r="AH40" s="233"/>
      <c r="AI40" s="692"/>
      <c r="AJ40" s="3"/>
      <c r="AK40" s="233"/>
      <c r="AL40" s="692"/>
      <c r="AM40" s="3">
        <v>0</v>
      </c>
    </row>
    <row r="41" spans="1:39">
      <c r="A41" s="259" t="s">
        <v>273</v>
      </c>
      <c r="B41" s="268"/>
      <c r="C41" s="257"/>
      <c r="D41" s="240"/>
      <c r="E41" s="692"/>
      <c r="F41" s="3"/>
      <c r="H41" s="692"/>
      <c r="I41" s="3"/>
      <c r="K41" s="692"/>
      <c r="L41" s="3"/>
      <c r="M41" s="233"/>
      <c r="N41" s="692"/>
      <c r="O41" s="3"/>
      <c r="P41" s="240"/>
      <c r="Q41" s="692"/>
      <c r="R41" s="3"/>
      <c r="S41" s="233"/>
      <c r="T41" s="692"/>
      <c r="U41" s="3"/>
      <c r="V41" s="233"/>
      <c r="W41" s="692"/>
      <c r="X41" s="3"/>
      <c r="Y41" s="240"/>
      <c r="Z41" s="692"/>
      <c r="AA41" s="3"/>
      <c r="AB41" s="233"/>
      <c r="AC41" s="692"/>
      <c r="AD41" s="3"/>
      <c r="AE41" s="233"/>
      <c r="AF41" s="692"/>
      <c r="AG41" s="3"/>
      <c r="AH41" s="233"/>
      <c r="AI41" s="692"/>
      <c r="AJ41" s="3"/>
      <c r="AK41" s="233"/>
      <c r="AL41" s="692"/>
      <c r="AM41" s="3">
        <v>0</v>
      </c>
    </row>
    <row r="42" spans="1:39">
      <c r="A42" s="278"/>
      <c r="B42" s="268"/>
      <c r="C42" s="281"/>
      <c r="D42" s="240"/>
      <c r="E42" s="692"/>
      <c r="F42" s="3"/>
      <c r="H42" s="692"/>
      <c r="I42" s="3"/>
      <c r="K42" s="692"/>
      <c r="L42" s="3"/>
      <c r="M42" s="233"/>
      <c r="N42" s="692"/>
      <c r="O42" s="3"/>
      <c r="P42" s="240"/>
      <c r="Q42" s="692"/>
      <c r="R42" s="3"/>
      <c r="S42" s="233"/>
      <c r="T42" s="692"/>
      <c r="U42" s="3"/>
      <c r="V42" s="233"/>
      <c r="W42" s="692"/>
      <c r="X42" s="3"/>
      <c r="Y42" s="240"/>
      <c r="Z42" s="692"/>
      <c r="AA42" s="3"/>
      <c r="AB42" s="233"/>
      <c r="AC42" s="692"/>
      <c r="AD42" s="3"/>
      <c r="AE42" s="233"/>
      <c r="AF42" s="692"/>
      <c r="AG42" s="3"/>
      <c r="AH42" s="233"/>
      <c r="AI42" s="692"/>
      <c r="AJ42" s="3"/>
      <c r="AK42" s="233"/>
      <c r="AL42" s="692"/>
      <c r="AM42" s="3"/>
    </row>
    <row r="43" spans="1:39">
      <c r="A43" s="262" t="s">
        <v>226</v>
      </c>
      <c r="B43" s="268"/>
      <c r="C43" s="261"/>
      <c r="D43" s="240"/>
      <c r="E43" s="6">
        <f>SUM(E32:E42)</f>
        <v>6.949872</v>
      </c>
      <c r="F43" s="269">
        <f>IF(E43=0,0,E43/E$47)</f>
        <v>1</v>
      </c>
      <c r="H43" s="6">
        <f>SUM(H32:H42)</f>
        <v>9.3635999999999999</v>
      </c>
      <c r="I43" s="269">
        <f>IF(H43=0,0,H43/H$47)</f>
        <v>1</v>
      </c>
      <c r="K43" s="6">
        <f>SUM(K32:K42)</f>
        <v>10.695311999999999</v>
      </c>
      <c r="L43" s="269">
        <f>IF(K43=0,0,K43/K$47)</f>
        <v>1</v>
      </c>
      <c r="M43" s="233"/>
      <c r="N43" s="6">
        <f>SUM(N32:N42)</f>
        <v>11.017836000000001</v>
      </c>
      <c r="O43" s="269">
        <f>IF(N43=0,0,N43/N$47)</f>
        <v>1</v>
      </c>
      <c r="P43" s="240"/>
      <c r="Q43" s="6">
        <f>SUM(Q32:Q42)</f>
        <v>10.289556000000001</v>
      </c>
      <c r="R43" s="269">
        <f>IF(Q43=0,0,Q43/Q$47)</f>
        <v>1</v>
      </c>
      <c r="S43" s="233"/>
      <c r="T43" s="6">
        <f>SUM(T32:T42)</f>
        <v>11.787732</v>
      </c>
      <c r="U43" s="269">
        <f>IF(T43=0,0,T43/T$47)</f>
        <v>1</v>
      </c>
      <c r="V43" s="233"/>
      <c r="W43" s="6">
        <f>SUM(W32:W42)</f>
        <v>12.110256000000001</v>
      </c>
      <c r="X43" s="269">
        <f>IF(W43=0,0,W43/W$47)</f>
        <v>1</v>
      </c>
      <c r="Y43" s="240"/>
      <c r="Z43" s="6">
        <f>SUM(Z32:Z42)</f>
        <v>11.236320000000003</v>
      </c>
      <c r="AA43" s="269">
        <f>IF(Z43=0,0,Z43/Z$47)</f>
        <v>1</v>
      </c>
      <c r="AB43" s="233"/>
      <c r="AC43" s="6">
        <f>SUM(AC32:AC42)</f>
        <v>12.880152000000001</v>
      </c>
      <c r="AD43" s="269">
        <f>IF(AC43=0,0,AC43/AC$47)</f>
        <v>1</v>
      </c>
      <c r="AE43" s="233"/>
      <c r="AF43" s="6">
        <f>SUM(AF32:AF42)</f>
        <v>13.21308</v>
      </c>
      <c r="AG43" s="269">
        <f>IF(AF43=0,0,AF43/AF$47)</f>
        <v>1</v>
      </c>
      <c r="AH43" s="233"/>
      <c r="AI43" s="6">
        <f>SUM(AI32:AI42)</f>
        <v>11.787732</v>
      </c>
      <c r="AJ43" s="269">
        <f>IF(AI43=0,0,AI43/AI$47)</f>
        <v>1</v>
      </c>
      <c r="AK43" s="233"/>
      <c r="AL43" s="6">
        <f>SUM(AL32:AL42)</f>
        <v>0</v>
      </c>
      <c r="AM43" s="269">
        <f>IF(AL43=0,0,AL43/AL$47)</f>
        <v>0</v>
      </c>
    </row>
    <row r="44" spans="1:39">
      <c r="A44" s="259"/>
      <c r="B44" s="268"/>
      <c r="C44" s="261"/>
      <c r="D44" s="240"/>
      <c r="E44" s="7"/>
      <c r="F44" s="282"/>
      <c r="H44" s="7"/>
      <c r="I44" s="282"/>
      <c r="K44" s="7"/>
      <c r="L44" s="283"/>
      <c r="M44" s="233"/>
      <c r="N44" s="7"/>
      <c r="O44" s="282"/>
      <c r="P44" s="240"/>
      <c r="Q44" s="7"/>
      <c r="R44" s="282"/>
      <c r="S44" s="233"/>
      <c r="T44" s="7"/>
      <c r="U44" s="282"/>
      <c r="V44" s="233"/>
      <c r="W44" s="7"/>
      <c r="X44" s="282"/>
      <c r="Y44" s="240"/>
      <c r="Z44" s="7"/>
      <c r="AA44" s="282"/>
      <c r="AB44" s="233"/>
      <c r="AC44" s="7"/>
      <c r="AD44" s="282"/>
      <c r="AE44" s="233"/>
      <c r="AF44" s="7"/>
      <c r="AG44" s="282"/>
      <c r="AH44" s="233"/>
      <c r="AI44" s="7"/>
      <c r="AJ44" s="283"/>
      <c r="AK44" s="233"/>
      <c r="AL44" s="7"/>
      <c r="AM44" s="282"/>
    </row>
    <row r="45" spans="1:39">
      <c r="A45" s="259" t="s">
        <v>227</v>
      </c>
      <c r="B45" s="268"/>
      <c r="C45" s="281"/>
      <c r="D45" s="240"/>
      <c r="E45" s="2"/>
      <c r="F45" s="269">
        <f>(IF(E45=0,0,E45/E$47))</f>
        <v>0</v>
      </c>
      <c r="G45" s="37">
        <v>0</v>
      </c>
      <c r="H45" s="2"/>
      <c r="I45" s="269">
        <f>(IF(H45=0,0,H45/H$47))</f>
        <v>0</v>
      </c>
      <c r="J45" s="37">
        <v>0</v>
      </c>
      <c r="K45" s="2"/>
      <c r="L45" s="269">
        <f>IF(K45=0,0,K45/K$47)</f>
        <v>0</v>
      </c>
      <c r="M45" s="233"/>
      <c r="N45" s="2"/>
      <c r="O45" s="269">
        <f>(IF(N45=0,0,N45/N$47))</f>
        <v>0</v>
      </c>
      <c r="P45" s="240"/>
      <c r="Q45" s="2"/>
      <c r="R45" s="269">
        <f>(IF(Q45=0,0,Q45/Q$47))</f>
        <v>0</v>
      </c>
      <c r="S45" s="233"/>
      <c r="T45" s="2"/>
      <c r="U45" s="269">
        <f>(IF(T45=0,0,T45/T$47))</f>
        <v>0</v>
      </c>
      <c r="V45" s="233"/>
      <c r="W45" s="2"/>
      <c r="X45" s="269">
        <f>(IF(W45=0,0,W45/W$47))</f>
        <v>0</v>
      </c>
      <c r="Y45" s="240"/>
      <c r="Z45" s="2"/>
      <c r="AA45" s="269">
        <f>(IF(Z45=0,0,Z45/Z$47))</f>
        <v>0</v>
      </c>
      <c r="AB45" s="233"/>
      <c r="AC45" s="2"/>
      <c r="AD45" s="269">
        <f>(IF(AC45=0,0,AC45/AC$47))</f>
        <v>0</v>
      </c>
      <c r="AE45" s="233"/>
      <c r="AF45" s="2"/>
      <c r="AG45" s="269">
        <f>(IF(AF45=0,0,AF45/AF$47))</f>
        <v>0</v>
      </c>
      <c r="AH45" s="233"/>
      <c r="AI45" s="2"/>
      <c r="AJ45" s="269">
        <f>(IF(AI45=0,0,AI45/AI$47))</f>
        <v>0</v>
      </c>
      <c r="AK45" s="233"/>
      <c r="AL45" s="2"/>
      <c r="AM45" s="269">
        <f>(IF(AL45=0,0,AL45/AL$47))</f>
        <v>0</v>
      </c>
    </row>
    <row r="46" spans="1:39">
      <c r="A46" s="259"/>
      <c r="B46" s="260"/>
      <c r="C46" s="261"/>
      <c r="D46" s="240"/>
      <c r="E46" s="7"/>
      <c r="F46" s="3"/>
      <c r="H46" s="7"/>
      <c r="I46" s="3"/>
      <c r="K46" s="8"/>
      <c r="L46" s="3"/>
      <c r="M46" s="233"/>
      <c r="N46" s="8"/>
      <c r="O46" s="3"/>
      <c r="P46" s="240"/>
      <c r="Q46" s="7"/>
      <c r="R46" s="3"/>
      <c r="S46" s="233"/>
      <c r="T46" s="8"/>
      <c r="U46" s="3"/>
      <c r="V46" s="233"/>
      <c r="W46" s="8"/>
      <c r="X46" s="3"/>
      <c r="Y46" s="240"/>
      <c r="Z46" s="7"/>
      <c r="AA46" s="3"/>
      <c r="AB46" s="233"/>
      <c r="AC46" s="8"/>
      <c r="AD46" s="3"/>
      <c r="AE46" s="233"/>
      <c r="AF46" s="8"/>
      <c r="AG46" s="3"/>
      <c r="AH46" s="233"/>
      <c r="AI46" s="8"/>
      <c r="AJ46" s="3"/>
      <c r="AK46" s="233"/>
      <c r="AL46" s="8"/>
      <c r="AM46" s="3"/>
    </row>
    <row r="47" spans="1:39">
      <c r="A47" s="262" t="s">
        <v>163</v>
      </c>
      <c r="B47" s="284"/>
      <c r="C47" s="285"/>
      <c r="D47" s="240"/>
      <c r="E47" s="9">
        <f>SUM(E43:E46)</f>
        <v>6.949872</v>
      </c>
      <c r="F47" s="286">
        <f>SUM(F43:F46)</f>
        <v>1</v>
      </c>
      <c r="H47" s="9">
        <f>SUM(H43:H46)</f>
        <v>9.3635999999999999</v>
      </c>
      <c r="I47" s="286">
        <f>SUM(I43:I46)</f>
        <v>1</v>
      </c>
      <c r="K47" s="9">
        <f>SUM(K43:K46)</f>
        <v>10.695311999999999</v>
      </c>
      <c r="L47" s="286">
        <f>SUM(L43:L46)</f>
        <v>1</v>
      </c>
      <c r="M47" s="233"/>
      <c r="N47" s="9">
        <f>SUM(N43:N46)</f>
        <v>11.017836000000001</v>
      </c>
      <c r="O47" s="286">
        <f>SUM(O43:O46)</f>
        <v>1</v>
      </c>
      <c r="P47" s="240"/>
      <c r="Q47" s="9">
        <f>SUM(Q43:Q46)</f>
        <v>10.289556000000001</v>
      </c>
      <c r="R47" s="286">
        <f>SUM(R43:R46)</f>
        <v>1</v>
      </c>
      <c r="S47" s="233"/>
      <c r="T47" s="9">
        <f>SUM(T43:T46)</f>
        <v>11.787732</v>
      </c>
      <c r="U47" s="286">
        <f>SUM(U43:U46)</f>
        <v>1</v>
      </c>
      <c r="V47" s="233"/>
      <c r="W47" s="9">
        <f>SUM(W43:W46)</f>
        <v>12.110256000000001</v>
      </c>
      <c r="X47" s="286">
        <f>SUM(X43:X46)</f>
        <v>1</v>
      </c>
      <c r="Y47" s="240"/>
      <c r="Z47" s="9">
        <f>SUM(Z43:Z46)</f>
        <v>11.236320000000003</v>
      </c>
      <c r="AA47" s="286">
        <f>SUM(AA43:AA46)</f>
        <v>1</v>
      </c>
      <c r="AB47" s="233"/>
      <c r="AC47" s="9">
        <f>SUM(AC43:AC46)</f>
        <v>12.880152000000001</v>
      </c>
      <c r="AD47" s="286">
        <f>SUM(AD43:AD46)</f>
        <v>1</v>
      </c>
      <c r="AE47" s="233"/>
      <c r="AF47" s="9">
        <f>SUM(AF43:AF46)</f>
        <v>13.21308</v>
      </c>
      <c r="AG47" s="286">
        <f>SUM(AG43:AG46)</f>
        <v>1</v>
      </c>
      <c r="AH47" s="233"/>
      <c r="AI47" s="9">
        <f>SUM(AI43:AI46)</f>
        <v>11.787732</v>
      </c>
      <c r="AJ47" s="286">
        <f>SUM(AJ43:AJ46)</f>
        <v>1</v>
      </c>
      <c r="AK47" s="233"/>
      <c r="AL47" s="9">
        <f>SUM(AL43:AL46)</f>
        <v>0</v>
      </c>
      <c r="AM47" s="286">
        <f>SUM(AM43:AM46)</f>
        <v>0</v>
      </c>
    </row>
    <row r="48" spans="1:39">
      <c r="A48" s="287"/>
      <c r="B48" s="288"/>
      <c r="C48" s="289"/>
      <c r="D48" s="240"/>
      <c r="E48" s="10"/>
      <c r="F48" s="11"/>
      <c r="H48" s="10"/>
      <c r="I48" s="11"/>
      <c r="K48" s="10"/>
      <c r="L48" s="11"/>
      <c r="M48" s="233"/>
      <c r="N48" s="10"/>
      <c r="O48" s="11"/>
      <c r="P48" s="240"/>
      <c r="Q48" s="10"/>
      <c r="R48" s="11"/>
      <c r="S48" s="233"/>
      <c r="T48" s="10"/>
      <c r="U48" s="11"/>
      <c r="V48" s="233"/>
      <c r="W48" s="10"/>
      <c r="X48" s="11"/>
      <c r="Y48" s="240"/>
      <c r="Z48" s="10"/>
      <c r="AA48" s="11"/>
      <c r="AB48" s="233"/>
      <c r="AC48" s="10"/>
      <c r="AD48" s="11"/>
      <c r="AE48" s="233"/>
      <c r="AF48" s="10"/>
      <c r="AG48" s="11"/>
      <c r="AH48" s="233"/>
      <c r="AI48" s="10"/>
      <c r="AJ48" s="11"/>
      <c r="AK48" s="233"/>
      <c r="AL48" s="10"/>
      <c r="AM48" s="11"/>
    </row>
    <row r="49" spans="1:39" s="228" customFormat="1">
      <c r="A49" s="290" t="s">
        <v>176</v>
      </c>
      <c r="B49" s="291"/>
      <c r="C49" s="292"/>
      <c r="E49" s="12">
        <f>(E$26*1.5)+E$53</f>
        <v>10.424808000000001</v>
      </c>
      <c r="F49" s="13"/>
      <c r="H49" s="12">
        <f>(H$26*1.5)+H$53</f>
        <v>14.045400000000001</v>
      </c>
      <c r="I49" s="13"/>
      <c r="K49" s="12">
        <f>(K$26*1.5)+K$53</f>
        <v>16.042967999999998</v>
      </c>
      <c r="L49" s="13"/>
      <c r="M49" s="273"/>
      <c r="N49" s="12">
        <f>(N$26*1.5)+N$53</f>
        <v>16.526754</v>
      </c>
      <c r="O49" s="13"/>
      <c r="Q49" s="12">
        <f>(Q$26*1.5)+Q$53</f>
        <v>15.434334000000002</v>
      </c>
      <c r="R49" s="13"/>
      <c r="S49" s="273"/>
      <c r="T49" s="12">
        <f>(T$26*1.5)+T$53</f>
        <v>17.681598000000001</v>
      </c>
      <c r="U49" s="13"/>
      <c r="V49" s="273"/>
      <c r="W49" s="12">
        <f>(W$26*1.5)+W$53</f>
        <v>18.165384000000003</v>
      </c>
      <c r="X49" s="13"/>
      <c r="Z49" s="12">
        <f>(Z$26*1.5)+Z$53</f>
        <v>16.854480000000002</v>
      </c>
      <c r="AA49" s="13"/>
      <c r="AB49" s="273"/>
      <c r="AC49" s="12">
        <f>(AC$26*1.5)+AC$53</f>
        <v>19.320228</v>
      </c>
      <c r="AD49" s="13"/>
      <c r="AE49" s="273"/>
      <c r="AF49" s="12">
        <f>(AF$26*1.5)+AF$53</f>
        <v>19.81962</v>
      </c>
      <c r="AG49" s="13"/>
      <c r="AH49" s="273"/>
      <c r="AI49" s="12">
        <f>(AI$26*1.5)+AI$53</f>
        <v>17.681598000000001</v>
      </c>
      <c r="AJ49" s="13"/>
      <c r="AK49" s="273"/>
      <c r="AL49" s="12">
        <f>(AL$26*1.5)+AL$53</f>
        <v>0</v>
      </c>
      <c r="AM49" s="13"/>
    </row>
    <row r="50" spans="1:39" s="228" customFormat="1">
      <c r="A50" s="14"/>
      <c r="B50" s="293"/>
      <c r="C50" s="294"/>
      <c r="E50" s="14"/>
      <c r="F50" s="14"/>
      <c r="H50" s="14"/>
      <c r="I50" s="14"/>
      <c r="K50" s="14"/>
      <c r="L50" s="14"/>
      <c r="M50" s="273"/>
      <c r="N50" s="14"/>
      <c r="O50" s="14"/>
      <c r="Q50" s="14"/>
      <c r="R50" s="14"/>
      <c r="S50" s="273"/>
      <c r="T50" s="14"/>
      <c r="U50" s="14"/>
      <c r="V50" s="273"/>
      <c r="W50" s="14"/>
      <c r="X50" s="14"/>
      <c r="Z50" s="14"/>
      <c r="AA50" s="14"/>
      <c r="AB50" s="273"/>
      <c r="AC50" s="14"/>
      <c r="AD50" s="14"/>
      <c r="AE50" s="273"/>
      <c r="AF50" s="14"/>
      <c r="AG50" s="14"/>
      <c r="AH50" s="273"/>
      <c r="AI50" s="14"/>
      <c r="AJ50" s="14"/>
      <c r="AK50" s="273"/>
      <c r="AL50" s="14"/>
      <c r="AM50" s="14"/>
    </row>
    <row r="51" spans="1:39" s="228" customFormat="1">
      <c r="A51" s="290" t="s">
        <v>263</v>
      </c>
      <c r="B51" s="291"/>
      <c r="C51" s="292"/>
      <c r="E51" s="12">
        <f>(E$26*2.5)+E$53</f>
        <v>17.374680000000001</v>
      </c>
      <c r="F51" s="15"/>
      <c r="H51" s="12">
        <f>(H$26*2.5)+H$53</f>
        <v>23.408999999999999</v>
      </c>
      <c r="I51" s="15"/>
      <c r="K51" s="12">
        <f>(K$26*2.5)+K$53</f>
        <v>26.73828</v>
      </c>
      <c r="L51" s="15"/>
      <c r="M51" s="273"/>
      <c r="N51" s="12">
        <f>(N$26*2.5)+N$53</f>
        <v>27.544590000000003</v>
      </c>
      <c r="O51" s="15"/>
      <c r="Q51" s="12">
        <f>(Q$26*2.5)+Q$53</f>
        <v>25.723890000000004</v>
      </c>
      <c r="R51" s="15"/>
      <c r="S51" s="273"/>
      <c r="T51" s="12">
        <f>(T$26*2.5)+T$53</f>
        <v>29.469329999999999</v>
      </c>
      <c r="U51" s="15"/>
      <c r="V51" s="273"/>
      <c r="W51" s="12">
        <f>(W$26*2.5)+W$53</f>
        <v>30.275640000000003</v>
      </c>
      <c r="X51" s="15"/>
      <c r="Z51" s="12">
        <f>(Z$26*2.5)+Z$53</f>
        <v>28.090800000000009</v>
      </c>
      <c r="AA51" s="15"/>
      <c r="AB51" s="273"/>
      <c r="AC51" s="12">
        <f>(AC$26*2.5)+AC$53</f>
        <v>32.200380000000003</v>
      </c>
      <c r="AD51" s="15"/>
      <c r="AE51" s="273"/>
      <c r="AF51" s="12">
        <f>(AF$26*2.5)+AF$53</f>
        <v>33.032699999999998</v>
      </c>
      <c r="AG51" s="15"/>
      <c r="AH51" s="273"/>
      <c r="AI51" s="12">
        <f>(AI$26*2.5)+AI$53</f>
        <v>29.469329999999999</v>
      </c>
      <c r="AJ51" s="15"/>
      <c r="AK51" s="273"/>
      <c r="AL51" s="12">
        <f>(AL$26*2.5)+AL$53</f>
        <v>0</v>
      </c>
      <c r="AM51" s="15"/>
    </row>
    <row r="52" spans="1:39" s="16" customFormat="1">
      <c r="B52" s="295"/>
      <c r="C52" s="296"/>
      <c r="F52" s="17"/>
      <c r="I52" s="17"/>
      <c r="L52" s="297"/>
      <c r="O52" s="17"/>
      <c r="R52" s="17"/>
      <c r="U52" s="17"/>
      <c r="X52" s="17"/>
      <c r="AA52" s="17"/>
      <c r="AD52" s="17"/>
      <c r="AG52" s="17"/>
      <c r="AI52" s="228"/>
      <c r="AJ52" s="297"/>
      <c r="AM52" s="17"/>
    </row>
    <row r="53" spans="1:39" s="16" customFormat="1">
      <c r="A53" s="19" t="s">
        <v>220</v>
      </c>
      <c r="B53" s="298"/>
      <c r="C53" s="299"/>
      <c r="D53" s="18"/>
      <c r="E53" s="18">
        <f>E47-E26</f>
        <v>0</v>
      </c>
      <c r="F53" s="19"/>
      <c r="H53" s="18">
        <f>H47-H26</f>
        <v>0</v>
      </c>
      <c r="I53" s="19"/>
      <c r="K53" s="18">
        <f>K47-K26</f>
        <v>0</v>
      </c>
      <c r="L53" s="15"/>
      <c r="M53" s="18"/>
      <c r="N53" s="18">
        <f>N47-N26</f>
        <v>0</v>
      </c>
      <c r="O53" s="19"/>
      <c r="P53" s="18"/>
      <c r="Q53" s="18">
        <f>Q47-Q26</f>
        <v>0</v>
      </c>
      <c r="R53" s="19"/>
      <c r="S53" s="18"/>
      <c r="T53" s="18">
        <f>T47-T26</f>
        <v>0</v>
      </c>
      <c r="U53" s="19"/>
      <c r="V53" s="18"/>
      <c r="W53" s="18">
        <f>W47-W26</f>
        <v>0</v>
      </c>
      <c r="X53" s="19"/>
      <c r="Y53" s="18"/>
      <c r="Z53" s="18">
        <f>Z47-Z26</f>
        <v>0</v>
      </c>
      <c r="AA53" s="19"/>
      <c r="AB53" s="18"/>
      <c r="AC53" s="18">
        <f>AC47-AC26</f>
        <v>0</v>
      </c>
      <c r="AD53" s="19"/>
      <c r="AE53" s="18"/>
      <c r="AF53" s="18">
        <f>AF47-AF26</f>
        <v>0</v>
      </c>
      <c r="AG53" s="19"/>
      <c r="AH53" s="18"/>
      <c r="AI53" s="13">
        <f>AI47-AI26</f>
        <v>0</v>
      </c>
      <c r="AJ53" s="15"/>
      <c r="AK53" s="18"/>
      <c r="AL53" s="18">
        <f>AL47-AL26</f>
        <v>0</v>
      </c>
      <c r="AM53" s="19"/>
    </row>
    <row r="54" spans="1:39" s="16" customFormat="1">
      <c r="B54" s="295"/>
      <c r="C54" s="296"/>
      <c r="F54" s="17"/>
      <c r="I54" s="17"/>
      <c r="L54" s="297"/>
      <c r="O54" s="17"/>
      <c r="R54" s="17"/>
      <c r="U54" s="17"/>
      <c r="X54" s="17"/>
      <c r="AA54" s="17"/>
      <c r="AD54" s="17"/>
      <c r="AG54" s="17"/>
      <c r="AI54" s="228"/>
      <c r="AJ54" s="297"/>
    </row>
    <row r="55" spans="1:39" s="16" customFormat="1">
      <c r="B55" s="295"/>
      <c r="C55" s="296"/>
      <c r="F55" s="17"/>
      <c r="I55" s="17"/>
      <c r="L55" s="297"/>
      <c r="O55" s="17"/>
      <c r="R55" s="17"/>
      <c r="U55" s="17"/>
      <c r="X55" s="17"/>
      <c r="AA55" s="17"/>
      <c r="AD55" s="17"/>
      <c r="AG55" s="17"/>
      <c r="AI55" s="228"/>
      <c r="AJ55" s="297"/>
    </row>
    <row r="56" spans="1:39" s="16" customFormat="1">
      <c r="B56" s="295"/>
      <c r="C56" s="296"/>
      <c r="F56" s="17"/>
      <c r="I56" s="17"/>
      <c r="K56" s="300"/>
      <c r="L56" s="297"/>
      <c r="O56" s="17"/>
      <c r="R56" s="17"/>
      <c r="U56" s="17"/>
      <c r="X56" s="17"/>
      <c r="AA56" s="17"/>
      <c r="AD56" s="17"/>
      <c r="AG56" s="17"/>
      <c r="AI56" s="228"/>
      <c r="AJ56" s="297"/>
    </row>
    <row r="57" spans="1:39" s="16" customFormat="1">
      <c r="C57" s="299"/>
      <c r="F57" s="17"/>
      <c r="I57" s="17"/>
      <c r="L57" s="297"/>
      <c r="O57" s="17"/>
      <c r="R57" s="17"/>
      <c r="U57" s="17"/>
      <c r="X57" s="17"/>
      <c r="AA57" s="17"/>
      <c r="AD57" s="17"/>
      <c r="AG57" s="17"/>
      <c r="AI57" s="228"/>
      <c r="AJ57" s="297"/>
    </row>
    <row r="58" spans="1:39" s="16" customFormat="1">
      <c r="C58" s="299"/>
      <c r="F58" s="17"/>
      <c r="I58" s="17"/>
      <c r="L58" s="297"/>
      <c r="O58" s="17"/>
      <c r="R58" s="17"/>
      <c r="U58" s="17"/>
      <c r="X58" s="17"/>
      <c r="AA58" s="17"/>
      <c r="AD58" s="17"/>
      <c r="AG58" s="17"/>
      <c r="AI58" s="228"/>
      <c r="AJ58" s="297"/>
    </row>
    <row r="59" spans="1:39" s="16" customFormat="1">
      <c r="A59" s="83"/>
      <c r="C59" s="299"/>
      <c r="F59" s="17"/>
      <c r="I59" s="17"/>
      <c r="L59" s="297"/>
      <c r="O59" s="17"/>
      <c r="R59" s="17"/>
      <c r="U59" s="17"/>
      <c r="X59" s="17"/>
      <c r="AA59" s="17"/>
      <c r="AD59" s="17"/>
      <c r="AG59" s="17"/>
      <c r="AI59" s="228"/>
      <c r="AJ59" s="297"/>
    </row>
    <row r="60" spans="1:39" s="16" customFormat="1">
      <c r="C60" s="299"/>
      <c r="F60" s="17"/>
      <c r="I60" s="17"/>
      <c r="L60" s="297"/>
      <c r="O60" s="17"/>
      <c r="R60" s="17"/>
      <c r="U60" s="17"/>
      <c r="X60" s="17"/>
      <c r="AA60" s="17"/>
      <c r="AD60" s="17"/>
      <c r="AG60" s="17"/>
      <c r="AI60" s="228"/>
      <c r="AJ60" s="297"/>
    </row>
    <row r="61" spans="1:39" s="16" customFormat="1">
      <c r="C61" s="299"/>
      <c r="F61" s="17"/>
      <c r="I61" s="17"/>
      <c r="L61" s="297"/>
      <c r="O61" s="17"/>
      <c r="R61" s="17"/>
      <c r="U61" s="17"/>
      <c r="X61" s="17"/>
      <c r="AA61" s="17"/>
      <c r="AD61" s="17"/>
      <c r="AG61" s="17"/>
      <c r="AI61" s="228"/>
      <c r="AJ61" s="297"/>
    </row>
    <row r="62" spans="1:39" s="16" customFormat="1">
      <c r="C62" s="299"/>
      <c r="F62" s="17"/>
      <c r="I62" s="17"/>
      <c r="L62" s="297"/>
      <c r="O62" s="17"/>
      <c r="R62" s="17"/>
      <c r="U62" s="17"/>
      <c r="X62" s="17"/>
      <c r="AA62" s="17"/>
      <c r="AD62" s="17"/>
      <c r="AG62" s="17"/>
      <c r="AI62" s="228"/>
      <c r="AJ62" s="297"/>
    </row>
    <row r="63" spans="1:39" s="16" customFormat="1">
      <c r="C63" s="299"/>
      <c r="F63" s="17"/>
      <c r="I63" s="17"/>
      <c r="L63" s="297"/>
      <c r="O63" s="17"/>
      <c r="R63" s="17"/>
      <c r="U63" s="17"/>
      <c r="X63" s="17"/>
      <c r="AA63" s="17"/>
      <c r="AD63" s="17"/>
      <c r="AG63" s="17"/>
      <c r="AI63" s="228"/>
      <c r="AJ63" s="297"/>
    </row>
    <row r="64" spans="1:39" s="16" customFormat="1">
      <c r="C64" s="299"/>
      <c r="F64" s="17"/>
      <c r="I64" s="17"/>
      <c r="L64" s="297"/>
      <c r="O64" s="17"/>
      <c r="R64" s="17"/>
      <c r="U64" s="17"/>
      <c r="X64" s="17"/>
      <c r="AA64" s="17"/>
      <c r="AD64" s="17"/>
      <c r="AG64" s="17"/>
      <c r="AI64" s="228"/>
      <c r="AJ64" s="297"/>
    </row>
    <row r="65" spans="3:36" s="16" customFormat="1">
      <c r="C65" s="299"/>
      <c r="F65" s="17"/>
      <c r="I65" s="17"/>
      <c r="L65" s="297"/>
      <c r="O65" s="17"/>
      <c r="R65" s="17"/>
      <c r="U65" s="17"/>
      <c r="X65" s="17"/>
      <c r="AA65" s="17"/>
      <c r="AD65" s="17"/>
      <c r="AG65" s="17"/>
      <c r="AI65" s="228"/>
      <c r="AJ65" s="297"/>
    </row>
    <row r="66" spans="3:36" s="16" customFormat="1">
      <c r="C66" s="299"/>
      <c r="F66" s="17"/>
      <c r="I66" s="17"/>
      <c r="L66" s="297"/>
      <c r="O66" s="17"/>
      <c r="R66" s="17"/>
      <c r="U66" s="17"/>
      <c r="X66" s="17"/>
      <c r="AA66" s="17"/>
      <c r="AD66" s="17"/>
      <c r="AG66" s="17"/>
      <c r="AI66" s="228"/>
      <c r="AJ66" s="297"/>
    </row>
  </sheetData>
  <dataConsolidate/>
  <mergeCells count="12">
    <mergeCell ref="Q9:R9"/>
    <mergeCell ref="E9:F9"/>
    <mergeCell ref="H9:I9"/>
    <mergeCell ref="K9:L9"/>
    <mergeCell ref="N9:O9"/>
    <mergeCell ref="AL9:AM9"/>
    <mergeCell ref="AI9:AJ9"/>
    <mergeCell ref="AC9:AD9"/>
    <mergeCell ref="AF9:AG9"/>
    <mergeCell ref="T9:U9"/>
    <mergeCell ref="W9:X9"/>
    <mergeCell ref="Z9:AA9"/>
  </mergeCells>
  <phoneticPr fontId="9"/>
  <pageMargins left="0.19685039370078741" right="0.19685039370078741" top="0.59055118110236227" bottom="0.78740157480314965" header="0.39370078740157483" footer="0.19685039370078741"/>
  <pageSetup paperSize="9" scale="60" orientation="landscape" horizontalDpi="4294967292" verticalDpi="4294967292" r:id="rId1"/>
  <headerFooter alignWithMargins="0">
    <oddFooter>&amp;L&amp;"Verdana,Regular"&amp;F-&amp;A
Atir b.v. ©&amp;C&amp;R&amp;"Verdana,Regular"printversie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6"/>
  <sheetViews>
    <sheetView workbookViewId="0">
      <pane ySplit="9" topLeftCell="A10" activePane="bottomLeft" state="frozen"/>
      <selection sqref="A1:XFD1048576"/>
      <selection pane="bottomLeft" activeCell="N67" sqref="N67"/>
    </sheetView>
  </sheetViews>
  <sheetFormatPr defaultColWidth="10.7109375" defaultRowHeight="12.75"/>
  <cols>
    <col min="1" max="1" width="24.28515625" style="229" customWidth="1"/>
    <col min="2" max="9" width="12.28515625" style="83" customWidth="1"/>
    <col min="10" max="10" width="1.7109375" style="83" customWidth="1"/>
    <col min="11" max="11" width="35.140625" style="171" bestFit="1" customWidth="1"/>
    <col min="12" max="12" width="10" style="171" customWidth="1"/>
    <col min="13" max="13" width="14.7109375" style="83" customWidth="1"/>
    <col min="14" max="16384" width="10.7109375" style="83"/>
  </cols>
  <sheetData>
    <row r="1" spans="1:13">
      <c r="A1" s="170" t="s">
        <v>19</v>
      </c>
    </row>
    <row r="2" spans="1:13">
      <c r="A2" s="170"/>
    </row>
    <row r="3" spans="1:13" ht="15">
      <c r="A3" s="150" t="s">
        <v>114</v>
      </c>
      <c r="B3" s="153" t="str">
        <f>'1-Contractblad'!B3</f>
        <v>LMC</v>
      </c>
      <c r="C3" s="172"/>
      <c r="D3" s="173"/>
      <c r="E3" s="173"/>
      <c r="F3" s="173"/>
      <c r="G3" s="173"/>
      <c r="H3" s="173"/>
      <c r="I3" s="173"/>
      <c r="J3" s="173"/>
      <c r="M3" s="174"/>
    </row>
    <row r="4" spans="1:13" s="179" customFormat="1" ht="15">
      <c r="A4" s="150" t="s">
        <v>55</v>
      </c>
      <c r="B4" s="153" t="s">
        <v>20</v>
      </c>
      <c r="C4" s="175"/>
      <c r="D4" s="176"/>
      <c r="E4" s="177"/>
      <c r="F4" s="176"/>
      <c r="G4" s="176"/>
      <c r="H4" s="176"/>
      <c r="I4" s="176"/>
      <c r="J4" s="176"/>
      <c r="K4" s="178"/>
      <c r="L4" s="178"/>
      <c r="M4" s="59"/>
    </row>
    <row r="5" spans="1:13" ht="15">
      <c r="A5" s="150" t="s">
        <v>272</v>
      </c>
      <c r="B5" s="153" t="str">
        <f>'1-Contractblad'!B5</f>
        <v>Rotterdam</v>
      </c>
      <c r="C5" s="173"/>
      <c r="D5" s="173"/>
      <c r="E5" s="173"/>
      <c r="F5" s="173"/>
      <c r="G5" s="173"/>
      <c r="H5" s="173"/>
      <c r="I5" s="173"/>
      <c r="J5" s="173"/>
      <c r="K5" s="180"/>
      <c r="L5" s="180"/>
      <c r="M5" s="174"/>
    </row>
    <row r="6" spans="1:13" ht="15">
      <c r="A6" s="150" t="s">
        <v>145</v>
      </c>
      <c r="B6" s="153" t="str">
        <f>'1-Contractblad'!B6</f>
        <v>LMC-EA-JV-2014</v>
      </c>
      <c r="C6" s="173"/>
      <c r="D6" s="173"/>
      <c r="E6" s="173"/>
      <c r="F6" s="173"/>
      <c r="G6" s="173"/>
      <c r="H6" s="173"/>
      <c r="I6" s="173"/>
      <c r="J6" s="173"/>
      <c r="K6" s="180"/>
      <c r="L6" s="180"/>
      <c r="M6" s="174"/>
    </row>
    <row r="7" spans="1:13" ht="15">
      <c r="A7" s="150" t="s">
        <v>208</v>
      </c>
      <c r="B7" s="153">
        <f>'1-Contractblad'!B7</f>
        <v>0</v>
      </c>
      <c r="C7" s="181"/>
      <c r="D7" s="181" t="s">
        <v>196</v>
      </c>
      <c r="E7" s="182"/>
      <c r="F7" s="182"/>
      <c r="G7" s="182"/>
      <c r="H7" s="182"/>
      <c r="I7" s="182"/>
      <c r="J7" s="182"/>
      <c r="K7" s="180"/>
      <c r="L7" s="180"/>
    </row>
    <row r="8" spans="1:13" ht="15">
      <c r="A8" s="150" t="s">
        <v>45</v>
      </c>
      <c r="B8" s="183">
        <f>'1-Contractblad'!B8</f>
        <v>2014</v>
      </c>
      <c r="C8" s="181"/>
      <c r="D8" s="181"/>
      <c r="E8" s="182"/>
      <c r="F8" s="182"/>
      <c r="G8" s="182"/>
      <c r="H8" s="182"/>
      <c r="I8" s="182"/>
      <c r="J8" s="182"/>
      <c r="K8" s="180"/>
      <c r="L8" s="180"/>
    </row>
    <row r="9" spans="1:13" ht="15">
      <c r="A9" s="150"/>
      <c r="B9" s="153"/>
      <c r="C9" s="181"/>
      <c r="D9" s="181"/>
      <c r="E9" s="182"/>
      <c r="F9" s="182"/>
      <c r="G9" s="182"/>
      <c r="H9" s="182"/>
      <c r="I9" s="182"/>
      <c r="J9" s="182"/>
      <c r="K9" s="180"/>
      <c r="L9" s="180"/>
    </row>
    <row r="10" spans="1:13" s="81" customFormat="1" ht="17.100000000000001" customHeight="1">
      <c r="A10" s="791" t="s">
        <v>126</v>
      </c>
      <c r="B10" s="792"/>
      <c r="C10" s="184"/>
      <c r="D10" s="184"/>
      <c r="E10" s="185"/>
      <c r="F10" s="185"/>
      <c r="G10" s="185"/>
      <c r="H10" s="185"/>
      <c r="I10" s="186" t="s">
        <v>78</v>
      </c>
      <c r="J10" s="187"/>
      <c r="K10" s="188" t="str">
        <f>A10</f>
        <v>Medewerker lngrp. 1 (jeugd)</v>
      </c>
      <c r="L10" s="189" t="s">
        <v>12</v>
      </c>
    </row>
    <row r="11" spans="1:13">
      <c r="A11" s="190" t="s">
        <v>252</v>
      </c>
      <c r="B11" s="191" t="s">
        <v>253</v>
      </c>
      <c r="C11" s="191" t="s">
        <v>254</v>
      </c>
      <c r="D11" s="191" t="s">
        <v>255</v>
      </c>
      <c r="E11" s="192" t="s">
        <v>256</v>
      </c>
      <c r="F11" s="192" t="s">
        <v>257</v>
      </c>
      <c r="G11" s="192" t="s">
        <v>258</v>
      </c>
      <c r="H11" s="192" t="s">
        <v>158</v>
      </c>
      <c r="I11" s="192" t="s">
        <v>170</v>
      </c>
      <c r="J11" s="193"/>
      <c r="K11" s="194" t="s">
        <v>13</v>
      </c>
      <c r="L11" s="195">
        <f>'5-Opbouw uurtarieven'!E26</f>
        <v>6.949872</v>
      </c>
    </row>
    <row r="12" spans="1:13">
      <c r="A12" s="196" t="str">
        <f>A$103</f>
        <v>00.00 - 06.00</v>
      </c>
      <c r="B12" s="197">
        <f t="shared" ref="B12:I12" si="0">SUM((1+B$103)*$L11)+$L12</f>
        <v>10.424808000000001</v>
      </c>
      <c r="C12" s="197">
        <f t="shared" si="0"/>
        <v>9.0348336000000007</v>
      </c>
      <c r="D12" s="197">
        <f t="shared" si="0"/>
        <v>9.0348336000000007</v>
      </c>
      <c r="E12" s="197">
        <f t="shared" si="0"/>
        <v>9.0348336000000007</v>
      </c>
      <c r="F12" s="197">
        <f t="shared" si="0"/>
        <v>9.0348336000000007</v>
      </c>
      <c r="G12" s="197">
        <f t="shared" si="0"/>
        <v>10.424808000000001</v>
      </c>
      <c r="H12" s="197">
        <f t="shared" si="0"/>
        <v>10.424808000000001</v>
      </c>
      <c r="I12" s="197">
        <f t="shared" si="0"/>
        <v>17.374680000000001</v>
      </c>
      <c r="J12" s="193"/>
      <c r="K12" s="194" t="s">
        <v>14</v>
      </c>
      <c r="L12" s="195">
        <f>L13-L11</f>
        <v>0</v>
      </c>
    </row>
    <row r="13" spans="1:13">
      <c r="A13" s="196" t="str">
        <f>A$104</f>
        <v>06.00 - 21.30</v>
      </c>
      <c r="B13" s="197">
        <f t="shared" ref="B13:I13" si="1">SUM((1+B$104)*$L11)+$L12</f>
        <v>6.949872</v>
      </c>
      <c r="C13" s="197">
        <f t="shared" si="1"/>
        <v>6.949872</v>
      </c>
      <c r="D13" s="197">
        <f t="shared" si="1"/>
        <v>6.949872</v>
      </c>
      <c r="E13" s="197">
        <f t="shared" si="1"/>
        <v>6.949872</v>
      </c>
      <c r="F13" s="197">
        <f t="shared" si="1"/>
        <v>6.949872</v>
      </c>
      <c r="G13" s="197">
        <f t="shared" si="1"/>
        <v>10.424808000000001</v>
      </c>
      <c r="H13" s="197">
        <f t="shared" si="1"/>
        <v>10.424808000000001</v>
      </c>
      <c r="I13" s="197">
        <f t="shared" si="1"/>
        <v>17.374680000000001</v>
      </c>
      <c r="J13" s="193"/>
      <c r="K13" s="194" t="s">
        <v>15</v>
      </c>
      <c r="L13" s="195">
        <f>'5-Opbouw uurtarieven'!E47</f>
        <v>6.949872</v>
      </c>
    </row>
    <row r="14" spans="1:13">
      <c r="A14" s="196" t="str">
        <f>A$105</f>
        <v>21.30 - 24.00</v>
      </c>
      <c r="B14" s="197">
        <f t="shared" ref="B14:I14" si="2">SUM((1+B$105)*$L11)+$L12</f>
        <v>9.0348336000000007</v>
      </c>
      <c r="C14" s="197">
        <f t="shared" si="2"/>
        <v>9.0348336000000007</v>
      </c>
      <c r="D14" s="197">
        <f t="shared" si="2"/>
        <v>9.0348336000000007</v>
      </c>
      <c r="E14" s="197">
        <f t="shared" si="2"/>
        <v>9.0348336000000007</v>
      </c>
      <c r="F14" s="197">
        <f t="shared" si="2"/>
        <v>10.424808000000001</v>
      </c>
      <c r="G14" s="197">
        <f t="shared" si="2"/>
        <v>10.424808000000001</v>
      </c>
      <c r="H14" s="197">
        <f t="shared" si="2"/>
        <v>10.424808000000001</v>
      </c>
      <c r="I14" s="197">
        <f t="shared" si="2"/>
        <v>17.374680000000001</v>
      </c>
      <c r="J14" s="193"/>
      <c r="K14" s="198"/>
      <c r="L14" s="199"/>
    </row>
    <row r="15" spans="1:13">
      <c r="A15" s="200"/>
      <c r="B15" s="201"/>
      <c r="C15" s="201"/>
      <c r="D15" s="201"/>
      <c r="E15" s="201"/>
      <c r="F15" s="201"/>
      <c r="G15" s="201"/>
      <c r="H15" s="201"/>
      <c r="I15" s="201"/>
      <c r="J15" s="193"/>
      <c r="K15" s="202"/>
      <c r="L15" s="202"/>
    </row>
    <row r="16" spans="1:13">
      <c r="A16" s="203"/>
      <c r="B16" s="187"/>
      <c r="C16" s="187"/>
      <c r="D16" s="187"/>
      <c r="E16" s="193"/>
      <c r="F16" s="193"/>
      <c r="G16" s="193"/>
      <c r="H16" s="193"/>
      <c r="I16" s="193"/>
      <c r="J16" s="193"/>
    </row>
    <row r="17" spans="1:12">
      <c r="A17" s="204"/>
      <c r="B17" s="181"/>
      <c r="C17" s="181"/>
      <c r="D17" s="181"/>
      <c r="E17" s="182"/>
      <c r="F17" s="182"/>
      <c r="G17" s="182"/>
      <c r="H17" s="182"/>
      <c r="I17" s="182"/>
      <c r="J17" s="182"/>
      <c r="K17" s="202"/>
      <c r="L17" s="202"/>
    </row>
    <row r="18" spans="1:12" s="81" customFormat="1" ht="17.100000000000001" customHeight="1">
      <c r="A18" s="791" t="s">
        <v>87</v>
      </c>
      <c r="B18" s="794"/>
      <c r="C18" s="794"/>
      <c r="D18" s="794"/>
      <c r="E18" s="185"/>
      <c r="F18" s="185"/>
      <c r="G18" s="185"/>
      <c r="H18" s="185"/>
      <c r="I18" s="186" t="s">
        <v>78</v>
      </c>
      <c r="J18" s="187"/>
      <c r="K18" s="188" t="str">
        <f>A18</f>
        <v>Medewerker lngrp. 1 (tot 1 jaar inleerperiode)</v>
      </c>
      <c r="L18" s="189" t="s">
        <v>12</v>
      </c>
    </row>
    <row r="19" spans="1:12">
      <c r="A19" s="190" t="s">
        <v>252</v>
      </c>
      <c r="B19" s="191" t="s">
        <v>253</v>
      </c>
      <c r="C19" s="191" t="s">
        <v>254</v>
      </c>
      <c r="D19" s="191" t="s">
        <v>255</v>
      </c>
      <c r="E19" s="192" t="s">
        <v>256</v>
      </c>
      <c r="F19" s="192" t="s">
        <v>257</v>
      </c>
      <c r="G19" s="192" t="s">
        <v>258</v>
      </c>
      <c r="H19" s="192" t="s">
        <v>158</v>
      </c>
      <c r="I19" s="192" t="s">
        <v>170</v>
      </c>
      <c r="J19" s="193"/>
      <c r="K19" s="194" t="s">
        <v>13</v>
      </c>
      <c r="L19" s="195">
        <f>'5-Opbouw uurtarieven'!H26</f>
        <v>9.3635999999999999</v>
      </c>
    </row>
    <row r="20" spans="1:12">
      <c r="A20" s="196" t="str">
        <f>A$103</f>
        <v>00.00 - 06.00</v>
      </c>
      <c r="B20" s="197">
        <f t="shared" ref="B20:I20" si="3">SUM((1+B$103)*$L19)+$L20</f>
        <v>14.045400000000001</v>
      </c>
      <c r="C20" s="197">
        <f t="shared" si="3"/>
        <v>12.17268</v>
      </c>
      <c r="D20" s="197">
        <f t="shared" si="3"/>
        <v>12.17268</v>
      </c>
      <c r="E20" s="197">
        <f t="shared" si="3"/>
        <v>12.17268</v>
      </c>
      <c r="F20" s="197">
        <f t="shared" si="3"/>
        <v>12.17268</v>
      </c>
      <c r="G20" s="197">
        <f t="shared" si="3"/>
        <v>14.045400000000001</v>
      </c>
      <c r="H20" s="197">
        <f t="shared" si="3"/>
        <v>14.045400000000001</v>
      </c>
      <c r="I20" s="197">
        <f t="shared" si="3"/>
        <v>23.408999999999999</v>
      </c>
      <c r="J20" s="193"/>
      <c r="K20" s="194" t="s">
        <v>14</v>
      </c>
      <c r="L20" s="195">
        <f>L21-L19</f>
        <v>0</v>
      </c>
    </row>
    <row r="21" spans="1:12">
      <c r="A21" s="196" t="str">
        <f>A$104</f>
        <v>06.00 - 21.30</v>
      </c>
      <c r="B21" s="197">
        <f t="shared" ref="B21:I21" si="4">SUM((1+B$104)*$L19)+$L20</f>
        <v>9.3635999999999999</v>
      </c>
      <c r="C21" s="197">
        <f t="shared" si="4"/>
        <v>9.3635999999999999</v>
      </c>
      <c r="D21" s="197">
        <f t="shared" si="4"/>
        <v>9.3635999999999999</v>
      </c>
      <c r="E21" s="197">
        <f t="shared" si="4"/>
        <v>9.3635999999999999</v>
      </c>
      <c r="F21" s="197">
        <f t="shared" si="4"/>
        <v>9.3635999999999999</v>
      </c>
      <c r="G21" s="197">
        <f t="shared" si="4"/>
        <v>14.045400000000001</v>
      </c>
      <c r="H21" s="197">
        <f t="shared" si="4"/>
        <v>14.045400000000001</v>
      </c>
      <c r="I21" s="197">
        <f t="shared" si="4"/>
        <v>23.408999999999999</v>
      </c>
      <c r="J21" s="193"/>
      <c r="K21" s="194" t="s">
        <v>15</v>
      </c>
      <c r="L21" s="195">
        <f>'5-Opbouw uurtarieven'!H47</f>
        <v>9.3635999999999999</v>
      </c>
    </row>
    <row r="22" spans="1:12">
      <c r="A22" s="196" t="str">
        <f>A$105</f>
        <v>21.30 - 24.00</v>
      </c>
      <c r="B22" s="197">
        <f t="shared" ref="B22:I22" si="5">SUM((1+B$105)*$L19)+$L20</f>
        <v>12.17268</v>
      </c>
      <c r="C22" s="197">
        <f t="shared" si="5"/>
        <v>12.17268</v>
      </c>
      <c r="D22" s="197">
        <f t="shared" si="5"/>
        <v>12.17268</v>
      </c>
      <c r="E22" s="197">
        <f t="shared" si="5"/>
        <v>12.17268</v>
      </c>
      <c r="F22" s="197">
        <f t="shared" si="5"/>
        <v>14.045400000000001</v>
      </c>
      <c r="G22" s="197">
        <f t="shared" si="5"/>
        <v>14.045400000000001</v>
      </c>
      <c r="H22" s="197">
        <f t="shared" si="5"/>
        <v>14.045400000000001</v>
      </c>
      <c r="I22" s="197">
        <f t="shared" si="5"/>
        <v>23.408999999999999</v>
      </c>
      <c r="J22" s="193"/>
      <c r="K22" s="198"/>
      <c r="L22" s="199"/>
    </row>
    <row r="23" spans="1:12">
      <c r="A23" s="200"/>
      <c r="B23" s="201"/>
      <c r="C23" s="201"/>
      <c r="D23" s="201"/>
      <c r="E23" s="201"/>
      <c r="F23" s="201"/>
      <c r="G23" s="201"/>
      <c r="H23" s="201"/>
      <c r="I23" s="201"/>
      <c r="J23" s="193"/>
      <c r="K23" s="202"/>
      <c r="L23" s="202"/>
    </row>
    <row r="24" spans="1:12">
      <c r="A24" s="203"/>
      <c r="B24" s="187"/>
      <c r="C24" s="187"/>
      <c r="D24" s="187"/>
      <c r="E24" s="193"/>
      <c r="F24" s="193"/>
      <c r="G24" s="193"/>
      <c r="H24" s="193"/>
      <c r="I24" s="193"/>
      <c r="J24" s="193"/>
      <c r="K24" s="205"/>
      <c r="L24" s="205"/>
    </row>
    <row r="25" spans="1:12">
      <c r="A25" s="203"/>
      <c r="B25" s="187"/>
      <c r="C25" s="187"/>
      <c r="D25" s="187"/>
      <c r="E25" s="193"/>
      <c r="F25" s="193"/>
      <c r="G25" s="193"/>
      <c r="H25" s="193"/>
      <c r="I25" s="193"/>
      <c r="J25" s="193"/>
    </row>
    <row r="26" spans="1:12" ht="17.100000000000001" customHeight="1">
      <c r="A26" s="791" t="s">
        <v>53</v>
      </c>
      <c r="B26" s="793"/>
      <c r="C26" s="206"/>
      <c r="D26" s="206"/>
      <c r="E26" s="207"/>
      <c r="F26" s="207"/>
      <c r="G26" s="207"/>
      <c r="H26" s="207"/>
      <c r="I26" s="186" t="s">
        <v>78</v>
      </c>
      <c r="J26" s="193"/>
      <c r="K26" s="188" t="str">
        <f>A26</f>
        <v>Medewerker lngrp. 1 (1 tot 8 jaar)</v>
      </c>
      <c r="L26" s="189" t="s">
        <v>12</v>
      </c>
    </row>
    <row r="27" spans="1:12">
      <c r="A27" s="190" t="s">
        <v>252</v>
      </c>
      <c r="B27" s="191" t="s">
        <v>253</v>
      </c>
      <c r="C27" s="191" t="s">
        <v>254</v>
      </c>
      <c r="D27" s="191" t="s">
        <v>255</v>
      </c>
      <c r="E27" s="192" t="s">
        <v>256</v>
      </c>
      <c r="F27" s="192" t="s">
        <v>257</v>
      </c>
      <c r="G27" s="192" t="s">
        <v>258</v>
      </c>
      <c r="H27" s="192" t="s">
        <v>158</v>
      </c>
      <c r="I27" s="192" t="s">
        <v>170</v>
      </c>
      <c r="J27" s="193"/>
      <c r="K27" s="194" t="s">
        <v>13</v>
      </c>
      <c r="L27" s="195">
        <f>'5-Opbouw uurtarieven'!K26</f>
        <v>10.695311999999999</v>
      </c>
    </row>
    <row r="28" spans="1:12">
      <c r="A28" s="196" t="str">
        <f>A$103</f>
        <v>00.00 - 06.00</v>
      </c>
      <c r="B28" s="197">
        <f t="shared" ref="B28:I28" si="6">SUM((1+B$103)*$L27)+$L28</f>
        <v>16.042967999999998</v>
      </c>
      <c r="C28" s="197">
        <f t="shared" si="6"/>
        <v>13.9039056</v>
      </c>
      <c r="D28" s="197">
        <f t="shared" si="6"/>
        <v>13.9039056</v>
      </c>
      <c r="E28" s="197">
        <f t="shared" si="6"/>
        <v>13.9039056</v>
      </c>
      <c r="F28" s="197">
        <f t="shared" si="6"/>
        <v>13.9039056</v>
      </c>
      <c r="G28" s="197">
        <f t="shared" si="6"/>
        <v>16.042967999999998</v>
      </c>
      <c r="H28" s="197">
        <f t="shared" si="6"/>
        <v>16.042967999999998</v>
      </c>
      <c r="I28" s="197">
        <f t="shared" si="6"/>
        <v>26.73828</v>
      </c>
      <c r="J28" s="193"/>
      <c r="K28" s="194" t="s">
        <v>14</v>
      </c>
      <c r="L28" s="195">
        <f>L29-L27</f>
        <v>0</v>
      </c>
    </row>
    <row r="29" spans="1:12">
      <c r="A29" s="196" t="str">
        <f>A$104</f>
        <v>06.00 - 21.30</v>
      </c>
      <c r="B29" s="197">
        <f t="shared" ref="B29:I29" si="7">SUM((1+B$104)*$L27)+$L28</f>
        <v>10.695311999999999</v>
      </c>
      <c r="C29" s="197">
        <f t="shared" si="7"/>
        <v>10.695311999999999</v>
      </c>
      <c r="D29" s="197">
        <f t="shared" si="7"/>
        <v>10.695311999999999</v>
      </c>
      <c r="E29" s="197">
        <f t="shared" si="7"/>
        <v>10.695311999999999</v>
      </c>
      <c r="F29" s="197">
        <f t="shared" si="7"/>
        <v>10.695311999999999</v>
      </c>
      <c r="G29" s="197">
        <f t="shared" si="7"/>
        <v>16.042967999999998</v>
      </c>
      <c r="H29" s="197">
        <f t="shared" si="7"/>
        <v>16.042967999999998</v>
      </c>
      <c r="I29" s="197">
        <f t="shared" si="7"/>
        <v>26.73828</v>
      </c>
      <c r="J29" s="193"/>
      <c r="K29" s="194" t="s">
        <v>15</v>
      </c>
      <c r="L29" s="195">
        <f>'5-Opbouw uurtarieven'!K47</f>
        <v>10.695311999999999</v>
      </c>
    </row>
    <row r="30" spans="1:12">
      <c r="A30" s="196" t="str">
        <f>A$105</f>
        <v>21.30 - 24.00</v>
      </c>
      <c r="B30" s="197">
        <f t="shared" ref="B30:I30" si="8">SUM((1+B$105)*$L27)+$L28</f>
        <v>13.9039056</v>
      </c>
      <c r="C30" s="197">
        <f t="shared" si="8"/>
        <v>13.9039056</v>
      </c>
      <c r="D30" s="197">
        <f t="shared" si="8"/>
        <v>13.9039056</v>
      </c>
      <c r="E30" s="197">
        <f t="shared" si="8"/>
        <v>13.9039056</v>
      </c>
      <c r="F30" s="197">
        <f t="shared" si="8"/>
        <v>16.042967999999998</v>
      </c>
      <c r="G30" s="197">
        <f t="shared" si="8"/>
        <v>16.042967999999998</v>
      </c>
      <c r="H30" s="197">
        <f t="shared" si="8"/>
        <v>16.042967999999998</v>
      </c>
      <c r="I30" s="197">
        <f t="shared" si="8"/>
        <v>26.73828</v>
      </c>
      <c r="J30" s="193"/>
      <c r="K30" s="198"/>
      <c r="L30" s="199"/>
    </row>
    <row r="31" spans="1:12">
      <c r="A31" s="200"/>
      <c r="B31" s="201"/>
      <c r="C31" s="201"/>
      <c r="D31" s="201"/>
      <c r="E31" s="201"/>
      <c r="F31" s="201"/>
      <c r="G31" s="201"/>
      <c r="H31" s="208"/>
      <c r="I31" s="208"/>
      <c r="J31" s="193"/>
      <c r="K31" s="202"/>
      <c r="L31" s="202"/>
    </row>
    <row r="32" spans="1:12">
      <c r="A32" s="203"/>
      <c r="B32" s="187"/>
      <c r="C32" s="187"/>
      <c r="D32" s="187"/>
      <c r="E32" s="193"/>
      <c r="F32" s="193"/>
      <c r="G32" s="193"/>
      <c r="H32" s="193"/>
      <c r="I32" s="193"/>
      <c r="J32" s="193"/>
      <c r="K32" s="202"/>
      <c r="L32" s="202"/>
    </row>
    <row r="33" spans="1:12">
      <c r="A33" s="203"/>
      <c r="B33" s="187"/>
      <c r="C33" s="187"/>
      <c r="D33" s="187"/>
      <c r="E33" s="193"/>
      <c r="F33" s="193"/>
      <c r="G33" s="193"/>
      <c r="H33" s="193"/>
      <c r="I33" s="193"/>
      <c r="J33" s="182"/>
      <c r="K33" s="202"/>
      <c r="L33" s="202"/>
    </row>
    <row r="34" spans="1:12" ht="17.100000000000001" customHeight="1">
      <c r="A34" s="791" t="s">
        <v>42</v>
      </c>
      <c r="B34" s="794"/>
      <c r="C34" s="794"/>
      <c r="D34" s="794"/>
      <c r="E34" s="185"/>
      <c r="F34" s="185"/>
      <c r="G34" s="185"/>
      <c r="H34" s="185"/>
      <c r="I34" s="186" t="s">
        <v>78</v>
      </c>
      <c r="J34" s="187"/>
      <c r="K34" s="188" t="str">
        <f>A34</f>
        <v>Medewerker lngrp. 1 (8 jaar en langer)</v>
      </c>
      <c r="L34" s="188" t="s">
        <v>12</v>
      </c>
    </row>
    <row r="35" spans="1:12">
      <c r="A35" s="190" t="s">
        <v>252</v>
      </c>
      <c r="B35" s="191" t="s">
        <v>253</v>
      </c>
      <c r="C35" s="191" t="s">
        <v>254</v>
      </c>
      <c r="D35" s="191" t="s">
        <v>255</v>
      </c>
      <c r="E35" s="192" t="s">
        <v>256</v>
      </c>
      <c r="F35" s="192" t="s">
        <v>257</v>
      </c>
      <c r="G35" s="192" t="s">
        <v>258</v>
      </c>
      <c r="H35" s="192" t="s">
        <v>158</v>
      </c>
      <c r="I35" s="192" t="s">
        <v>170</v>
      </c>
      <c r="J35" s="193"/>
      <c r="K35" s="194" t="s">
        <v>13</v>
      </c>
      <c r="L35" s="209">
        <f>'5-Opbouw uurtarieven'!N26</f>
        <v>11.017836000000001</v>
      </c>
    </row>
    <row r="36" spans="1:12">
      <c r="A36" s="196" t="str">
        <f>A$103</f>
        <v>00.00 - 06.00</v>
      </c>
      <c r="B36" s="197">
        <f t="shared" ref="B36:I36" si="9">SUM((1+B$103)*$L35)+$L36</f>
        <v>16.526754</v>
      </c>
      <c r="C36" s="197">
        <f t="shared" si="9"/>
        <v>14.323186800000002</v>
      </c>
      <c r="D36" s="197">
        <f t="shared" si="9"/>
        <v>14.323186800000002</v>
      </c>
      <c r="E36" s="197">
        <f t="shared" si="9"/>
        <v>14.323186800000002</v>
      </c>
      <c r="F36" s="197">
        <f t="shared" si="9"/>
        <v>14.323186800000002</v>
      </c>
      <c r="G36" s="197">
        <f t="shared" si="9"/>
        <v>16.526754</v>
      </c>
      <c r="H36" s="197">
        <f t="shared" si="9"/>
        <v>16.526754</v>
      </c>
      <c r="I36" s="197">
        <f t="shared" si="9"/>
        <v>27.544590000000003</v>
      </c>
      <c r="J36" s="193"/>
      <c r="K36" s="194" t="s">
        <v>14</v>
      </c>
      <c r="L36" s="209">
        <f>L37-L35</f>
        <v>0</v>
      </c>
    </row>
    <row r="37" spans="1:12">
      <c r="A37" s="196" t="str">
        <f>A$104</f>
        <v>06.00 - 21.30</v>
      </c>
      <c r="B37" s="197">
        <f t="shared" ref="B37:I37" si="10">SUM((1+B$104)*$L35)+$L36</f>
        <v>11.017836000000001</v>
      </c>
      <c r="C37" s="197">
        <f t="shared" si="10"/>
        <v>11.017836000000001</v>
      </c>
      <c r="D37" s="197">
        <f t="shared" si="10"/>
        <v>11.017836000000001</v>
      </c>
      <c r="E37" s="197">
        <f t="shared" si="10"/>
        <v>11.017836000000001</v>
      </c>
      <c r="F37" s="197">
        <f t="shared" si="10"/>
        <v>11.017836000000001</v>
      </c>
      <c r="G37" s="197">
        <f t="shared" si="10"/>
        <v>16.526754</v>
      </c>
      <c r="H37" s="197">
        <f t="shared" si="10"/>
        <v>16.526754</v>
      </c>
      <c r="I37" s="197">
        <f t="shared" si="10"/>
        <v>27.544590000000003</v>
      </c>
      <c r="J37" s="193"/>
      <c r="K37" s="198" t="s">
        <v>15</v>
      </c>
      <c r="L37" s="210">
        <f>'5-Opbouw uurtarieven'!N47</f>
        <v>11.017836000000001</v>
      </c>
    </row>
    <row r="38" spans="1:12">
      <c r="A38" s="196" t="str">
        <f>A$105</f>
        <v>21.30 - 24.00</v>
      </c>
      <c r="B38" s="197">
        <f t="shared" ref="B38:I38" si="11">SUM((1+B$105)*$L35)+$L36</f>
        <v>14.323186800000002</v>
      </c>
      <c r="C38" s="197">
        <f t="shared" si="11"/>
        <v>14.323186800000002</v>
      </c>
      <c r="D38" s="197">
        <f t="shared" si="11"/>
        <v>14.323186800000002</v>
      </c>
      <c r="E38" s="197">
        <f t="shared" si="11"/>
        <v>14.323186800000002</v>
      </c>
      <c r="F38" s="197">
        <f t="shared" si="11"/>
        <v>16.526754</v>
      </c>
      <c r="G38" s="197">
        <f t="shared" si="11"/>
        <v>16.526754</v>
      </c>
      <c r="H38" s="197">
        <f t="shared" si="11"/>
        <v>16.526754</v>
      </c>
      <c r="I38" s="197">
        <f t="shared" si="11"/>
        <v>27.544590000000003</v>
      </c>
      <c r="J38" s="193"/>
    </row>
    <row r="39" spans="1:12">
      <c r="A39" s="200"/>
      <c r="B39" s="201"/>
      <c r="C39" s="201"/>
      <c r="D39" s="201"/>
      <c r="E39" s="201"/>
      <c r="F39" s="201"/>
      <c r="G39" s="201"/>
      <c r="H39" s="201"/>
      <c r="I39" s="208"/>
      <c r="J39" s="193"/>
      <c r="K39" s="202"/>
      <c r="L39" s="202"/>
    </row>
    <row r="40" spans="1:12">
      <c r="A40" s="203"/>
      <c r="B40" s="187"/>
      <c r="C40" s="187"/>
      <c r="D40" s="187"/>
      <c r="E40" s="193"/>
      <c r="F40" s="193"/>
      <c r="G40" s="193"/>
      <c r="H40" s="193"/>
      <c r="I40" s="193"/>
      <c r="J40" s="193"/>
      <c r="K40" s="202"/>
      <c r="L40" s="202"/>
    </row>
    <row r="41" spans="1:12">
      <c r="A41" s="203"/>
      <c r="B41" s="187"/>
      <c r="C41" s="187"/>
      <c r="D41" s="187"/>
      <c r="E41" s="193"/>
      <c r="F41" s="193"/>
      <c r="G41" s="193"/>
      <c r="H41" s="193"/>
      <c r="I41" s="193"/>
      <c r="J41" s="193"/>
      <c r="K41" s="202"/>
      <c r="L41" s="202"/>
    </row>
    <row r="42" spans="1:12" ht="17.100000000000001" customHeight="1">
      <c r="A42" s="791" t="s">
        <v>135</v>
      </c>
      <c r="B42" s="794"/>
      <c r="C42" s="794"/>
      <c r="D42" s="184"/>
      <c r="E42" s="185"/>
      <c r="F42" s="185"/>
      <c r="G42" s="185"/>
      <c r="H42" s="185"/>
      <c r="I42" s="186" t="s">
        <v>78</v>
      </c>
      <c r="J42" s="193"/>
      <c r="K42" s="188" t="str">
        <f>A42</f>
        <v>Medewerker lngrp. 2 (tot 1 jaar inleerperiode)</v>
      </c>
      <c r="L42" s="188" t="s">
        <v>12</v>
      </c>
    </row>
    <row r="43" spans="1:12">
      <c r="A43" s="190" t="s">
        <v>252</v>
      </c>
      <c r="B43" s="191" t="s">
        <v>253</v>
      </c>
      <c r="C43" s="191" t="s">
        <v>254</v>
      </c>
      <c r="D43" s="191" t="s">
        <v>255</v>
      </c>
      <c r="E43" s="192" t="s">
        <v>256</v>
      </c>
      <c r="F43" s="192" t="s">
        <v>257</v>
      </c>
      <c r="G43" s="192" t="s">
        <v>258</v>
      </c>
      <c r="H43" s="192" t="s">
        <v>158</v>
      </c>
      <c r="I43" s="192" t="s">
        <v>170</v>
      </c>
      <c r="J43" s="193"/>
      <c r="K43" s="194" t="s">
        <v>13</v>
      </c>
      <c r="L43" s="209">
        <f>'5-Opbouw uurtarieven'!Q26</f>
        <v>10.289556000000001</v>
      </c>
    </row>
    <row r="44" spans="1:12">
      <c r="A44" s="196" t="str">
        <f>A$103</f>
        <v>00.00 - 06.00</v>
      </c>
      <c r="B44" s="197">
        <f t="shared" ref="B44:I44" si="12">SUM((1+B$103)*$L43)+$L44</f>
        <v>15.434334000000002</v>
      </c>
      <c r="C44" s="197">
        <f t="shared" si="12"/>
        <v>13.376422800000002</v>
      </c>
      <c r="D44" s="197">
        <f t="shared" si="12"/>
        <v>13.376422800000002</v>
      </c>
      <c r="E44" s="197">
        <f t="shared" si="12"/>
        <v>13.376422800000002</v>
      </c>
      <c r="F44" s="197">
        <f t="shared" si="12"/>
        <v>13.376422800000002</v>
      </c>
      <c r="G44" s="197">
        <f t="shared" si="12"/>
        <v>15.434334000000002</v>
      </c>
      <c r="H44" s="197">
        <f>SUM((1+H$103)*$L43)+$L44</f>
        <v>15.434334000000002</v>
      </c>
      <c r="I44" s="197">
        <f t="shared" si="12"/>
        <v>25.723890000000004</v>
      </c>
      <c r="J44" s="193"/>
      <c r="K44" s="194" t="s">
        <v>14</v>
      </c>
      <c r="L44" s="209">
        <f>L45-L43</f>
        <v>0</v>
      </c>
    </row>
    <row r="45" spans="1:12">
      <c r="A45" s="196" t="str">
        <f>A$104</f>
        <v>06.00 - 21.30</v>
      </c>
      <c r="B45" s="197">
        <f t="shared" ref="B45:I45" si="13">SUM((1+B$104)*$L43)+$L44</f>
        <v>10.289556000000001</v>
      </c>
      <c r="C45" s="197">
        <f t="shared" si="13"/>
        <v>10.289556000000001</v>
      </c>
      <c r="D45" s="197">
        <f t="shared" si="13"/>
        <v>10.289556000000001</v>
      </c>
      <c r="E45" s="197">
        <f t="shared" si="13"/>
        <v>10.289556000000001</v>
      </c>
      <c r="F45" s="197">
        <f t="shared" si="13"/>
        <v>10.289556000000001</v>
      </c>
      <c r="G45" s="197">
        <f t="shared" si="13"/>
        <v>15.434334000000002</v>
      </c>
      <c r="H45" s="197">
        <f t="shared" si="13"/>
        <v>15.434334000000002</v>
      </c>
      <c r="I45" s="197">
        <f t="shared" si="13"/>
        <v>25.723890000000004</v>
      </c>
      <c r="J45" s="193"/>
      <c r="K45" s="198" t="s">
        <v>15</v>
      </c>
      <c r="L45" s="210">
        <f>'5-Opbouw uurtarieven'!Q47</f>
        <v>10.289556000000001</v>
      </c>
    </row>
    <row r="46" spans="1:12">
      <c r="A46" s="196" t="str">
        <f>A$105</f>
        <v>21.30 - 24.00</v>
      </c>
      <c r="B46" s="197">
        <f t="shared" ref="B46:I46" si="14">SUM((1+B$105)*$L43)+$L44</f>
        <v>13.376422800000002</v>
      </c>
      <c r="C46" s="197">
        <f t="shared" si="14"/>
        <v>13.376422800000002</v>
      </c>
      <c r="D46" s="197">
        <f t="shared" si="14"/>
        <v>13.376422800000002</v>
      </c>
      <c r="E46" s="197">
        <f t="shared" si="14"/>
        <v>13.376422800000002</v>
      </c>
      <c r="F46" s="197">
        <f t="shared" si="14"/>
        <v>15.434334000000002</v>
      </c>
      <c r="G46" s="197">
        <f t="shared" si="14"/>
        <v>15.434334000000002</v>
      </c>
      <c r="H46" s="197">
        <f t="shared" si="14"/>
        <v>15.434334000000002</v>
      </c>
      <c r="I46" s="197">
        <f t="shared" si="14"/>
        <v>25.723890000000004</v>
      </c>
      <c r="J46" s="193"/>
      <c r="K46" s="202"/>
      <c r="L46" s="202"/>
    </row>
    <row r="47" spans="1:12">
      <c r="A47" s="200"/>
      <c r="B47" s="201"/>
      <c r="C47" s="201"/>
      <c r="D47" s="201"/>
      <c r="E47" s="201"/>
      <c r="F47" s="201"/>
      <c r="G47" s="201"/>
      <c r="H47" s="201"/>
      <c r="I47" s="208"/>
      <c r="J47" s="193"/>
      <c r="K47" s="202"/>
      <c r="L47" s="202"/>
    </row>
    <row r="48" spans="1:12">
      <c r="A48" s="203"/>
      <c r="B48" s="187"/>
      <c r="C48" s="187"/>
      <c r="D48" s="187"/>
      <c r="E48" s="193"/>
      <c r="F48" s="193"/>
      <c r="G48" s="193"/>
      <c r="H48" s="193"/>
      <c r="I48" s="193"/>
      <c r="J48" s="193"/>
      <c r="K48" s="202"/>
      <c r="L48" s="202"/>
    </row>
    <row r="49" spans="1:12">
      <c r="A49" s="203"/>
      <c r="B49" s="187"/>
      <c r="C49" s="187"/>
      <c r="D49" s="187"/>
      <c r="E49" s="193"/>
      <c r="F49" s="193"/>
      <c r="G49" s="193"/>
      <c r="H49" s="193"/>
      <c r="I49" s="193"/>
      <c r="J49" s="182"/>
      <c r="K49" s="202"/>
      <c r="L49" s="202"/>
    </row>
    <row r="50" spans="1:12" ht="17.100000000000001" customHeight="1">
      <c r="A50" s="211" t="s">
        <v>137</v>
      </c>
      <c r="B50" s="184"/>
      <c r="C50" s="184"/>
      <c r="D50" s="184"/>
      <c r="E50" s="185"/>
      <c r="F50" s="185"/>
      <c r="G50" s="185"/>
      <c r="H50" s="185"/>
      <c r="I50" s="186" t="s">
        <v>78</v>
      </c>
      <c r="J50" s="187"/>
      <c r="K50" s="188" t="str">
        <f>A50</f>
        <v>Medewerker lngrp. 2 (1 tot 8 jaar)</v>
      </c>
      <c r="L50" s="188" t="s">
        <v>12</v>
      </c>
    </row>
    <row r="51" spans="1:12">
      <c r="A51" s="190" t="s">
        <v>252</v>
      </c>
      <c r="B51" s="191" t="s">
        <v>253</v>
      </c>
      <c r="C51" s="191" t="s">
        <v>254</v>
      </c>
      <c r="D51" s="191" t="s">
        <v>255</v>
      </c>
      <c r="E51" s="192" t="s">
        <v>256</v>
      </c>
      <c r="F51" s="192" t="s">
        <v>257</v>
      </c>
      <c r="G51" s="192" t="s">
        <v>258</v>
      </c>
      <c r="H51" s="192" t="s">
        <v>158</v>
      </c>
      <c r="I51" s="192" t="s">
        <v>170</v>
      </c>
      <c r="J51" s="193"/>
      <c r="K51" s="194" t="s">
        <v>13</v>
      </c>
      <c r="L51" s="209">
        <f>'5-Opbouw uurtarieven'!T26</f>
        <v>11.787732</v>
      </c>
    </row>
    <row r="52" spans="1:12">
      <c r="A52" s="196" t="str">
        <f>A$103</f>
        <v>00.00 - 06.00</v>
      </c>
      <c r="B52" s="197">
        <f t="shared" ref="B52:I52" si="15">SUM((1+B$103)*$L51)+$L52</f>
        <v>17.681598000000001</v>
      </c>
      <c r="C52" s="197">
        <f t="shared" si="15"/>
        <v>15.324051600000001</v>
      </c>
      <c r="D52" s="197">
        <f t="shared" si="15"/>
        <v>15.324051600000001</v>
      </c>
      <c r="E52" s="197">
        <f t="shared" si="15"/>
        <v>15.324051600000001</v>
      </c>
      <c r="F52" s="197">
        <f t="shared" si="15"/>
        <v>15.324051600000001</v>
      </c>
      <c r="G52" s="197">
        <f t="shared" si="15"/>
        <v>17.681598000000001</v>
      </c>
      <c r="H52" s="197">
        <f t="shared" si="15"/>
        <v>17.681598000000001</v>
      </c>
      <c r="I52" s="197">
        <f t="shared" si="15"/>
        <v>29.469329999999999</v>
      </c>
      <c r="J52" s="193"/>
      <c r="K52" s="194" t="s">
        <v>14</v>
      </c>
      <c r="L52" s="209">
        <f>L53-L51</f>
        <v>0</v>
      </c>
    </row>
    <row r="53" spans="1:12">
      <c r="A53" s="196" t="str">
        <f>A$104</f>
        <v>06.00 - 21.30</v>
      </c>
      <c r="B53" s="197">
        <f t="shared" ref="B53:I53" si="16">SUM((1+B$104)*$L51)+$L52</f>
        <v>11.787732</v>
      </c>
      <c r="C53" s="197">
        <f t="shared" si="16"/>
        <v>11.787732</v>
      </c>
      <c r="D53" s="197">
        <f t="shared" si="16"/>
        <v>11.787732</v>
      </c>
      <c r="E53" s="197">
        <f t="shared" si="16"/>
        <v>11.787732</v>
      </c>
      <c r="F53" s="197">
        <f t="shared" si="16"/>
        <v>11.787732</v>
      </c>
      <c r="G53" s="197">
        <f t="shared" si="16"/>
        <v>17.681598000000001</v>
      </c>
      <c r="H53" s="197">
        <f t="shared" si="16"/>
        <v>17.681598000000001</v>
      </c>
      <c r="I53" s="197">
        <f t="shared" si="16"/>
        <v>29.469329999999999</v>
      </c>
      <c r="J53" s="193"/>
      <c r="K53" s="198" t="s">
        <v>15</v>
      </c>
      <c r="L53" s="210">
        <f>'5-Opbouw uurtarieven'!T47</f>
        <v>11.787732</v>
      </c>
    </row>
    <row r="54" spans="1:12">
      <c r="A54" s="196" t="str">
        <f>A$105</f>
        <v>21.30 - 24.00</v>
      </c>
      <c r="B54" s="197">
        <f t="shared" ref="B54:I54" si="17">SUM((1+B$105)*$L51)+$L52</f>
        <v>15.324051600000001</v>
      </c>
      <c r="C54" s="197">
        <f t="shared" si="17"/>
        <v>15.324051600000001</v>
      </c>
      <c r="D54" s="197">
        <f t="shared" si="17"/>
        <v>15.324051600000001</v>
      </c>
      <c r="E54" s="197">
        <f t="shared" si="17"/>
        <v>15.324051600000001</v>
      </c>
      <c r="F54" s="197">
        <f t="shared" si="17"/>
        <v>17.681598000000001</v>
      </c>
      <c r="G54" s="197">
        <f t="shared" si="17"/>
        <v>17.681598000000001</v>
      </c>
      <c r="H54" s="197">
        <f t="shared" si="17"/>
        <v>17.681598000000001</v>
      </c>
      <c r="I54" s="197">
        <f t="shared" si="17"/>
        <v>29.469329999999999</v>
      </c>
      <c r="J54" s="193"/>
      <c r="K54" s="202"/>
      <c r="L54" s="202"/>
    </row>
    <row r="55" spans="1:12">
      <c r="A55" s="200"/>
      <c r="B55" s="201"/>
      <c r="C55" s="201"/>
      <c r="D55" s="201"/>
      <c r="E55" s="201"/>
      <c r="F55" s="201"/>
      <c r="G55" s="201"/>
      <c r="H55" s="201"/>
      <c r="I55" s="208"/>
      <c r="J55" s="193"/>
      <c r="K55" s="202"/>
      <c r="L55" s="202"/>
    </row>
    <row r="56" spans="1:12">
      <c r="A56" s="203"/>
      <c r="B56" s="187"/>
      <c r="C56" s="187"/>
      <c r="D56" s="187"/>
      <c r="E56" s="193"/>
      <c r="F56" s="193"/>
      <c r="G56" s="193"/>
      <c r="H56" s="193"/>
      <c r="I56" s="193"/>
      <c r="J56" s="193"/>
      <c r="K56" s="202"/>
      <c r="L56" s="202"/>
    </row>
    <row r="57" spans="1:12" ht="17.100000000000001" customHeight="1">
      <c r="A57" s="791" t="s">
        <v>138</v>
      </c>
      <c r="B57" s="794"/>
      <c r="C57" s="794"/>
      <c r="D57" s="184"/>
      <c r="E57" s="185"/>
      <c r="F57" s="185"/>
      <c r="G57" s="185"/>
      <c r="H57" s="185"/>
      <c r="I57" s="212" t="s">
        <v>78</v>
      </c>
      <c r="J57" s="193"/>
      <c r="K57" s="188" t="str">
        <f>A57</f>
        <v>Medewerker lngrp. 2 (8 jaar en langer)</v>
      </c>
      <c r="L57" s="188" t="s">
        <v>12</v>
      </c>
    </row>
    <row r="58" spans="1:12">
      <c r="A58" s="190" t="s">
        <v>252</v>
      </c>
      <c r="B58" s="191" t="s">
        <v>253</v>
      </c>
      <c r="C58" s="191" t="s">
        <v>254</v>
      </c>
      <c r="D58" s="191" t="s">
        <v>255</v>
      </c>
      <c r="E58" s="192" t="s">
        <v>256</v>
      </c>
      <c r="F58" s="192" t="s">
        <v>257</v>
      </c>
      <c r="G58" s="192" t="s">
        <v>258</v>
      </c>
      <c r="H58" s="192" t="s">
        <v>158</v>
      </c>
      <c r="I58" s="213" t="s">
        <v>170</v>
      </c>
      <c r="J58" s="193"/>
      <c r="K58" s="194" t="s">
        <v>13</v>
      </c>
      <c r="L58" s="209">
        <f>'5-Opbouw uurtarieven'!W26</f>
        <v>12.110256000000001</v>
      </c>
    </row>
    <row r="59" spans="1:12">
      <c r="A59" s="196" t="str">
        <f>A$103</f>
        <v>00.00 - 06.00</v>
      </c>
      <c r="B59" s="197">
        <f t="shared" ref="B59:I59" si="18">SUM((1+B$103)*$L58)+$L59</f>
        <v>18.165384000000003</v>
      </c>
      <c r="C59" s="197">
        <f t="shared" si="18"/>
        <v>15.743332800000003</v>
      </c>
      <c r="D59" s="197">
        <f t="shared" si="18"/>
        <v>15.743332800000003</v>
      </c>
      <c r="E59" s="197">
        <f t="shared" si="18"/>
        <v>15.743332800000003</v>
      </c>
      <c r="F59" s="197">
        <f t="shared" si="18"/>
        <v>15.743332800000003</v>
      </c>
      <c r="G59" s="197">
        <f t="shared" si="18"/>
        <v>18.165384000000003</v>
      </c>
      <c r="H59" s="197">
        <f t="shared" si="18"/>
        <v>18.165384000000003</v>
      </c>
      <c r="I59" s="197">
        <f t="shared" si="18"/>
        <v>30.275640000000003</v>
      </c>
      <c r="J59" s="193"/>
      <c r="K59" s="194" t="s">
        <v>14</v>
      </c>
      <c r="L59" s="209">
        <f>L60-L58</f>
        <v>0</v>
      </c>
    </row>
    <row r="60" spans="1:12">
      <c r="A60" s="196" t="str">
        <f>A$104</f>
        <v>06.00 - 21.30</v>
      </c>
      <c r="B60" s="197">
        <f t="shared" ref="B60:I60" si="19">SUM((1+B$104)*$L58)+$L59</f>
        <v>12.110256000000001</v>
      </c>
      <c r="C60" s="197">
        <f t="shared" si="19"/>
        <v>12.110256000000001</v>
      </c>
      <c r="D60" s="197">
        <f t="shared" si="19"/>
        <v>12.110256000000001</v>
      </c>
      <c r="E60" s="197">
        <f t="shared" si="19"/>
        <v>12.110256000000001</v>
      </c>
      <c r="F60" s="197">
        <f t="shared" si="19"/>
        <v>12.110256000000001</v>
      </c>
      <c r="G60" s="197">
        <f t="shared" si="19"/>
        <v>18.165384000000003</v>
      </c>
      <c r="H60" s="197">
        <f t="shared" si="19"/>
        <v>18.165384000000003</v>
      </c>
      <c r="I60" s="197">
        <f t="shared" si="19"/>
        <v>30.275640000000003</v>
      </c>
      <c r="J60" s="193"/>
      <c r="K60" s="198" t="s">
        <v>15</v>
      </c>
      <c r="L60" s="210">
        <f>'5-Opbouw uurtarieven'!W47</f>
        <v>12.110256000000001</v>
      </c>
    </row>
    <row r="61" spans="1:12">
      <c r="A61" s="196" t="str">
        <f>A$105</f>
        <v>21.30 - 24.00</v>
      </c>
      <c r="B61" s="197">
        <f t="shared" ref="B61:I61" si="20">SUM((1+B$105)*$L58)+$L59</f>
        <v>15.743332800000003</v>
      </c>
      <c r="C61" s="197">
        <f t="shared" si="20"/>
        <v>15.743332800000003</v>
      </c>
      <c r="D61" s="197">
        <f t="shared" si="20"/>
        <v>15.743332800000003</v>
      </c>
      <c r="E61" s="197">
        <f t="shared" si="20"/>
        <v>15.743332800000003</v>
      </c>
      <c r="F61" s="197">
        <f t="shared" si="20"/>
        <v>18.165384000000003</v>
      </c>
      <c r="G61" s="197">
        <f t="shared" si="20"/>
        <v>18.165384000000003</v>
      </c>
      <c r="H61" s="197">
        <f t="shared" si="20"/>
        <v>18.165384000000003</v>
      </c>
      <c r="I61" s="197">
        <f t="shared" si="20"/>
        <v>30.275640000000003</v>
      </c>
      <c r="J61" s="193"/>
      <c r="K61" s="202"/>
      <c r="L61" s="202"/>
    </row>
    <row r="62" spans="1:12">
      <c r="A62" s="200"/>
      <c r="B62" s="201"/>
      <c r="C62" s="201"/>
      <c r="D62" s="201"/>
      <c r="E62" s="201"/>
      <c r="F62" s="201"/>
      <c r="G62" s="201"/>
      <c r="H62" s="201"/>
      <c r="I62" s="214"/>
      <c r="J62" s="193"/>
      <c r="K62" s="202"/>
      <c r="L62" s="202"/>
    </row>
    <row r="63" spans="1:12">
      <c r="A63" s="203"/>
      <c r="B63" s="187"/>
      <c r="C63" s="187"/>
      <c r="D63" s="187"/>
      <c r="E63" s="193"/>
      <c r="F63" s="193"/>
      <c r="G63" s="193"/>
      <c r="H63" s="193"/>
      <c r="I63" s="193"/>
      <c r="J63" s="193"/>
      <c r="K63" s="202"/>
      <c r="L63" s="202"/>
    </row>
    <row r="64" spans="1:12" s="217" customFormat="1" ht="17.100000000000001" customHeight="1">
      <c r="A64" s="791" t="s">
        <v>96</v>
      </c>
      <c r="B64" s="794"/>
      <c r="C64" s="794"/>
      <c r="D64" s="184"/>
      <c r="E64" s="185"/>
      <c r="F64" s="185"/>
      <c r="G64" s="185"/>
      <c r="H64" s="185"/>
      <c r="I64" s="212" t="s">
        <v>78</v>
      </c>
      <c r="J64" s="215"/>
      <c r="K64" s="188" t="str">
        <f>A64</f>
        <v>Medewerker lngrp. 3 (tot 1 jaar inleerperiode)</v>
      </c>
      <c r="L64" s="216" t="s">
        <v>12</v>
      </c>
    </row>
    <row r="65" spans="1:12">
      <c r="A65" s="190" t="s">
        <v>252</v>
      </c>
      <c r="B65" s="191" t="s">
        <v>253</v>
      </c>
      <c r="C65" s="191" t="s">
        <v>254</v>
      </c>
      <c r="D65" s="191" t="s">
        <v>255</v>
      </c>
      <c r="E65" s="192" t="s">
        <v>256</v>
      </c>
      <c r="F65" s="192" t="s">
        <v>257</v>
      </c>
      <c r="G65" s="192" t="s">
        <v>258</v>
      </c>
      <c r="H65" s="192" t="s">
        <v>158</v>
      </c>
      <c r="I65" s="213" t="s">
        <v>170</v>
      </c>
      <c r="J65" s="193"/>
      <c r="K65" s="194" t="s">
        <v>13</v>
      </c>
      <c r="L65" s="209">
        <f>'5-Opbouw uurtarieven'!Z26</f>
        <v>11.236320000000003</v>
      </c>
    </row>
    <row r="66" spans="1:12">
      <c r="A66" s="196" t="str">
        <f>A$103</f>
        <v>00.00 - 06.00</v>
      </c>
      <c r="B66" s="197">
        <f t="shared" ref="B66:I66" si="21">SUM((1+B$103)*$L65)+$L66</f>
        <v>16.854480000000002</v>
      </c>
      <c r="C66" s="197">
        <f t="shared" si="21"/>
        <v>14.607216000000005</v>
      </c>
      <c r="D66" s="197">
        <f t="shared" si="21"/>
        <v>14.607216000000005</v>
      </c>
      <c r="E66" s="197">
        <f t="shared" si="21"/>
        <v>14.607216000000005</v>
      </c>
      <c r="F66" s="197">
        <f t="shared" si="21"/>
        <v>14.607216000000005</v>
      </c>
      <c r="G66" s="197">
        <f t="shared" si="21"/>
        <v>16.854480000000002</v>
      </c>
      <c r="H66" s="197">
        <f t="shared" si="21"/>
        <v>16.854480000000002</v>
      </c>
      <c r="I66" s="197">
        <f t="shared" si="21"/>
        <v>28.090800000000009</v>
      </c>
      <c r="J66" s="193"/>
      <c r="K66" s="194" t="s">
        <v>14</v>
      </c>
      <c r="L66" s="209">
        <f>L67-L65</f>
        <v>0</v>
      </c>
    </row>
    <row r="67" spans="1:12">
      <c r="A67" s="196" t="str">
        <f>A$104</f>
        <v>06.00 - 21.30</v>
      </c>
      <c r="B67" s="197">
        <f t="shared" ref="B67:I67" si="22">SUM((1+B$104)*$L65)+$L66</f>
        <v>11.236320000000003</v>
      </c>
      <c r="C67" s="197">
        <f t="shared" si="22"/>
        <v>11.236320000000003</v>
      </c>
      <c r="D67" s="197">
        <f t="shared" si="22"/>
        <v>11.236320000000003</v>
      </c>
      <c r="E67" s="197">
        <f t="shared" si="22"/>
        <v>11.236320000000003</v>
      </c>
      <c r="F67" s="197">
        <f t="shared" si="22"/>
        <v>11.236320000000003</v>
      </c>
      <c r="G67" s="197">
        <f t="shared" si="22"/>
        <v>16.854480000000002</v>
      </c>
      <c r="H67" s="197">
        <f t="shared" si="22"/>
        <v>16.854480000000002</v>
      </c>
      <c r="I67" s="197">
        <f t="shared" si="22"/>
        <v>28.090800000000009</v>
      </c>
      <c r="J67" s="193"/>
      <c r="K67" s="198" t="s">
        <v>15</v>
      </c>
      <c r="L67" s="210">
        <f>'5-Opbouw uurtarieven'!Z47</f>
        <v>11.236320000000003</v>
      </c>
    </row>
    <row r="68" spans="1:12">
      <c r="A68" s="196" t="str">
        <f>A$105</f>
        <v>21.30 - 24.00</v>
      </c>
      <c r="B68" s="197">
        <f t="shared" ref="B68:I68" si="23">SUM((1+B$105)*$L65)+$L66</f>
        <v>14.607216000000005</v>
      </c>
      <c r="C68" s="197">
        <f t="shared" si="23"/>
        <v>14.607216000000005</v>
      </c>
      <c r="D68" s="197">
        <f t="shared" si="23"/>
        <v>14.607216000000005</v>
      </c>
      <c r="E68" s="197">
        <f t="shared" si="23"/>
        <v>14.607216000000005</v>
      </c>
      <c r="F68" s="197">
        <f t="shared" si="23"/>
        <v>16.854480000000002</v>
      </c>
      <c r="G68" s="197">
        <f t="shared" si="23"/>
        <v>16.854480000000002</v>
      </c>
      <c r="H68" s="197">
        <f t="shared" si="23"/>
        <v>16.854480000000002</v>
      </c>
      <c r="I68" s="197">
        <f t="shared" si="23"/>
        <v>28.090800000000009</v>
      </c>
      <c r="J68" s="193"/>
      <c r="K68" s="202"/>
      <c r="L68" s="202"/>
    </row>
    <row r="69" spans="1:12">
      <c r="A69" s="200"/>
      <c r="B69" s="201"/>
      <c r="C69" s="201"/>
      <c r="D69" s="201"/>
      <c r="E69" s="201"/>
      <c r="F69" s="201"/>
      <c r="G69" s="201"/>
      <c r="H69" s="201"/>
      <c r="I69" s="214"/>
      <c r="J69" s="193"/>
      <c r="K69" s="202"/>
      <c r="L69" s="202"/>
    </row>
    <row r="70" spans="1:12">
      <c r="A70" s="203"/>
      <c r="B70" s="187"/>
      <c r="C70" s="187"/>
      <c r="D70" s="187"/>
      <c r="E70" s="193"/>
      <c r="F70" s="193"/>
      <c r="G70" s="193"/>
      <c r="H70" s="193"/>
      <c r="I70" s="193"/>
      <c r="J70" s="193"/>
      <c r="K70" s="202"/>
      <c r="L70" s="202"/>
    </row>
    <row r="71" spans="1:12">
      <c r="A71" s="203"/>
      <c r="B71" s="187"/>
      <c r="C71" s="187"/>
      <c r="D71" s="187"/>
      <c r="E71" s="193"/>
      <c r="F71" s="193"/>
      <c r="G71" s="193"/>
      <c r="H71" s="193"/>
      <c r="I71" s="193"/>
      <c r="J71" s="193"/>
      <c r="K71" s="202"/>
      <c r="L71" s="202"/>
    </row>
    <row r="72" spans="1:12" ht="17.100000000000001" customHeight="1">
      <c r="A72" s="211" t="s">
        <v>121</v>
      </c>
      <c r="B72" s="184"/>
      <c r="C72" s="184"/>
      <c r="D72" s="184"/>
      <c r="E72" s="185"/>
      <c r="F72" s="185"/>
      <c r="G72" s="185"/>
      <c r="H72" s="185"/>
      <c r="I72" s="212" t="s">
        <v>78</v>
      </c>
      <c r="J72" s="193"/>
      <c r="K72" s="188" t="str">
        <f>A72</f>
        <v>Medewerker lngrp. 3 (1 tot 8 jaar)</v>
      </c>
      <c r="L72" s="188" t="s">
        <v>12</v>
      </c>
    </row>
    <row r="73" spans="1:12">
      <c r="A73" s="190" t="s">
        <v>252</v>
      </c>
      <c r="B73" s="191" t="s">
        <v>253</v>
      </c>
      <c r="C73" s="191" t="s">
        <v>254</v>
      </c>
      <c r="D73" s="191" t="s">
        <v>255</v>
      </c>
      <c r="E73" s="192" t="s">
        <v>256</v>
      </c>
      <c r="F73" s="192" t="s">
        <v>257</v>
      </c>
      <c r="G73" s="192" t="s">
        <v>258</v>
      </c>
      <c r="H73" s="192" t="s">
        <v>158</v>
      </c>
      <c r="I73" s="213" t="s">
        <v>170</v>
      </c>
      <c r="J73" s="193"/>
      <c r="K73" s="194" t="s">
        <v>13</v>
      </c>
      <c r="L73" s="209">
        <f>'5-Opbouw uurtarieven'!AC26</f>
        <v>12.880152000000001</v>
      </c>
    </row>
    <row r="74" spans="1:12">
      <c r="A74" s="196" t="str">
        <f>A$103</f>
        <v>00.00 - 06.00</v>
      </c>
      <c r="B74" s="197">
        <f t="shared" ref="B74:I74" si="24">SUM((1+B$103)*$L73)+$L74</f>
        <v>19.320228</v>
      </c>
      <c r="C74" s="197">
        <f t="shared" si="24"/>
        <v>16.744197600000003</v>
      </c>
      <c r="D74" s="197">
        <f t="shared" si="24"/>
        <v>16.744197600000003</v>
      </c>
      <c r="E74" s="197">
        <f t="shared" si="24"/>
        <v>16.744197600000003</v>
      </c>
      <c r="F74" s="197">
        <f t="shared" si="24"/>
        <v>16.744197600000003</v>
      </c>
      <c r="G74" s="197">
        <f t="shared" si="24"/>
        <v>19.320228</v>
      </c>
      <c r="H74" s="197">
        <f t="shared" si="24"/>
        <v>19.320228</v>
      </c>
      <c r="I74" s="197">
        <f t="shared" si="24"/>
        <v>32.200380000000003</v>
      </c>
      <c r="J74" s="193"/>
      <c r="K74" s="194" t="s">
        <v>14</v>
      </c>
      <c r="L74" s="209">
        <f>L75-L73</f>
        <v>0</v>
      </c>
    </row>
    <row r="75" spans="1:12">
      <c r="A75" s="196" t="str">
        <f>A$104</f>
        <v>06.00 - 21.30</v>
      </c>
      <c r="B75" s="197">
        <f t="shared" ref="B75:I75" si="25">SUM((1+B$104)*$L73)+$L74</f>
        <v>12.880152000000001</v>
      </c>
      <c r="C75" s="197">
        <f t="shared" si="25"/>
        <v>12.880152000000001</v>
      </c>
      <c r="D75" s="197">
        <f t="shared" si="25"/>
        <v>12.880152000000001</v>
      </c>
      <c r="E75" s="197">
        <f t="shared" si="25"/>
        <v>12.880152000000001</v>
      </c>
      <c r="F75" s="197">
        <f t="shared" si="25"/>
        <v>12.880152000000001</v>
      </c>
      <c r="G75" s="197">
        <f t="shared" si="25"/>
        <v>19.320228</v>
      </c>
      <c r="H75" s="197">
        <f t="shared" si="25"/>
        <v>19.320228</v>
      </c>
      <c r="I75" s="197">
        <f t="shared" si="25"/>
        <v>32.200380000000003</v>
      </c>
      <c r="J75" s="193"/>
      <c r="K75" s="198" t="s">
        <v>15</v>
      </c>
      <c r="L75" s="210">
        <f>'5-Opbouw uurtarieven'!AC47</f>
        <v>12.880152000000001</v>
      </c>
    </row>
    <row r="76" spans="1:12">
      <c r="A76" s="196" t="str">
        <f>A$105</f>
        <v>21.30 - 24.00</v>
      </c>
      <c r="B76" s="197">
        <f t="shared" ref="B76:I76" si="26">SUM((1+B$105)*$L73)+$L74</f>
        <v>16.744197600000003</v>
      </c>
      <c r="C76" s="197">
        <f t="shared" si="26"/>
        <v>16.744197600000003</v>
      </c>
      <c r="D76" s="197">
        <f t="shared" si="26"/>
        <v>16.744197600000003</v>
      </c>
      <c r="E76" s="197">
        <f t="shared" si="26"/>
        <v>16.744197600000003</v>
      </c>
      <c r="F76" s="197">
        <f t="shared" si="26"/>
        <v>19.320228</v>
      </c>
      <c r="G76" s="197">
        <f t="shared" si="26"/>
        <v>19.320228</v>
      </c>
      <c r="H76" s="197">
        <f t="shared" si="26"/>
        <v>19.320228</v>
      </c>
      <c r="I76" s="197">
        <f t="shared" si="26"/>
        <v>32.200380000000003</v>
      </c>
      <c r="J76" s="193"/>
      <c r="K76" s="202"/>
      <c r="L76" s="202"/>
    </row>
    <row r="77" spans="1:12">
      <c r="A77" s="200"/>
      <c r="B77" s="201"/>
      <c r="C77" s="201"/>
      <c r="D77" s="201"/>
      <c r="E77" s="201"/>
      <c r="F77" s="201"/>
      <c r="G77" s="201"/>
      <c r="H77" s="201"/>
      <c r="I77" s="214"/>
      <c r="J77" s="193"/>
      <c r="K77" s="202"/>
      <c r="L77" s="202"/>
    </row>
    <row r="78" spans="1:12">
      <c r="A78" s="203"/>
      <c r="B78" s="187"/>
      <c r="C78" s="187"/>
      <c r="D78" s="187"/>
      <c r="E78" s="193"/>
      <c r="F78" s="193"/>
      <c r="G78" s="193"/>
      <c r="H78" s="193"/>
      <c r="I78" s="193"/>
      <c r="J78" s="193"/>
      <c r="K78" s="202"/>
      <c r="L78" s="202"/>
    </row>
    <row r="79" spans="1:12">
      <c r="A79" s="203"/>
      <c r="B79" s="187"/>
      <c r="C79" s="187"/>
      <c r="D79" s="187"/>
      <c r="E79" s="193"/>
      <c r="F79" s="193"/>
      <c r="G79" s="193"/>
      <c r="H79" s="193"/>
      <c r="I79" s="193"/>
      <c r="J79" s="182"/>
      <c r="K79" s="202"/>
      <c r="L79" s="202"/>
    </row>
    <row r="80" spans="1:12" ht="17.100000000000001" customHeight="1">
      <c r="A80" s="211" t="s">
        <v>122</v>
      </c>
      <c r="B80" s="184"/>
      <c r="C80" s="184"/>
      <c r="D80" s="184"/>
      <c r="E80" s="185"/>
      <c r="F80" s="185"/>
      <c r="G80" s="185"/>
      <c r="H80" s="185"/>
      <c r="I80" s="212" t="s">
        <v>78</v>
      </c>
      <c r="J80" s="187"/>
      <c r="K80" s="188" t="str">
        <f>A80</f>
        <v>Medewerker lngrp. 3 (8 jaar en langer)</v>
      </c>
      <c r="L80" s="188" t="s">
        <v>12</v>
      </c>
    </row>
    <row r="81" spans="1:12">
      <c r="A81" s="190" t="s">
        <v>252</v>
      </c>
      <c r="B81" s="191" t="s">
        <v>253</v>
      </c>
      <c r="C81" s="191" t="s">
        <v>254</v>
      </c>
      <c r="D81" s="191" t="s">
        <v>255</v>
      </c>
      <c r="E81" s="192" t="s">
        <v>256</v>
      </c>
      <c r="F81" s="192" t="s">
        <v>257</v>
      </c>
      <c r="G81" s="192" t="s">
        <v>258</v>
      </c>
      <c r="H81" s="192" t="s">
        <v>158</v>
      </c>
      <c r="I81" s="213" t="s">
        <v>170</v>
      </c>
      <c r="J81" s="193"/>
      <c r="K81" s="194" t="s">
        <v>13</v>
      </c>
      <c r="L81" s="209">
        <f>'5-Opbouw uurtarieven'!AF26</f>
        <v>13.21308</v>
      </c>
    </row>
    <row r="82" spans="1:12">
      <c r="A82" s="196" t="str">
        <f>A$103</f>
        <v>00.00 - 06.00</v>
      </c>
      <c r="B82" s="197">
        <f t="shared" ref="B82:I82" si="27">SUM((1+B$103)*$L81)+$L82</f>
        <v>19.81962</v>
      </c>
      <c r="C82" s="197">
        <f t="shared" si="27"/>
        <v>17.177004</v>
      </c>
      <c r="D82" s="197">
        <f t="shared" si="27"/>
        <v>17.177004</v>
      </c>
      <c r="E82" s="197">
        <f t="shared" si="27"/>
        <v>17.177004</v>
      </c>
      <c r="F82" s="197">
        <f t="shared" si="27"/>
        <v>17.177004</v>
      </c>
      <c r="G82" s="197">
        <f t="shared" si="27"/>
        <v>19.81962</v>
      </c>
      <c r="H82" s="197">
        <f t="shared" si="27"/>
        <v>19.81962</v>
      </c>
      <c r="I82" s="197">
        <f t="shared" si="27"/>
        <v>33.032699999999998</v>
      </c>
      <c r="J82" s="193"/>
      <c r="K82" s="194" t="s">
        <v>14</v>
      </c>
      <c r="L82" s="209">
        <f>L83-L81</f>
        <v>0</v>
      </c>
    </row>
    <row r="83" spans="1:12">
      <c r="A83" s="196" t="str">
        <f>A$104</f>
        <v>06.00 - 21.30</v>
      </c>
      <c r="B83" s="197">
        <f t="shared" ref="B83:I83" si="28">SUM((1+B$104)*$L81)+$L82</f>
        <v>13.21308</v>
      </c>
      <c r="C83" s="197">
        <f t="shared" si="28"/>
        <v>13.21308</v>
      </c>
      <c r="D83" s="197">
        <f t="shared" si="28"/>
        <v>13.21308</v>
      </c>
      <c r="E83" s="197">
        <f t="shared" si="28"/>
        <v>13.21308</v>
      </c>
      <c r="F83" s="197">
        <f t="shared" si="28"/>
        <v>13.21308</v>
      </c>
      <c r="G83" s="197">
        <f t="shared" si="28"/>
        <v>19.81962</v>
      </c>
      <c r="H83" s="197">
        <f t="shared" si="28"/>
        <v>19.81962</v>
      </c>
      <c r="I83" s="197">
        <f t="shared" si="28"/>
        <v>33.032699999999998</v>
      </c>
      <c r="J83" s="193"/>
      <c r="K83" s="198" t="s">
        <v>15</v>
      </c>
      <c r="L83" s="210">
        <f>'5-Opbouw uurtarieven'!AF47</f>
        <v>13.21308</v>
      </c>
    </row>
    <row r="84" spans="1:12">
      <c r="A84" s="196" t="str">
        <f>A$105</f>
        <v>21.30 - 24.00</v>
      </c>
      <c r="B84" s="197">
        <f t="shared" ref="B84:I84" si="29">SUM((1+B$105)*$L81)+$L82</f>
        <v>17.177004</v>
      </c>
      <c r="C84" s="197">
        <f t="shared" si="29"/>
        <v>17.177004</v>
      </c>
      <c r="D84" s="197">
        <f t="shared" si="29"/>
        <v>17.177004</v>
      </c>
      <c r="E84" s="197">
        <f t="shared" si="29"/>
        <v>17.177004</v>
      </c>
      <c r="F84" s="197">
        <f t="shared" si="29"/>
        <v>19.81962</v>
      </c>
      <c r="G84" s="197">
        <f t="shared" si="29"/>
        <v>19.81962</v>
      </c>
      <c r="H84" s="197">
        <f t="shared" si="29"/>
        <v>19.81962</v>
      </c>
      <c r="I84" s="197">
        <f t="shared" si="29"/>
        <v>33.032699999999998</v>
      </c>
      <c r="J84" s="193"/>
      <c r="K84" s="202"/>
      <c r="L84" s="202"/>
    </row>
    <row r="85" spans="1:12">
      <c r="A85" s="200"/>
      <c r="B85" s="201"/>
      <c r="C85" s="201"/>
      <c r="D85" s="201"/>
      <c r="E85" s="201"/>
      <c r="F85" s="201"/>
      <c r="G85" s="201"/>
      <c r="H85" s="201"/>
      <c r="I85" s="214"/>
      <c r="J85" s="193"/>
      <c r="K85" s="202"/>
      <c r="L85" s="202"/>
    </row>
    <row r="86" spans="1:12">
      <c r="A86" s="203"/>
      <c r="B86" s="187"/>
      <c r="C86" s="187"/>
      <c r="D86" s="187"/>
      <c r="E86" s="193"/>
      <c r="F86" s="193"/>
      <c r="G86" s="193"/>
      <c r="H86" s="193"/>
      <c r="I86" s="193"/>
      <c r="J86" s="182"/>
      <c r="K86" s="202"/>
      <c r="L86" s="202"/>
    </row>
    <row r="87" spans="1:12" ht="17.100000000000001" customHeight="1">
      <c r="A87" s="791" t="s">
        <v>63</v>
      </c>
      <c r="B87" s="793"/>
      <c r="C87" s="184"/>
      <c r="D87" s="184"/>
      <c r="E87" s="185"/>
      <c r="F87" s="185"/>
      <c r="G87" s="185"/>
      <c r="H87" s="185"/>
      <c r="I87" s="212" t="s">
        <v>78</v>
      </c>
      <c r="J87" s="187"/>
      <c r="K87" s="188" t="str">
        <f>A87</f>
        <v>Glazenwasser lngrp. 2 (1 tot 8 jaar)</v>
      </c>
      <c r="L87" s="188" t="s">
        <v>12</v>
      </c>
    </row>
    <row r="88" spans="1:12">
      <c r="A88" s="190" t="s">
        <v>252</v>
      </c>
      <c r="B88" s="191" t="s">
        <v>253</v>
      </c>
      <c r="C88" s="191" t="s">
        <v>254</v>
      </c>
      <c r="D88" s="191" t="s">
        <v>255</v>
      </c>
      <c r="E88" s="192" t="s">
        <v>256</v>
      </c>
      <c r="F88" s="192" t="s">
        <v>257</v>
      </c>
      <c r="G88" s="192" t="s">
        <v>258</v>
      </c>
      <c r="H88" s="192" t="s">
        <v>158</v>
      </c>
      <c r="I88" s="213" t="s">
        <v>170</v>
      </c>
      <c r="J88" s="193"/>
      <c r="K88" s="194" t="s">
        <v>13</v>
      </c>
      <c r="L88" s="209">
        <f>'5-Opbouw uurtarieven'!AI26</f>
        <v>11.787732</v>
      </c>
    </row>
    <row r="89" spans="1:12">
      <c r="A89" s="196" t="str">
        <f>A$103</f>
        <v>00.00 - 06.00</v>
      </c>
      <c r="B89" s="197">
        <f t="shared" ref="B89:I89" si="30">SUM((1+B$103)*$L88)+$L89</f>
        <v>17.681598000000001</v>
      </c>
      <c r="C89" s="197">
        <f t="shared" si="30"/>
        <v>15.324051600000001</v>
      </c>
      <c r="D89" s="197">
        <f t="shared" si="30"/>
        <v>15.324051600000001</v>
      </c>
      <c r="E89" s="197">
        <f t="shared" si="30"/>
        <v>15.324051600000001</v>
      </c>
      <c r="F89" s="197">
        <f t="shared" si="30"/>
        <v>15.324051600000001</v>
      </c>
      <c r="G89" s="197">
        <f t="shared" si="30"/>
        <v>17.681598000000001</v>
      </c>
      <c r="H89" s="197">
        <f t="shared" si="30"/>
        <v>17.681598000000001</v>
      </c>
      <c r="I89" s="197">
        <f t="shared" si="30"/>
        <v>29.469329999999999</v>
      </c>
      <c r="J89" s="193"/>
      <c r="K89" s="194" t="s">
        <v>14</v>
      </c>
      <c r="L89" s="209">
        <f>L90-L88</f>
        <v>0</v>
      </c>
    </row>
    <row r="90" spans="1:12">
      <c r="A90" s="196" t="str">
        <f>A$104</f>
        <v>06.00 - 21.30</v>
      </c>
      <c r="B90" s="197">
        <f t="shared" ref="B90:I90" si="31">SUM((1+B$104)*$L88)+$L89</f>
        <v>11.787732</v>
      </c>
      <c r="C90" s="197">
        <f t="shared" si="31"/>
        <v>11.787732</v>
      </c>
      <c r="D90" s="197">
        <f t="shared" si="31"/>
        <v>11.787732</v>
      </c>
      <c r="E90" s="197">
        <f t="shared" si="31"/>
        <v>11.787732</v>
      </c>
      <c r="F90" s="197">
        <f t="shared" si="31"/>
        <v>11.787732</v>
      </c>
      <c r="G90" s="197">
        <f t="shared" si="31"/>
        <v>17.681598000000001</v>
      </c>
      <c r="H90" s="197">
        <f t="shared" si="31"/>
        <v>17.681598000000001</v>
      </c>
      <c r="I90" s="197">
        <f t="shared" si="31"/>
        <v>29.469329999999999</v>
      </c>
      <c r="J90" s="193"/>
      <c r="K90" s="198" t="s">
        <v>15</v>
      </c>
      <c r="L90" s="210">
        <f>'5-Opbouw uurtarieven'!AI47</f>
        <v>11.787732</v>
      </c>
    </row>
    <row r="91" spans="1:12">
      <c r="A91" s="196" t="str">
        <f>A$105</f>
        <v>21.30 - 24.00</v>
      </c>
      <c r="B91" s="197">
        <f t="shared" ref="B91:I91" si="32">SUM((1+B$105)*$L88)+$L89</f>
        <v>15.324051600000001</v>
      </c>
      <c r="C91" s="197">
        <f t="shared" si="32"/>
        <v>15.324051600000001</v>
      </c>
      <c r="D91" s="197">
        <f t="shared" si="32"/>
        <v>15.324051600000001</v>
      </c>
      <c r="E91" s="197">
        <f t="shared" si="32"/>
        <v>15.324051600000001</v>
      </c>
      <c r="F91" s="197">
        <f t="shared" si="32"/>
        <v>17.681598000000001</v>
      </c>
      <c r="G91" s="197">
        <f t="shared" si="32"/>
        <v>17.681598000000001</v>
      </c>
      <c r="H91" s="197">
        <f t="shared" si="32"/>
        <v>17.681598000000001</v>
      </c>
      <c r="I91" s="197">
        <f t="shared" si="32"/>
        <v>29.469329999999999</v>
      </c>
      <c r="J91" s="193"/>
      <c r="K91" s="202"/>
      <c r="L91" s="202"/>
    </row>
    <row r="92" spans="1:12">
      <c r="A92" s="200"/>
      <c r="B92" s="201"/>
      <c r="C92" s="201"/>
      <c r="D92" s="201"/>
      <c r="E92" s="201"/>
      <c r="F92" s="201"/>
      <c r="G92" s="201"/>
      <c r="H92" s="201"/>
      <c r="I92" s="214"/>
      <c r="J92" s="193"/>
      <c r="K92" s="202"/>
      <c r="L92" s="202"/>
    </row>
    <row r="93" spans="1:12">
      <c r="A93" s="203"/>
      <c r="B93" s="187"/>
      <c r="C93" s="187"/>
      <c r="D93" s="187"/>
      <c r="E93" s="193"/>
      <c r="F93" s="193"/>
      <c r="G93" s="193"/>
      <c r="H93" s="193"/>
      <c r="I93" s="193"/>
      <c r="J93" s="182"/>
      <c r="K93" s="202"/>
      <c r="L93" s="202"/>
    </row>
    <row r="94" spans="1:12" ht="17.100000000000001" customHeight="1">
      <c r="A94" s="211"/>
      <c r="B94" s="184"/>
      <c r="C94" s="184"/>
      <c r="D94" s="184"/>
      <c r="E94" s="185"/>
      <c r="F94" s="185"/>
      <c r="G94" s="185"/>
      <c r="H94" s="185"/>
      <c r="I94" s="212" t="s">
        <v>78</v>
      </c>
      <c r="J94" s="187"/>
      <c r="K94" s="188">
        <f>A94</f>
        <v>0</v>
      </c>
      <c r="L94" s="189" t="s">
        <v>12</v>
      </c>
    </row>
    <row r="95" spans="1:12">
      <c r="A95" s="190" t="s">
        <v>252</v>
      </c>
      <c r="B95" s="191" t="s">
        <v>253</v>
      </c>
      <c r="C95" s="191" t="s">
        <v>254</v>
      </c>
      <c r="D95" s="191" t="s">
        <v>255</v>
      </c>
      <c r="E95" s="192" t="s">
        <v>256</v>
      </c>
      <c r="F95" s="192" t="s">
        <v>257</v>
      </c>
      <c r="G95" s="192" t="s">
        <v>258</v>
      </c>
      <c r="H95" s="192" t="s">
        <v>158</v>
      </c>
      <c r="I95" s="213" t="s">
        <v>170</v>
      </c>
      <c r="J95" s="193"/>
      <c r="K95" s="194" t="s">
        <v>13</v>
      </c>
      <c r="L95" s="195"/>
    </row>
    <row r="96" spans="1:12">
      <c r="A96" s="196" t="str">
        <f>A$103</f>
        <v>00.00 - 06.00</v>
      </c>
      <c r="B96" s="197">
        <f t="shared" ref="B96:I96" si="33">SUM((1+B$103)*$L95)+$L96</f>
        <v>0</v>
      </c>
      <c r="C96" s="197">
        <f t="shared" si="33"/>
        <v>0</v>
      </c>
      <c r="D96" s="197">
        <f t="shared" si="33"/>
        <v>0</v>
      </c>
      <c r="E96" s="197">
        <f t="shared" si="33"/>
        <v>0</v>
      </c>
      <c r="F96" s="197">
        <f t="shared" si="33"/>
        <v>0</v>
      </c>
      <c r="G96" s="197">
        <f t="shared" si="33"/>
        <v>0</v>
      </c>
      <c r="H96" s="197">
        <f t="shared" si="33"/>
        <v>0</v>
      </c>
      <c r="I96" s="197">
        <f t="shared" si="33"/>
        <v>0</v>
      </c>
      <c r="J96" s="193"/>
      <c r="K96" s="194" t="s">
        <v>14</v>
      </c>
      <c r="L96" s="195"/>
    </row>
    <row r="97" spans="1:12">
      <c r="A97" s="196" t="str">
        <f>A$104</f>
        <v>06.00 - 21.30</v>
      </c>
      <c r="B97" s="197">
        <f t="shared" ref="B97:I97" si="34">SUM((1+B$104)*$L95)+$L96</f>
        <v>0</v>
      </c>
      <c r="C97" s="197">
        <f t="shared" si="34"/>
        <v>0</v>
      </c>
      <c r="D97" s="197">
        <f t="shared" si="34"/>
        <v>0</v>
      </c>
      <c r="E97" s="197">
        <f t="shared" si="34"/>
        <v>0</v>
      </c>
      <c r="F97" s="197">
        <f t="shared" si="34"/>
        <v>0</v>
      </c>
      <c r="G97" s="197">
        <f t="shared" si="34"/>
        <v>0</v>
      </c>
      <c r="H97" s="197">
        <f t="shared" si="34"/>
        <v>0</v>
      </c>
      <c r="I97" s="197">
        <f t="shared" si="34"/>
        <v>0</v>
      </c>
      <c r="J97" s="193"/>
      <c r="K97" s="198" t="s">
        <v>15</v>
      </c>
      <c r="L97" s="199"/>
    </row>
    <row r="98" spans="1:12">
      <c r="A98" s="196" t="str">
        <f>A$105</f>
        <v>21.30 - 24.00</v>
      </c>
      <c r="B98" s="197">
        <f t="shared" ref="B98:I98" si="35">SUM((1+B$105)*$L95)+$L96</f>
        <v>0</v>
      </c>
      <c r="C98" s="197">
        <f t="shared" si="35"/>
        <v>0</v>
      </c>
      <c r="D98" s="197">
        <f t="shared" si="35"/>
        <v>0</v>
      </c>
      <c r="E98" s="197">
        <f t="shared" si="35"/>
        <v>0</v>
      </c>
      <c r="F98" s="197">
        <f t="shared" si="35"/>
        <v>0</v>
      </c>
      <c r="G98" s="197">
        <f t="shared" si="35"/>
        <v>0</v>
      </c>
      <c r="H98" s="197">
        <f t="shared" si="35"/>
        <v>0</v>
      </c>
      <c r="I98" s="197">
        <f t="shared" si="35"/>
        <v>0</v>
      </c>
      <c r="J98" s="193"/>
      <c r="K98" s="202"/>
      <c r="L98" s="202"/>
    </row>
    <row r="99" spans="1:12">
      <c r="A99" s="200"/>
      <c r="B99" s="201"/>
      <c r="C99" s="201"/>
      <c r="D99" s="201"/>
      <c r="E99" s="201"/>
      <c r="F99" s="201"/>
      <c r="G99" s="201"/>
      <c r="H99" s="201"/>
      <c r="I99" s="214"/>
      <c r="J99" s="193"/>
      <c r="K99" s="202"/>
      <c r="L99" s="202"/>
    </row>
    <row r="100" spans="1:12">
      <c r="A100" s="203"/>
      <c r="B100" s="187"/>
      <c r="C100" s="187"/>
      <c r="D100" s="187"/>
      <c r="E100" s="193"/>
      <c r="F100" s="193"/>
      <c r="G100" s="193"/>
      <c r="H100" s="193"/>
      <c r="I100" s="193"/>
      <c r="J100" s="193"/>
      <c r="K100" s="202"/>
      <c r="L100" s="202"/>
    </row>
    <row r="101" spans="1:12" ht="17.100000000000001" customHeight="1">
      <c r="A101" s="218" t="s">
        <v>16</v>
      </c>
      <c r="B101" s="219"/>
      <c r="C101" s="219"/>
      <c r="D101" s="219"/>
      <c r="E101" s="220"/>
      <c r="F101" s="220"/>
      <c r="G101" s="220"/>
      <c r="H101" s="220"/>
      <c r="I101" s="221"/>
      <c r="K101" s="202"/>
      <c r="L101" s="202"/>
    </row>
    <row r="102" spans="1:12">
      <c r="A102" s="222" t="s">
        <v>252</v>
      </c>
      <c r="B102" s="223" t="s">
        <v>253</v>
      </c>
      <c r="C102" s="223" t="s">
        <v>254</v>
      </c>
      <c r="D102" s="223" t="s">
        <v>255</v>
      </c>
      <c r="E102" s="224" t="s">
        <v>256</v>
      </c>
      <c r="F102" s="224" t="s">
        <v>257</v>
      </c>
      <c r="G102" s="224" t="s">
        <v>258</v>
      </c>
      <c r="H102" s="224" t="s">
        <v>158</v>
      </c>
      <c r="I102" s="224" t="s">
        <v>170</v>
      </c>
      <c r="K102" s="202"/>
      <c r="L102" s="202"/>
    </row>
    <row r="103" spans="1:12">
      <c r="A103" s="225" t="s">
        <v>17</v>
      </c>
      <c r="B103" s="226">
        <v>0.5</v>
      </c>
      <c r="C103" s="226">
        <v>0.3</v>
      </c>
      <c r="D103" s="226">
        <v>0.3</v>
      </c>
      <c r="E103" s="226">
        <v>0.3</v>
      </c>
      <c r="F103" s="226">
        <v>0.3</v>
      </c>
      <c r="G103" s="226">
        <v>0.5</v>
      </c>
      <c r="H103" s="226">
        <v>0.5</v>
      </c>
      <c r="I103" s="226">
        <v>1.5</v>
      </c>
      <c r="K103" s="202"/>
      <c r="L103" s="202"/>
    </row>
    <row r="104" spans="1:12">
      <c r="A104" s="227" t="s">
        <v>271</v>
      </c>
      <c r="B104" s="226">
        <v>0</v>
      </c>
      <c r="C104" s="226">
        <v>0</v>
      </c>
      <c r="D104" s="226">
        <v>0</v>
      </c>
      <c r="E104" s="226">
        <v>0</v>
      </c>
      <c r="F104" s="226">
        <v>0</v>
      </c>
      <c r="G104" s="226">
        <v>0.5</v>
      </c>
      <c r="H104" s="226">
        <v>0.5</v>
      </c>
      <c r="I104" s="226">
        <v>1.5</v>
      </c>
      <c r="K104" s="202"/>
      <c r="L104" s="202"/>
    </row>
    <row r="105" spans="1:12">
      <c r="A105" s="227" t="s">
        <v>57</v>
      </c>
      <c r="B105" s="226">
        <v>0.3</v>
      </c>
      <c r="C105" s="226">
        <v>0.3</v>
      </c>
      <c r="D105" s="226">
        <v>0.3</v>
      </c>
      <c r="E105" s="226">
        <v>0.3</v>
      </c>
      <c r="F105" s="226">
        <v>0.5</v>
      </c>
      <c r="G105" s="226">
        <v>0.5</v>
      </c>
      <c r="H105" s="226">
        <v>0.5</v>
      </c>
      <c r="I105" s="226">
        <v>1.5</v>
      </c>
      <c r="K105" s="202"/>
      <c r="L105" s="202"/>
    </row>
    <row r="106" spans="1:12">
      <c r="A106" s="228"/>
      <c r="B106" s="228"/>
      <c r="C106" s="228"/>
      <c r="D106" s="228"/>
      <c r="E106" s="228"/>
      <c r="F106" s="228"/>
      <c r="G106" s="228"/>
      <c r="H106" s="228"/>
      <c r="I106" s="228"/>
      <c r="K106" s="202"/>
      <c r="L106" s="202"/>
    </row>
    <row r="107" spans="1:12">
      <c r="K107" s="202"/>
      <c r="L107" s="202"/>
    </row>
    <row r="108" spans="1:12">
      <c r="K108" s="202"/>
      <c r="L108" s="202"/>
    </row>
    <row r="109" spans="1:12">
      <c r="K109" s="202"/>
      <c r="L109" s="202"/>
    </row>
    <row r="110" spans="1:12">
      <c r="K110" s="202"/>
      <c r="L110" s="202"/>
    </row>
    <row r="111" spans="1:12">
      <c r="K111" s="202"/>
      <c r="L111" s="202"/>
    </row>
    <row r="112" spans="1:12">
      <c r="K112" s="202"/>
      <c r="L112" s="202"/>
    </row>
    <row r="113" spans="11:12">
      <c r="K113" s="202"/>
      <c r="L113" s="202"/>
    </row>
    <row r="114" spans="11:12">
      <c r="K114" s="202"/>
      <c r="L114" s="202"/>
    </row>
    <row r="115" spans="11:12">
      <c r="K115" s="202"/>
      <c r="L115" s="202"/>
    </row>
    <row r="116" spans="11:12">
      <c r="K116" s="202"/>
      <c r="L116" s="202"/>
    </row>
    <row r="117" spans="11:12">
      <c r="K117" s="202"/>
      <c r="L117" s="202"/>
    </row>
    <row r="118" spans="11:12">
      <c r="K118" s="202"/>
      <c r="L118" s="202"/>
    </row>
    <row r="119" spans="11:12">
      <c r="K119" s="202"/>
      <c r="L119" s="202"/>
    </row>
    <row r="120" spans="11:12">
      <c r="K120" s="202"/>
      <c r="L120" s="202"/>
    </row>
    <row r="121" spans="11:12">
      <c r="K121" s="202"/>
      <c r="L121" s="202"/>
    </row>
    <row r="122" spans="11:12">
      <c r="K122" s="202"/>
      <c r="L122" s="202"/>
    </row>
    <row r="123" spans="11:12">
      <c r="K123" s="202"/>
      <c r="L123" s="202"/>
    </row>
    <row r="124" spans="11:12">
      <c r="K124" s="202"/>
      <c r="L124" s="202"/>
    </row>
    <row r="125" spans="11:12">
      <c r="K125" s="202"/>
      <c r="L125" s="202"/>
    </row>
    <row r="126" spans="11:12">
      <c r="K126" s="202"/>
      <c r="L126" s="202"/>
    </row>
    <row r="127" spans="11:12">
      <c r="K127" s="202"/>
      <c r="L127" s="202"/>
    </row>
    <row r="128" spans="11:12">
      <c r="K128" s="202"/>
      <c r="L128" s="202"/>
    </row>
    <row r="129" spans="11:12">
      <c r="K129" s="202"/>
      <c r="L129" s="202"/>
    </row>
    <row r="130" spans="11:12">
      <c r="K130" s="202"/>
      <c r="L130" s="202"/>
    </row>
    <row r="131" spans="11:12">
      <c r="K131" s="202"/>
      <c r="L131" s="202"/>
    </row>
    <row r="132" spans="11:12">
      <c r="K132" s="202"/>
      <c r="L132" s="202"/>
    </row>
    <row r="133" spans="11:12">
      <c r="K133" s="202"/>
      <c r="L133" s="202"/>
    </row>
    <row r="134" spans="11:12">
      <c r="K134" s="202"/>
      <c r="L134" s="202"/>
    </row>
    <row r="135" spans="11:12">
      <c r="K135" s="202"/>
      <c r="L135" s="202"/>
    </row>
    <row r="136" spans="11:12">
      <c r="K136" s="202"/>
      <c r="L136" s="202"/>
    </row>
    <row r="137" spans="11:12">
      <c r="K137" s="202"/>
      <c r="L137" s="202"/>
    </row>
    <row r="138" spans="11:12">
      <c r="K138" s="202"/>
      <c r="L138" s="202"/>
    </row>
    <row r="139" spans="11:12">
      <c r="K139" s="202"/>
      <c r="L139" s="202"/>
    </row>
    <row r="140" spans="11:12">
      <c r="K140" s="202"/>
      <c r="L140" s="202"/>
    </row>
    <row r="141" spans="11:12">
      <c r="K141" s="202"/>
      <c r="L141" s="202"/>
    </row>
    <row r="142" spans="11:12">
      <c r="K142" s="202"/>
      <c r="L142" s="202"/>
    </row>
    <row r="143" spans="11:12">
      <c r="K143" s="202"/>
      <c r="L143" s="202"/>
    </row>
    <row r="144" spans="11:12">
      <c r="K144" s="202"/>
      <c r="L144" s="202"/>
    </row>
    <row r="145" spans="11:12">
      <c r="K145" s="202"/>
      <c r="L145" s="202"/>
    </row>
    <row r="146" spans="11:12">
      <c r="K146" s="202"/>
      <c r="L146" s="202"/>
    </row>
    <row r="147" spans="11:12">
      <c r="K147" s="202"/>
      <c r="L147" s="202"/>
    </row>
    <row r="148" spans="11:12">
      <c r="K148" s="202"/>
      <c r="L148" s="202"/>
    </row>
    <row r="149" spans="11:12">
      <c r="K149" s="202"/>
      <c r="L149" s="202"/>
    </row>
    <row r="150" spans="11:12">
      <c r="K150" s="202"/>
      <c r="L150" s="202"/>
    </row>
    <row r="151" spans="11:12">
      <c r="K151" s="202"/>
      <c r="L151" s="202"/>
    </row>
    <row r="152" spans="11:12">
      <c r="K152" s="202"/>
      <c r="L152" s="202"/>
    </row>
    <row r="153" spans="11:12">
      <c r="K153" s="202"/>
      <c r="L153" s="202"/>
    </row>
    <row r="154" spans="11:12">
      <c r="K154" s="202"/>
      <c r="L154" s="202"/>
    </row>
    <row r="155" spans="11:12">
      <c r="K155" s="202"/>
      <c r="L155" s="202"/>
    </row>
    <row r="156" spans="11:12">
      <c r="K156" s="202"/>
      <c r="L156" s="202"/>
    </row>
    <row r="157" spans="11:12">
      <c r="K157" s="202"/>
      <c r="L157" s="202"/>
    </row>
    <row r="158" spans="11:12">
      <c r="K158" s="202"/>
      <c r="L158" s="202"/>
    </row>
    <row r="159" spans="11:12">
      <c r="K159" s="202"/>
      <c r="L159" s="202"/>
    </row>
    <row r="160" spans="11:12">
      <c r="K160" s="202"/>
      <c r="L160" s="202"/>
    </row>
    <row r="161" spans="11:12">
      <c r="K161" s="202"/>
      <c r="L161" s="202"/>
    </row>
    <row r="162" spans="11:12">
      <c r="K162" s="202"/>
      <c r="L162" s="202"/>
    </row>
    <row r="163" spans="11:12">
      <c r="K163" s="202"/>
      <c r="L163" s="202"/>
    </row>
    <row r="164" spans="11:12">
      <c r="K164" s="202"/>
      <c r="L164" s="202"/>
    </row>
    <row r="165" spans="11:12">
      <c r="K165" s="202"/>
      <c r="L165" s="202"/>
    </row>
    <row r="166" spans="11:12">
      <c r="K166" s="202"/>
      <c r="L166" s="202"/>
    </row>
    <row r="167" spans="11:12">
      <c r="K167" s="202"/>
      <c r="L167" s="202"/>
    </row>
    <row r="168" spans="11:12">
      <c r="K168" s="202"/>
      <c r="L168" s="202"/>
    </row>
    <row r="169" spans="11:12">
      <c r="K169" s="202"/>
      <c r="L169" s="202"/>
    </row>
    <row r="170" spans="11:12">
      <c r="K170" s="202"/>
      <c r="L170" s="202"/>
    </row>
    <row r="171" spans="11:12">
      <c r="K171" s="202"/>
      <c r="L171" s="202"/>
    </row>
    <row r="172" spans="11:12">
      <c r="K172" s="202"/>
      <c r="L172" s="202"/>
    </row>
    <row r="173" spans="11:12">
      <c r="K173" s="202"/>
      <c r="L173" s="202"/>
    </row>
    <row r="174" spans="11:12">
      <c r="K174" s="202"/>
      <c r="L174" s="202"/>
    </row>
    <row r="175" spans="11:12">
      <c r="K175" s="202"/>
      <c r="L175" s="202"/>
    </row>
    <row r="176" spans="11:12">
      <c r="K176" s="202"/>
      <c r="L176" s="202"/>
    </row>
    <row r="177" spans="11:12">
      <c r="K177" s="202"/>
      <c r="L177" s="202"/>
    </row>
    <row r="178" spans="11:12">
      <c r="K178" s="202"/>
      <c r="L178" s="202"/>
    </row>
    <row r="179" spans="11:12">
      <c r="K179" s="202"/>
      <c r="L179" s="202"/>
    </row>
    <row r="180" spans="11:12">
      <c r="K180" s="202"/>
      <c r="L180" s="202"/>
    </row>
    <row r="181" spans="11:12">
      <c r="K181" s="202"/>
      <c r="L181" s="202"/>
    </row>
    <row r="182" spans="11:12">
      <c r="K182" s="202"/>
      <c r="L182" s="202"/>
    </row>
    <row r="183" spans="11:12">
      <c r="K183" s="202"/>
      <c r="L183" s="202"/>
    </row>
    <row r="184" spans="11:12">
      <c r="K184" s="202"/>
      <c r="L184" s="202"/>
    </row>
    <row r="185" spans="11:12">
      <c r="K185" s="202"/>
      <c r="L185" s="202"/>
    </row>
    <row r="186" spans="11:12">
      <c r="K186" s="202"/>
      <c r="L186" s="202"/>
    </row>
    <row r="187" spans="11:12">
      <c r="K187" s="202"/>
      <c r="L187" s="202"/>
    </row>
    <row r="188" spans="11:12">
      <c r="K188" s="202"/>
      <c r="L188" s="202"/>
    </row>
    <row r="189" spans="11:12">
      <c r="K189" s="202"/>
      <c r="L189" s="202"/>
    </row>
    <row r="190" spans="11:12">
      <c r="K190" s="202"/>
      <c r="L190" s="202"/>
    </row>
    <row r="191" spans="11:12">
      <c r="K191" s="202"/>
      <c r="L191" s="202"/>
    </row>
    <row r="192" spans="11:12">
      <c r="K192" s="202"/>
      <c r="L192" s="202"/>
    </row>
    <row r="193" spans="11:12">
      <c r="K193" s="202"/>
      <c r="L193" s="202"/>
    </row>
    <row r="194" spans="11:12">
      <c r="K194" s="202"/>
      <c r="L194" s="202"/>
    </row>
    <row r="195" spans="11:12">
      <c r="K195" s="202"/>
      <c r="L195" s="202"/>
    </row>
    <row r="196" spans="11:12">
      <c r="K196" s="202"/>
      <c r="L196" s="202"/>
    </row>
    <row r="197" spans="11:12">
      <c r="K197" s="202"/>
      <c r="L197" s="202"/>
    </row>
    <row r="198" spans="11:12">
      <c r="K198" s="202"/>
      <c r="L198" s="202"/>
    </row>
    <row r="199" spans="11:12">
      <c r="K199" s="202"/>
      <c r="L199" s="202"/>
    </row>
    <row r="200" spans="11:12">
      <c r="K200" s="202"/>
      <c r="L200" s="202"/>
    </row>
    <row r="201" spans="11:12">
      <c r="K201" s="202"/>
      <c r="L201" s="202"/>
    </row>
    <row r="202" spans="11:12">
      <c r="K202" s="202"/>
      <c r="L202" s="202"/>
    </row>
    <row r="203" spans="11:12">
      <c r="K203" s="202"/>
      <c r="L203" s="202"/>
    </row>
    <row r="204" spans="11:12">
      <c r="K204" s="202"/>
      <c r="L204" s="202"/>
    </row>
    <row r="205" spans="11:12">
      <c r="K205" s="202"/>
      <c r="L205" s="202"/>
    </row>
    <row r="206" spans="11:12">
      <c r="K206" s="202"/>
      <c r="L206" s="202"/>
    </row>
    <row r="207" spans="11:12">
      <c r="K207" s="202"/>
      <c r="L207" s="202"/>
    </row>
    <row r="208" spans="11:12">
      <c r="K208" s="202"/>
      <c r="L208" s="202"/>
    </row>
    <row r="209" spans="11:12">
      <c r="K209" s="202"/>
      <c r="L209" s="202"/>
    </row>
    <row r="210" spans="11:12">
      <c r="K210" s="202"/>
      <c r="L210" s="202"/>
    </row>
    <row r="211" spans="11:12">
      <c r="K211" s="202"/>
      <c r="L211" s="202"/>
    </row>
    <row r="212" spans="11:12">
      <c r="K212" s="202"/>
      <c r="L212" s="202"/>
    </row>
    <row r="213" spans="11:12">
      <c r="K213" s="202"/>
      <c r="L213" s="202"/>
    </row>
    <row r="214" spans="11:12">
      <c r="K214" s="202"/>
      <c r="L214" s="202"/>
    </row>
    <row r="215" spans="11:12">
      <c r="K215" s="202"/>
      <c r="L215" s="202"/>
    </row>
    <row r="216" spans="11:12">
      <c r="K216" s="202"/>
      <c r="L216" s="202"/>
    </row>
    <row r="217" spans="11:12">
      <c r="K217" s="202"/>
      <c r="L217" s="202"/>
    </row>
    <row r="218" spans="11:12">
      <c r="K218" s="202"/>
      <c r="L218" s="202"/>
    </row>
    <row r="219" spans="11:12">
      <c r="K219" s="202"/>
      <c r="L219" s="202"/>
    </row>
    <row r="220" spans="11:12">
      <c r="K220" s="202"/>
      <c r="L220" s="202"/>
    </row>
    <row r="221" spans="11:12">
      <c r="K221" s="202"/>
      <c r="L221" s="202"/>
    </row>
    <row r="222" spans="11:12">
      <c r="K222" s="202"/>
      <c r="L222" s="202"/>
    </row>
    <row r="223" spans="11:12">
      <c r="K223" s="202"/>
      <c r="L223" s="202"/>
    </row>
    <row r="224" spans="11:12">
      <c r="K224" s="202"/>
      <c r="L224" s="202"/>
    </row>
    <row r="225" spans="11:12">
      <c r="K225" s="202"/>
      <c r="L225" s="202"/>
    </row>
    <row r="226" spans="11:12">
      <c r="K226" s="202"/>
      <c r="L226" s="202"/>
    </row>
  </sheetData>
  <mergeCells count="8">
    <mergeCell ref="A10:B10"/>
    <mergeCell ref="A26:B26"/>
    <mergeCell ref="A87:B87"/>
    <mergeCell ref="A18:D18"/>
    <mergeCell ref="A34:D34"/>
    <mergeCell ref="A42:C42"/>
    <mergeCell ref="A57:C57"/>
    <mergeCell ref="A64:C64"/>
  </mergeCells>
  <phoneticPr fontId="9"/>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18</vt:i4>
      </vt:variant>
    </vt:vector>
  </HeadingPairs>
  <TitlesOfParts>
    <vt:vector size="31" baseType="lpstr">
      <vt:lpstr>Toelichting calculatiemodel</vt:lpstr>
      <vt:lpstr>Info blad</vt:lpstr>
      <vt:lpstr>1-Contractblad</vt:lpstr>
      <vt:lpstr>2-Kengetal</vt:lpstr>
      <vt:lpstr>Locatieoverzicht</vt:lpstr>
      <vt:lpstr>3-Basis ruimtestaat</vt:lpstr>
      <vt:lpstr>4-Premies en opslagen</vt:lpstr>
      <vt:lpstr>5-Opbouw uurtarieven</vt:lpstr>
      <vt:lpstr>6- toeslagenmatrix</vt:lpstr>
      <vt:lpstr>7-Machine-investeringskosten</vt:lpstr>
      <vt:lpstr>8-Afroepprijs</vt:lpstr>
      <vt:lpstr>9-glasbewassing</vt:lpstr>
      <vt:lpstr>10-Sanitaire supplies</vt:lpstr>
      <vt:lpstr>'1-Contractblad'!Afdrukbereik</vt:lpstr>
      <vt:lpstr>'2-Kengetal'!Afdrukbereik</vt:lpstr>
      <vt:lpstr>'3-Basis ruimtestaat'!Afdrukbereik</vt:lpstr>
      <vt:lpstr>'4-Premies en opslagen'!Afdrukbereik</vt:lpstr>
      <vt:lpstr>'5-Opbouw uurtarieven'!Afdrukbereik</vt:lpstr>
      <vt:lpstr>'7-Machine-investeringskosten'!Afdrukbereik</vt:lpstr>
      <vt:lpstr>'8-Afroepprijs'!Afdrukbereik</vt:lpstr>
      <vt:lpstr>'Info blad'!Afdrukbereik</vt:lpstr>
      <vt:lpstr>'Toelichting calculatiemodel'!Afdrukbereik</vt:lpstr>
      <vt:lpstr>'1-Contractblad'!Afdruktitels</vt:lpstr>
      <vt:lpstr>'2-Kengetal'!Afdruktitels</vt:lpstr>
      <vt:lpstr>'3-Basis ruimtestaat'!Afdruktitels</vt:lpstr>
      <vt:lpstr>'5-Opbouw uurtarieven'!Afdruktitels</vt:lpstr>
      <vt:lpstr>'8-Afroepprijs'!Afdruktitels</vt:lpstr>
      <vt:lpstr>gebouw</vt:lpstr>
      <vt:lpstr>Kengetal</vt:lpstr>
      <vt:lpstr>uren_mavr</vt:lpstr>
      <vt:lpstr>uren_naloop</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van der Velde</dc:creator>
  <cp:lastModifiedBy>j.vandervelde</cp:lastModifiedBy>
  <cp:lastPrinted>2014-03-26T13:07:28Z</cp:lastPrinted>
  <dcterms:created xsi:type="dcterms:W3CDTF">1999-10-05T12:28:40Z</dcterms:created>
  <dcterms:modified xsi:type="dcterms:W3CDTF">2014-06-03T18:37:56Z</dcterms:modified>
</cp:coreProperties>
</file>