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ThisWorkbook" autoCompressPictures="0"/>
  <mc:AlternateContent xmlns:mc="http://schemas.openxmlformats.org/markup-compatibility/2006">
    <mc:Choice Requires="x15">
      <x15ac:absPath xmlns:x15ac="http://schemas.microsoft.com/office/spreadsheetml/2010/11/ac" url="/Users/pietervanleijen/Desktop/Invest NL/05. EU Aanbesteding/Verzonden 241223/"/>
    </mc:Choice>
  </mc:AlternateContent>
  <xr:revisionPtr revIDLastSave="0" documentId="13_ncr:1_{D96F3DDB-5793-F448-80C2-88DFEE8B141D}" xr6:coauthVersionLast="47" xr6:coauthVersionMax="47" xr10:uidLastSave="{00000000-0000-0000-0000-000000000000}"/>
  <bookViews>
    <workbookView xWindow="0" yWindow="760" windowWidth="34560" windowHeight="19800" tabRatio="896" firstSheet="2" activeTab="2" xr2:uid="{00000000-000D-0000-FFFF-FFFF00000000}"/>
  </bookViews>
  <sheets>
    <sheet name="Toelichting Calculatiemodel" sheetId="45" r:id="rId1"/>
    <sheet name="Voorblad" sheetId="33" r:id="rId2"/>
    <sheet name="1.0-Contractblad" sheetId="31" r:id="rId3"/>
    <sheet name="1.1a-Jaarprijzen" sheetId="28" r:id="rId4"/>
    <sheet name="1.2-Kengetal" sheetId="1" r:id="rId5"/>
    <sheet name="1.3-Basis ruimtestaat" sheetId="2" r:id="rId6"/>
    <sheet name="1.3A-Mutaties" sheetId="58" state="hidden" r:id="rId7"/>
    <sheet name="1.3b Verrekening mutaties" sheetId="44" state="hidden" r:id="rId8"/>
    <sheet name="1.4-Opbouw uurtarieven" sheetId="55" r:id="rId9"/>
    <sheet name="1.6-Machine-investeringskosten" sheetId="10" r:id="rId10"/>
    <sheet name="1.7-Additioneel" sheetId="5" r:id="rId11"/>
    <sheet name="1.7a-Afroepprijs" sheetId="59" r:id="rId12"/>
    <sheet name="1.8-Glasbewassing" sheetId="56" r:id="rId13"/>
  </sheets>
  <externalReferences>
    <externalReference r:id="rId14"/>
    <externalReference r:id="rId15"/>
    <externalReference r:id="rId16"/>
    <externalReference r:id="rId17"/>
  </externalReferences>
  <definedNames>
    <definedName name="_2F" localSheetId="7" hidden="1">[1]Blad1!#REF!</definedName>
    <definedName name="_2F" localSheetId="8" hidden="1">[2]Blad1!#REF!</definedName>
    <definedName name="_2F" localSheetId="0" hidden="1">[1]Blad1!#REF!</definedName>
    <definedName name="_2F" hidden="1">[1]Blad1!#REF!</definedName>
    <definedName name="_Dist_Bin" localSheetId="8" hidden="1">#REF!</definedName>
    <definedName name="_Dist_Bin" hidden="1">#REF!</definedName>
    <definedName name="_Dist_Values" localSheetId="8" hidden="1">#REF!</definedName>
    <definedName name="_Dist_Values" hidden="1">#REF!</definedName>
    <definedName name="_Fill" localSheetId="7" hidden="1">'[3]#REF'!#REF!</definedName>
    <definedName name="_Fill" localSheetId="8" hidden="1">'[3]#REF'!#REF!</definedName>
    <definedName name="_Fill" localSheetId="0" hidden="1">'[3]#REF'!#REF!</definedName>
    <definedName name="_Fill" hidden="1">'[3]#REF'!#REF!</definedName>
    <definedName name="_xlnm._FilterDatabase" localSheetId="3" hidden="1">'1.1a-Jaarprijzen'!$A$11:$N$15</definedName>
    <definedName name="_xlnm._FilterDatabase" localSheetId="4" hidden="1">'1.2-Kengetal'!$C$12:$O$26</definedName>
    <definedName name="_xlnm._FilterDatabase" localSheetId="5" hidden="1">'1.3-Basis ruimtestaat'!$B$12:$AA$81</definedName>
    <definedName name="_xlnm._FilterDatabase" localSheetId="6" hidden="1">'1.3A-Mutaties'!$B$12:$AA$29</definedName>
    <definedName name="_Key1" localSheetId="7" hidden="1">'[3]#REF'!#REF!</definedName>
    <definedName name="_Key1" localSheetId="8" hidden="1">'[3]#REF'!#REF!</definedName>
    <definedName name="_Key1" hidden="1">'[3]#REF'!#REF!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8" hidden="1">#REF!</definedName>
    <definedName name="_Sort" hidden="1">#REF!</definedName>
    <definedName name="_Table1_In1" localSheetId="8" hidden="1">#REF!</definedName>
    <definedName name="_Table1_In1" hidden="1">#REF!</definedName>
    <definedName name="_Table1_Out" hidden="1">#REF!</definedName>
    <definedName name="_xlnm.Print_Area" localSheetId="2">'1.0-Contractblad'!$D$13:$K$84</definedName>
    <definedName name="_xlnm.Print_Area" localSheetId="3">'1.1a-Jaarprijzen'!$B$1:$M$102</definedName>
    <definedName name="_xlnm.Print_Area" localSheetId="4">'1.2-Kengetal'!$B$4:$O$44</definedName>
    <definedName name="_xlnm.Print_Area" localSheetId="5">'1.3-Basis ruimtestaat'!$F$81:$Z$81</definedName>
    <definedName name="_xlnm.Print_Area" localSheetId="6">'1.3A-Mutaties'!#REF!</definedName>
    <definedName name="_xlnm.Print_Area" localSheetId="8">'1.4-Opbouw uurtarieven'!$B$1:$V$67</definedName>
    <definedName name="_xlnm.Print_Area" localSheetId="9">'1.6-Machine-investeringskosten'!$E$4:$I$141</definedName>
    <definedName name="_xlnm.Print_Area" localSheetId="10">'1.7-Additioneel'!$E$14:$M$51</definedName>
    <definedName name="_xlnm.Print_Area" localSheetId="11">'1.7a-Afroepprijs'!$E$14:$M$95</definedName>
    <definedName name="_xlnm.Print_Area" localSheetId="12">'1.8-Glasbewassing'!$D$3:$U$44</definedName>
    <definedName name="_xlnm.Print_Area" localSheetId="0">'Toelichting Calculatiemodel'!$F$3:$L$76</definedName>
    <definedName name="_xlnm.Print_Area" localSheetId="1">Voorblad!$B$1:$I$100</definedName>
    <definedName name="_xlnm.Print_Titles" localSheetId="2">'1.0-Contractblad'!$1:$14</definedName>
    <definedName name="_xlnm.Print_Titles" localSheetId="4">'1.2-Kengetal'!$1:$3</definedName>
    <definedName name="_xlnm.Print_Titles" localSheetId="5">'1.3-Basis ruimtestaat'!$E:$E,'1.3-Basis ruimtestaat'!$4:$12</definedName>
    <definedName name="_xlnm.Print_Titles" localSheetId="6">'1.3A-Mutaties'!$E:$E,'1.3A-Mutaties'!$4:$12</definedName>
    <definedName name="_xlnm.Print_Titles" localSheetId="9">'1.6-Machine-investeringskosten'!$E:$E,'1.6-Machine-investeringskosten'!$4:$10</definedName>
    <definedName name="_xlnm.Print_Titles" localSheetId="10">'1.7-Additioneel'!$5:$13</definedName>
    <definedName name="_xlnm.Print_Titles" localSheetId="11">'1.7a-Afroepprijs'!$5:$13</definedName>
    <definedName name="Allelocaties" localSheetId="6">'1.3A-Mutaties'!$A:$T</definedName>
    <definedName name="Allelocaties">'1.3-Basis ruimtestaat'!$A:$T</definedName>
    <definedName name="BasisTarief" localSheetId="8">'1.4-Opbouw uurtarieven'!$N$16:$XFD$65</definedName>
    <definedName name="basistarieftoez">'1.4-Opbouw uurtarieven'!$S$16:$V$65</definedName>
    <definedName name="basistariefuit">'1.4-Opbouw uurtarieven'!$M$16:$P$65</definedName>
    <definedName name="CatMedewschoonmaak" localSheetId="8">'1.4-Opbouw uurtarieven'!$I$16:$V$16</definedName>
    <definedName name="Dataase3" localSheetId="6">'1.3A-Mutaties'!$B$12:$Z$29</definedName>
    <definedName name="Dataase3">'1.3-Basis ruimtestaat'!$B$12:$Z$46</definedName>
    <definedName name="_xlnm.Database" localSheetId="6">'1.3A-Mutaties'!$D$12:$Z$29</definedName>
    <definedName name="_xlnm.Database">'1.3-Basis ruimtestaat'!$D$12:$Z$46</definedName>
    <definedName name="database2" localSheetId="6">'1.3A-Mutaties'!$C$12:$Z$29</definedName>
    <definedName name="database2">'1.3-Basis ruimtestaat'!$C$12:$Z$46</definedName>
    <definedName name="han" localSheetId="8" hidden="1">'[3]#REF'!#REF!</definedName>
    <definedName name="han" hidden="1">'[3]#REF'!#REF!</definedName>
    <definedName name="HTML_CodePage" hidden="1">1252</definedName>
    <definedName name="HTML_Control" localSheetId="2" hidden="1">{"'ma_vr'!$A$1:$AA$42"}</definedName>
    <definedName name="HTML_Control" localSheetId="7" hidden="1">{"'ma_vr'!$A$1:$AA$42"}</definedName>
    <definedName name="HTML_Control" localSheetId="8"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etal" localSheetId="7">'[4]1.2-Kengetal'!$C$10:$P$33</definedName>
    <definedName name="Kengetal">'1.2-Kengetal'!$C$13:$P$27</definedName>
    <definedName name="LOCATIE" localSheetId="6">'1.3A-Mutaties'!$E:$R</definedName>
    <definedName name="LOCATIE">'1.3-Basis ruimtestaat'!$E:$R</definedName>
    <definedName name="Loongroepen" localSheetId="7">'[4]1.5 Opbouw uurtarieven'!$A$12:$A$46</definedName>
    <definedName name="Loongroepen" localSheetId="8">'1.4-Opbouw uurtarieven'!$B$16:$B$31</definedName>
    <definedName name="Meters" localSheetId="6">'1.3A-Mutaties'!$K:$K</definedName>
    <definedName name="Meters" localSheetId="7">'[4]1.3-Basis ruimtestaat'!$K:$K</definedName>
    <definedName name="Meters">'1.3-Basis ruimtestaat'!$K:$K</definedName>
    <definedName name="Perceel" localSheetId="6">'1.3A-Mutaties'!$F:$U</definedName>
    <definedName name="Perceel">'1.3-Basis ruimtestaat'!$F:$U</definedName>
    <definedName name="PERCEEL2" localSheetId="6">'1.3A-Mutaties'!$A:$U</definedName>
    <definedName name="PERCEEL2">'1.3-Basis ruimtestaat'!$A:$U</definedName>
    <definedName name="q" localSheetId="8" hidden="1">[2]Blad1!#REF!</definedName>
    <definedName name="q" hidden="1">[1]Blad1!#REF!</definedName>
    <definedName name="Tabel" localSheetId="8">'1.4-Opbouw uurtarieven'!$O$5:$P$7</definedName>
    <definedName name="TariefGLAS">'1.4-Opbouw uurtarieven'!$Z$17:$Z$17</definedName>
    <definedName name="tariefschoonmaak" localSheetId="8">'1.4-Opbouw uurtarieven'!$M$16:$Z$16</definedName>
    <definedName name="tariefSMO">'1.4-Opbouw uurtarieven'!$M$16:$Q$16</definedName>
    <definedName name="tarieftoez">#REF!</definedName>
    <definedName name="tariefTZ">'1.4-Opbouw uurtarieven'!$S$16:$W$16</definedName>
    <definedName name="tariefuit">#REF!</definedName>
    <definedName name="tarievenglas">'1.4-Opbouw uurtarieven'!$Z$17:$Z$65</definedName>
    <definedName name="Totaal" localSheetId="6">'1.3A-Mutaties'!$A$12:$T$29</definedName>
    <definedName name="Totaal">'1.3-Basis ruimtestaat'!$A$12:$T$46</definedName>
    <definedName name="Totaal2" localSheetId="6">'1.3A-Mutaties'!$E$12:$T$29</definedName>
    <definedName name="Totaal2" localSheetId="7">'[4]1.3-Basis ruimtestaat'!$E$10:$T$226</definedName>
    <definedName name="Totaal2">'1.3-Basis ruimtestaat'!$E$12:$T$46</definedName>
    <definedName name="UREMAVR" localSheetId="6">'1.3A-Mutaties'!$R$12:$R$29</definedName>
    <definedName name="UREMAVR" localSheetId="7">'[4]1.3-Basis ruimtestaat'!$R$10:$R$226</definedName>
    <definedName name="UREMAVR">'1.3-Basis ruimtestaat'!$R$12:$R$46</definedName>
    <definedName name="URENEWEEKEND" localSheetId="6">'1.3A-Mutaties'!$T$12:$T$29</definedName>
    <definedName name="URENEWEEKEND">'1.3-Basis ruimtestaat'!$T$12:$T$46</definedName>
    <definedName name="URENNALOOP" localSheetId="6">'1.3A-Mutaties'!$S$12:$S$29</definedName>
    <definedName name="URENNALOOP" localSheetId="7">'[4]1.3-Basis ruimtestaat'!$S$10:$S$226</definedName>
    <definedName name="URENNALOOP">'1.3-Basis ruimtestaat'!$S$12:$S$46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31" l="1"/>
  <c r="I55" i="31"/>
  <c r="I54" i="31"/>
  <c r="I53" i="31"/>
  <c r="I38" i="31"/>
  <c r="I36" i="31"/>
  <c r="I34" i="31"/>
  <c r="I32" i="31"/>
  <c r="I22" i="31"/>
  <c r="L72" i="55"/>
  <c r="W24" i="55"/>
  <c r="W27" i="55" s="1"/>
  <c r="W16" i="55"/>
  <c r="Q24" i="55"/>
  <c r="Q27" i="55" s="1"/>
  <c r="Q16" i="55"/>
  <c r="W29" i="55" l="1"/>
  <c r="W31" i="55"/>
  <c r="W33" i="55" s="1"/>
  <c r="Q29" i="55"/>
  <c r="Q31" i="55" s="1"/>
  <c r="Q33" i="55" s="1"/>
  <c r="Q34" i="55" s="1"/>
  <c r="Q36" i="55" s="1"/>
  <c r="N18" i="5"/>
  <c r="G10" i="59"/>
  <c r="G9" i="59"/>
  <c r="G7" i="59"/>
  <c r="G6" i="59"/>
  <c r="G5" i="59"/>
  <c r="I42" i="2"/>
  <c r="I45" i="2"/>
  <c r="J15" i="1"/>
  <c r="N42" i="5"/>
  <c r="N45" i="5" s="1"/>
  <c r="H56" i="31" s="1"/>
  <c r="L42" i="5"/>
  <c r="N36" i="5"/>
  <c r="L36" i="5"/>
  <c r="N34" i="5"/>
  <c r="L34" i="5"/>
  <c r="N28" i="5"/>
  <c r="N26" i="5"/>
  <c r="L28" i="5"/>
  <c r="L26" i="5"/>
  <c r="N38" i="5" l="1"/>
  <c r="H55" i="31" s="1"/>
  <c r="L30" i="5"/>
  <c r="L38" i="5"/>
  <c r="L45" i="5"/>
  <c r="N30" i="5"/>
  <c r="H54" i="31" l="1"/>
  <c r="N19" i="5"/>
  <c r="N20" i="5"/>
  <c r="N21" i="5"/>
  <c r="L21" i="5"/>
  <c r="L20" i="5"/>
  <c r="L19" i="5"/>
  <c r="L18" i="5"/>
  <c r="L23" i="5" s="1"/>
  <c r="W28" i="2"/>
  <c r="U28" i="2"/>
  <c r="W27" i="2"/>
  <c r="U27" i="2"/>
  <c r="W26" i="2"/>
  <c r="U26" i="2"/>
  <c r="W25" i="2"/>
  <c r="U25" i="2"/>
  <c r="W24" i="2"/>
  <c r="U24" i="2"/>
  <c r="W23" i="2"/>
  <c r="U23" i="2"/>
  <c r="W22" i="2"/>
  <c r="U22" i="2"/>
  <c r="W21" i="2"/>
  <c r="U21" i="2"/>
  <c r="W20" i="2"/>
  <c r="U20" i="2"/>
  <c r="W19" i="2"/>
  <c r="U19" i="2"/>
  <c r="W18" i="2"/>
  <c r="U18" i="2"/>
  <c r="W17" i="2"/>
  <c r="U17" i="2"/>
  <c r="W16" i="2"/>
  <c r="U16" i="2"/>
  <c r="W15" i="2"/>
  <c r="U15" i="2"/>
  <c r="W14" i="2"/>
  <c r="U14" i="2"/>
  <c r="U30" i="2"/>
  <c r="W30" i="2"/>
  <c r="U31" i="2"/>
  <c r="W31" i="2"/>
  <c r="U32" i="2"/>
  <c r="W32" i="2"/>
  <c r="U33" i="2"/>
  <c r="W33" i="2"/>
  <c r="U34" i="2"/>
  <c r="W34" i="2"/>
  <c r="U35" i="2"/>
  <c r="W35" i="2"/>
  <c r="U36" i="2"/>
  <c r="W36" i="2"/>
  <c r="U37" i="2"/>
  <c r="W37" i="2"/>
  <c r="U38" i="2"/>
  <c r="W38" i="2"/>
  <c r="U39" i="2"/>
  <c r="W39" i="2"/>
  <c r="U40" i="2"/>
  <c r="W40" i="2"/>
  <c r="U41" i="2"/>
  <c r="W41" i="2"/>
  <c r="U42" i="2"/>
  <c r="R42" i="2" s="1"/>
  <c r="W42" i="2"/>
  <c r="U43" i="2"/>
  <c r="W43" i="2"/>
  <c r="U44" i="2"/>
  <c r="W44" i="2"/>
  <c r="U45" i="2"/>
  <c r="W45" i="2"/>
  <c r="U46" i="2"/>
  <c r="W46" i="2"/>
  <c r="U47" i="2"/>
  <c r="W47" i="2"/>
  <c r="U48" i="2"/>
  <c r="W48" i="2"/>
  <c r="U49" i="2"/>
  <c r="W49" i="2"/>
  <c r="U50" i="2"/>
  <c r="W50" i="2"/>
  <c r="U51" i="2"/>
  <c r="W51" i="2"/>
  <c r="U52" i="2"/>
  <c r="W52" i="2"/>
  <c r="U53" i="2"/>
  <c r="W53" i="2"/>
  <c r="U54" i="2"/>
  <c r="W54" i="2"/>
  <c r="U55" i="2"/>
  <c r="W55" i="2"/>
  <c r="U56" i="2"/>
  <c r="W56" i="2"/>
  <c r="U57" i="2"/>
  <c r="W57" i="2"/>
  <c r="U58" i="2"/>
  <c r="W58" i="2"/>
  <c r="U59" i="2"/>
  <c r="W59" i="2"/>
  <c r="U60" i="2"/>
  <c r="R60" i="2" s="1"/>
  <c r="W60" i="2"/>
  <c r="T60" i="2" s="1"/>
  <c r="V60" i="2" s="1"/>
  <c r="S60" i="2" s="1"/>
  <c r="U61" i="2"/>
  <c r="W61" i="2"/>
  <c r="U62" i="2"/>
  <c r="W62" i="2"/>
  <c r="U63" i="2"/>
  <c r="W63" i="2"/>
  <c r="U64" i="2"/>
  <c r="W64" i="2"/>
  <c r="U65" i="2"/>
  <c r="W65" i="2"/>
  <c r="U66" i="2"/>
  <c r="W66" i="2"/>
  <c r="U67" i="2"/>
  <c r="W67" i="2"/>
  <c r="U68" i="2"/>
  <c r="W68" i="2"/>
  <c r="U69" i="2"/>
  <c r="W69" i="2"/>
  <c r="U70" i="2"/>
  <c r="W70" i="2"/>
  <c r="U71" i="2"/>
  <c r="W71" i="2"/>
  <c r="U72" i="2"/>
  <c r="W72" i="2"/>
  <c r="U73" i="2"/>
  <c r="W73" i="2"/>
  <c r="U74" i="2"/>
  <c r="W74" i="2"/>
  <c r="U75" i="2"/>
  <c r="W75" i="2"/>
  <c r="U76" i="2"/>
  <c r="W76" i="2"/>
  <c r="U77" i="2"/>
  <c r="W77" i="2"/>
  <c r="U78" i="2"/>
  <c r="W78" i="2"/>
  <c r="U79" i="2"/>
  <c r="W79" i="2"/>
  <c r="U80" i="2"/>
  <c r="W80" i="2"/>
  <c r="U81" i="2"/>
  <c r="W81" i="2"/>
  <c r="W29" i="2"/>
  <c r="U29" i="2"/>
  <c r="X60" i="2"/>
  <c r="O60" i="2"/>
  <c r="AD60" i="2" s="1"/>
  <c r="I60" i="2"/>
  <c r="G18" i="56"/>
  <c r="Z18" i="56" s="1"/>
  <c r="W18" i="56"/>
  <c r="X18" i="56"/>
  <c r="Y18" i="56"/>
  <c r="V19" i="56"/>
  <c r="W19" i="56"/>
  <c r="X19" i="56"/>
  <c r="Y19" i="56"/>
  <c r="Z19" i="56"/>
  <c r="Z17" i="56"/>
  <c r="Y17" i="56"/>
  <c r="W17" i="56"/>
  <c r="D17" i="56"/>
  <c r="D18" i="56" s="1"/>
  <c r="J22" i="1"/>
  <c r="J21" i="1"/>
  <c r="J20" i="1"/>
  <c r="J19" i="1"/>
  <c r="J18" i="1"/>
  <c r="J17" i="1"/>
  <c r="J16" i="1"/>
  <c r="J14" i="1"/>
  <c r="N23" i="5" l="1"/>
  <c r="H53" i="31"/>
  <c r="AC60" i="2"/>
  <c r="Q17" i="56"/>
  <c r="V17" i="56" s="1"/>
  <c r="X28" i="58" l="1"/>
  <c r="W28" i="58"/>
  <c r="T28" i="58" s="1"/>
  <c r="V28" i="58"/>
  <c r="S28" i="58" s="1"/>
  <c r="U28" i="58"/>
  <c r="R28" i="58" s="1"/>
  <c r="O28" i="58"/>
  <c r="AC28" i="58" s="1"/>
  <c r="I28" i="58"/>
  <c r="X27" i="58"/>
  <c r="W27" i="58"/>
  <c r="V27" i="58"/>
  <c r="U27" i="58"/>
  <c r="O27" i="58"/>
  <c r="AD27" i="58" s="1"/>
  <c r="I27" i="58"/>
  <c r="X26" i="58"/>
  <c r="W26" i="58"/>
  <c r="V26" i="58"/>
  <c r="U26" i="58"/>
  <c r="O26" i="58"/>
  <c r="AD26" i="58" s="1"/>
  <c r="I26" i="58"/>
  <c r="X25" i="58"/>
  <c r="W25" i="58"/>
  <c r="T25" i="58" s="1"/>
  <c r="V25" i="58"/>
  <c r="S25" i="58" s="1"/>
  <c r="U25" i="58"/>
  <c r="R25" i="58" s="1"/>
  <c r="O25" i="58"/>
  <c r="AC25" i="58" s="1"/>
  <c r="I25" i="58"/>
  <c r="X24" i="58"/>
  <c r="W24" i="58"/>
  <c r="T24" i="58" s="1"/>
  <c r="V24" i="58"/>
  <c r="S24" i="58" s="1"/>
  <c r="U24" i="58"/>
  <c r="R24" i="58" s="1"/>
  <c r="O24" i="58"/>
  <c r="AC24" i="58" s="1"/>
  <c r="I24" i="58"/>
  <c r="X23" i="58"/>
  <c r="W23" i="58"/>
  <c r="T23" i="58" s="1"/>
  <c r="V23" i="58"/>
  <c r="S23" i="58" s="1"/>
  <c r="U23" i="58"/>
  <c r="R23" i="58" s="1"/>
  <c r="O23" i="58"/>
  <c r="AD23" i="58" s="1"/>
  <c r="I23" i="58"/>
  <c r="X22" i="58"/>
  <c r="W22" i="58"/>
  <c r="T22" i="58" s="1"/>
  <c r="V22" i="58"/>
  <c r="S22" i="58" s="1"/>
  <c r="U22" i="58"/>
  <c r="R22" i="58" s="1"/>
  <c r="O22" i="58"/>
  <c r="AD22" i="58" s="1"/>
  <c r="I22" i="58"/>
  <c r="X21" i="58"/>
  <c r="W21" i="58"/>
  <c r="V21" i="58"/>
  <c r="U21" i="58"/>
  <c r="O21" i="58"/>
  <c r="AD21" i="58" s="1"/>
  <c r="I21" i="58"/>
  <c r="X20" i="58"/>
  <c r="W20" i="58"/>
  <c r="V20" i="58"/>
  <c r="U20" i="58"/>
  <c r="O20" i="58"/>
  <c r="AD20" i="58" s="1"/>
  <c r="I20" i="58"/>
  <c r="X19" i="58"/>
  <c r="W19" i="58"/>
  <c r="V19" i="58"/>
  <c r="U19" i="58"/>
  <c r="O19" i="58"/>
  <c r="AD19" i="58" s="1"/>
  <c r="I19" i="58"/>
  <c r="X18" i="58"/>
  <c r="W18" i="58"/>
  <c r="V18" i="58"/>
  <c r="U18" i="58"/>
  <c r="O18" i="58"/>
  <c r="AD18" i="58" s="1"/>
  <c r="I18" i="58"/>
  <c r="X17" i="58"/>
  <c r="W17" i="58"/>
  <c r="T17" i="58" s="1"/>
  <c r="V17" i="58"/>
  <c r="S17" i="58" s="1"/>
  <c r="U17" i="58"/>
  <c r="R17" i="58" s="1"/>
  <c r="O17" i="58"/>
  <c r="AC17" i="58" s="1"/>
  <c r="I17" i="58"/>
  <c r="X16" i="58"/>
  <c r="W16" i="58"/>
  <c r="T16" i="58" s="1"/>
  <c r="V16" i="58"/>
  <c r="S16" i="58" s="1"/>
  <c r="U16" i="58"/>
  <c r="R16" i="58" s="1"/>
  <c r="O16" i="58"/>
  <c r="AD16" i="58" s="1"/>
  <c r="I16" i="58"/>
  <c r="X15" i="58"/>
  <c r="W15" i="58"/>
  <c r="V15" i="58"/>
  <c r="U15" i="58"/>
  <c r="O15" i="58"/>
  <c r="AD15" i="58" s="1"/>
  <c r="I15" i="58"/>
  <c r="X14" i="58"/>
  <c r="W14" i="58"/>
  <c r="V14" i="58"/>
  <c r="U14" i="58"/>
  <c r="O14" i="58"/>
  <c r="AD14" i="58" s="1"/>
  <c r="I14" i="58"/>
  <c r="T18" i="58" l="1"/>
  <c r="R15" i="58"/>
  <c r="T15" i="58"/>
  <c r="R26" i="58"/>
  <c r="T21" i="58"/>
  <c r="T20" i="58"/>
  <c r="T19" i="58"/>
  <c r="S14" i="58"/>
  <c r="T14" i="58"/>
  <c r="R19" i="58"/>
  <c r="R21" i="58"/>
  <c r="S27" i="58"/>
  <c r="S19" i="58"/>
  <c r="T27" i="58"/>
  <c r="R18" i="58"/>
  <c r="S26" i="58"/>
  <c r="S18" i="58"/>
  <c r="S20" i="58"/>
  <c r="T26" i="58"/>
  <c r="R20" i="58"/>
  <c r="AC26" i="58"/>
  <c r="AD24" i="58"/>
  <c r="AC18" i="58"/>
  <c r="AD25" i="58"/>
  <c r="AC14" i="58"/>
  <c r="AC22" i="58"/>
  <c r="AC19" i="58"/>
  <c r="AC15" i="58"/>
  <c r="AC23" i="58"/>
  <c r="AD28" i="58"/>
  <c r="S21" i="58"/>
  <c r="AD17" i="58"/>
  <c r="AC27" i="58"/>
  <c r="R14" i="58"/>
  <c r="S15" i="58"/>
  <c r="AC21" i="58"/>
  <c r="R27" i="58"/>
  <c r="AC20" i="58"/>
  <c r="AC16" i="58"/>
  <c r="I63" i="2" l="1"/>
  <c r="O63" i="2"/>
  <c r="R63" i="2"/>
  <c r="T63" i="2"/>
  <c r="V63" i="2" s="1"/>
  <c r="S63" i="2" s="1"/>
  <c r="X63" i="2"/>
  <c r="O64" i="2"/>
  <c r="R64" i="2"/>
  <c r="T64" i="2"/>
  <c r="V64" i="2" s="1"/>
  <c r="S64" i="2" s="1"/>
  <c r="X64" i="2"/>
  <c r="E115" i="10" l="1"/>
  <c r="E116" i="10"/>
  <c r="E117" i="10"/>
  <c r="E114" i="10" l="1"/>
  <c r="G10" i="58"/>
  <c r="G9" i="58"/>
  <c r="G7" i="58"/>
  <c r="G6" i="58"/>
  <c r="G5" i="58"/>
  <c r="E4" i="58"/>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1" i="2"/>
  <c r="O62" i="2"/>
  <c r="O65" i="2"/>
  <c r="O66" i="2"/>
  <c r="O67" i="2"/>
  <c r="O68" i="2"/>
  <c r="O69" i="2"/>
  <c r="O70" i="2"/>
  <c r="O71" i="2"/>
  <c r="O72" i="2"/>
  <c r="O73" i="2"/>
  <c r="O74" i="2"/>
  <c r="O75" i="2"/>
  <c r="O76" i="2"/>
  <c r="O77" i="2"/>
  <c r="O78" i="2"/>
  <c r="O79" i="2"/>
  <c r="O80" i="2"/>
  <c r="O81" i="2"/>
  <c r="O14" i="2"/>
  <c r="G25" i="55"/>
  <c r="AC56" i="2" l="1"/>
  <c r="AD56" i="2"/>
  <c r="AC42" i="2"/>
  <c r="AD42" i="2"/>
  <c r="AC26" i="2"/>
  <c r="AD26" i="2"/>
  <c r="AC41" i="2"/>
  <c r="AD41" i="2"/>
  <c r="AC25" i="2"/>
  <c r="AD25" i="2"/>
  <c r="AD40" i="2"/>
  <c r="AC40" i="2"/>
  <c r="AD24" i="2"/>
  <c r="AC24" i="2"/>
  <c r="AD71" i="2"/>
  <c r="AC71" i="2"/>
  <c r="AC39" i="2"/>
  <c r="AD39" i="2"/>
  <c r="AC23" i="2"/>
  <c r="AD23" i="2"/>
  <c r="AD38" i="2"/>
  <c r="AC38" i="2"/>
  <c r="AC22" i="2"/>
  <c r="AD22" i="2"/>
  <c r="AC72" i="2"/>
  <c r="AD72" i="2"/>
  <c r="AC51" i="2"/>
  <c r="AD51" i="2"/>
  <c r="AC37" i="2"/>
  <c r="AD37" i="2"/>
  <c r="AC21" i="2"/>
  <c r="AD21" i="2"/>
  <c r="AC74" i="2"/>
  <c r="AD74" i="2"/>
  <c r="AD53" i="2"/>
  <c r="AC53" i="2"/>
  <c r="AD36" i="2"/>
  <c r="AC36" i="2"/>
  <c r="AD20" i="2"/>
  <c r="AC20" i="2"/>
  <c r="AD50" i="2"/>
  <c r="AC50" i="2"/>
  <c r="AC49" i="2"/>
  <c r="AD49" i="2"/>
  <c r="AC35" i="2"/>
  <c r="AD35" i="2"/>
  <c r="AC19" i="2"/>
  <c r="AD19" i="2"/>
  <c r="AC52" i="2"/>
  <c r="AD52" i="2"/>
  <c r="AC34" i="2"/>
  <c r="AD34" i="2"/>
  <c r="AC18" i="2"/>
  <c r="AD18" i="2"/>
  <c r="AC54" i="2"/>
  <c r="AD54" i="2"/>
  <c r="AC70" i="2"/>
  <c r="AD70" i="2"/>
  <c r="AC68" i="2"/>
  <c r="AD68" i="2"/>
  <c r="AC48" i="2"/>
  <c r="AD48" i="2"/>
  <c r="AC65" i="2"/>
  <c r="AD65" i="2"/>
  <c r="AC47" i="2"/>
  <c r="AD47" i="2"/>
  <c r="AC33" i="2"/>
  <c r="AD33" i="2"/>
  <c r="AC17" i="2"/>
  <c r="AD17" i="2"/>
  <c r="AC55" i="2"/>
  <c r="AD55" i="2"/>
  <c r="AC80" i="2"/>
  <c r="AD80" i="2"/>
  <c r="AD32" i="2"/>
  <c r="AC32" i="2"/>
  <c r="AD16" i="2"/>
  <c r="AC16" i="2"/>
  <c r="AC73" i="2"/>
  <c r="AD73" i="2"/>
  <c r="AC64" i="2"/>
  <c r="AD64" i="2"/>
  <c r="AD62" i="2"/>
  <c r="AC62" i="2"/>
  <c r="AC31" i="2"/>
  <c r="AD31" i="2"/>
  <c r="AC15" i="2"/>
  <c r="AD15" i="2"/>
  <c r="AC67" i="2"/>
  <c r="AD67" i="2"/>
  <c r="AC81" i="2"/>
  <c r="AD81" i="2"/>
  <c r="AC61" i="2"/>
  <c r="AD61" i="2"/>
  <c r="AC46" i="2"/>
  <c r="AD46" i="2"/>
  <c r="AC30" i="2"/>
  <c r="AD30" i="2"/>
  <c r="AD78" i="2"/>
  <c r="AC78" i="2"/>
  <c r="AD77" i="2"/>
  <c r="AC77" i="2"/>
  <c r="AC59" i="2"/>
  <c r="AD59" i="2"/>
  <c r="AC45" i="2"/>
  <c r="AD45" i="2"/>
  <c r="AD29" i="2"/>
  <c r="AC29" i="2"/>
  <c r="AD69" i="2"/>
  <c r="AC69" i="2"/>
  <c r="AC66" i="2"/>
  <c r="AD66" i="2"/>
  <c r="AD79" i="2"/>
  <c r="AC79" i="2"/>
  <c r="AC76" i="2"/>
  <c r="AD76" i="2"/>
  <c r="AC58" i="2"/>
  <c r="AD58" i="2"/>
  <c r="AC44" i="2"/>
  <c r="AD44" i="2"/>
  <c r="AC28" i="2"/>
  <c r="AD28" i="2"/>
  <c r="AC75" i="2"/>
  <c r="AD75" i="2"/>
  <c r="AC57" i="2"/>
  <c r="AD57" i="2"/>
  <c r="AC43" i="2"/>
  <c r="AD43" i="2"/>
  <c r="AC27" i="2"/>
  <c r="AD27" i="2"/>
  <c r="P16" i="55"/>
  <c r="O16" i="55"/>
  <c r="T16" i="55"/>
  <c r="E26" i="33" l="1"/>
  <c r="G8" i="59" s="1"/>
  <c r="G8" i="58" l="1"/>
  <c r="T15" i="2" l="1"/>
  <c r="V15" i="2" s="1"/>
  <c r="X15" i="2"/>
  <c r="T16" i="2"/>
  <c r="V16" i="2" s="1"/>
  <c r="X16" i="2"/>
  <c r="T17" i="2"/>
  <c r="V17" i="2" s="1"/>
  <c r="S17" i="2" s="1"/>
  <c r="X17" i="2"/>
  <c r="T18" i="2"/>
  <c r="V18" i="2" s="1"/>
  <c r="X18" i="2"/>
  <c r="T19" i="2"/>
  <c r="V19" i="2" s="1"/>
  <c r="X19" i="2"/>
  <c r="T20" i="2"/>
  <c r="V20" i="2" s="1"/>
  <c r="X20" i="2"/>
  <c r="T21" i="2"/>
  <c r="V21" i="2" s="1"/>
  <c r="S21" i="2" s="1"/>
  <c r="X21" i="2"/>
  <c r="T22" i="2"/>
  <c r="V22" i="2" s="1"/>
  <c r="X22" i="2"/>
  <c r="T23" i="2"/>
  <c r="V23" i="2" s="1"/>
  <c r="S23" i="2" s="1"/>
  <c r="X23" i="2"/>
  <c r="T24" i="2"/>
  <c r="V24" i="2" s="1"/>
  <c r="S24" i="2" s="1"/>
  <c r="X24" i="2"/>
  <c r="T25" i="2"/>
  <c r="V25" i="2" s="1"/>
  <c r="S25" i="2" s="1"/>
  <c r="X25" i="2"/>
  <c r="T26" i="2"/>
  <c r="V26" i="2" s="1"/>
  <c r="X26" i="2"/>
  <c r="T27" i="2"/>
  <c r="V27" i="2" s="1"/>
  <c r="S27" i="2" s="1"/>
  <c r="X27" i="2"/>
  <c r="T28" i="2"/>
  <c r="V28" i="2" s="1"/>
  <c r="S28" i="2" s="1"/>
  <c r="X28" i="2"/>
  <c r="X29" i="2"/>
  <c r="T30" i="2"/>
  <c r="V30" i="2" s="1"/>
  <c r="S30" i="2" s="1"/>
  <c r="X30" i="2"/>
  <c r="T31" i="2"/>
  <c r="V31" i="2" s="1"/>
  <c r="S31" i="2" s="1"/>
  <c r="X31" i="2"/>
  <c r="T32" i="2"/>
  <c r="V32" i="2" s="1"/>
  <c r="S32" i="2" s="1"/>
  <c r="X32" i="2"/>
  <c r="T33" i="2"/>
  <c r="V33" i="2" s="1"/>
  <c r="X33" i="2"/>
  <c r="T34" i="2"/>
  <c r="V34" i="2" s="1"/>
  <c r="S34" i="2" s="1"/>
  <c r="X34" i="2"/>
  <c r="T35" i="2"/>
  <c r="V35" i="2" s="1"/>
  <c r="S35" i="2" s="1"/>
  <c r="X35" i="2"/>
  <c r="T36" i="2"/>
  <c r="V36" i="2" s="1"/>
  <c r="S36" i="2" s="1"/>
  <c r="X36" i="2"/>
  <c r="T37" i="2"/>
  <c r="V37" i="2" s="1"/>
  <c r="S37" i="2" s="1"/>
  <c r="X37" i="2"/>
  <c r="T38" i="2"/>
  <c r="V38" i="2" s="1"/>
  <c r="S38" i="2" s="1"/>
  <c r="X38" i="2"/>
  <c r="T39" i="2"/>
  <c r="V39" i="2" s="1"/>
  <c r="X39" i="2"/>
  <c r="T40" i="2"/>
  <c r="V40" i="2" s="1"/>
  <c r="X40" i="2"/>
  <c r="T41" i="2"/>
  <c r="V41" i="2" s="1"/>
  <c r="S41" i="2" s="1"/>
  <c r="X41" i="2"/>
  <c r="T42" i="2"/>
  <c r="V42" i="2" s="1"/>
  <c r="S42" i="2" s="1"/>
  <c r="X42" i="2"/>
  <c r="T43" i="2"/>
  <c r="V43" i="2" s="1"/>
  <c r="S43" i="2" s="1"/>
  <c r="X43" i="2"/>
  <c r="T44" i="2"/>
  <c r="V44" i="2" s="1"/>
  <c r="S44" i="2" s="1"/>
  <c r="X44" i="2"/>
  <c r="T45" i="2"/>
  <c r="V45" i="2" s="1"/>
  <c r="S45" i="2" s="1"/>
  <c r="X45" i="2"/>
  <c r="T46" i="2"/>
  <c r="V46" i="2" s="1"/>
  <c r="S46" i="2" s="1"/>
  <c r="X46" i="2"/>
  <c r="T47" i="2"/>
  <c r="V47" i="2" s="1"/>
  <c r="S47" i="2" s="1"/>
  <c r="X47" i="2"/>
  <c r="T48" i="2"/>
  <c r="V48" i="2" s="1"/>
  <c r="S48" i="2" s="1"/>
  <c r="X48" i="2"/>
  <c r="T49" i="2"/>
  <c r="V49" i="2" s="1"/>
  <c r="S49" i="2" s="1"/>
  <c r="X49" i="2"/>
  <c r="T50" i="2"/>
  <c r="V50" i="2" s="1"/>
  <c r="S50" i="2" s="1"/>
  <c r="X50" i="2"/>
  <c r="T51" i="2"/>
  <c r="V51" i="2" s="1"/>
  <c r="S51" i="2" s="1"/>
  <c r="X51" i="2"/>
  <c r="T52" i="2"/>
  <c r="V52" i="2" s="1"/>
  <c r="S52" i="2" s="1"/>
  <c r="X52" i="2"/>
  <c r="T53" i="2"/>
  <c r="V53" i="2" s="1"/>
  <c r="S53" i="2" s="1"/>
  <c r="X53" i="2"/>
  <c r="T54" i="2"/>
  <c r="V54" i="2" s="1"/>
  <c r="S54" i="2" s="1"/>
  <c r="X54" i="2"/>
  <c r="T55" i="2"/>
  <c r="V55" i="2" s="1"/>
  <c r="S55" i="2" s="1"/>
  <c r="X55" i="2"/>
  <c r="T56" i="2"/>
  <c r="V56" i="2" s="1"/>
  <c r="S56" i="2" s="1"/>
  <c r="X56" i="2"/>
  <c r="T57" i="2"/>
  <c r="V57" i="2" s="1"/>
  <c r="S57" i="2" s="1"/>
  <c r="X57" i="2"/>
  <c r="T58" i="2"/>
  <c r="V58" i="2" s="1"/>
  <c r="S58" i="2" s="1"/>
  <c r="X58" i="2"/>
  <c r="T59" i="2"/>
  <c r="V59" i="2" s="1"/>
  <c r="S59" i="2" s="1"/>
  <c r="X59" i="2"/>
  <c r="T61" i="2"/>
  <c r="V61" i="2" s="1"/>
  <c r="S61" i="2" s="1"/>
  <c r="X61" i="2"/>
  <c r="T62" i="2"/>
  <c r="V62" i="2" s="1"/>
  <c r="X62" i="2"/>
  <c r="T65" i="2"/>
  <c r="V65" i="2" s="1"/>
  <c r="X65" i="2"/>
  <c r="T66" i="2"/>
  <c r="V66" i="2" s="1"/>
  <c r="S66" i="2" s="1"/>
  <c r="X66" i="2"/>
  <c r="T67" i="2"/>
  <c r="V67" i="2" s="1"/>
  <c r="X67" i="2"/>
  <c r="T68" i="2"/>
  <c r="V68" i="2" s="1"/>
  <c r="X68" i="2"/>
  <c r="T69" i="2"/>
  <c r="V69" i="2" s="1"/>
  <c r="S69" i="2" s="1"/>
  <c r="X69" i="2"/>
  <c r="T70" i="2"/>
  <c r="V70" i="2" s="1"/>
  <c r="S70" i="2" s="1"/>
  <c r="X70" i="2"/>
  <c r="T71" i="2"/>
  <c r="V71" i="2" s="1"/>
  <c r="S71" i="2" s="1"/>
  <c r="X71" i="2"/>
  <c r="R72" i="2"/>
  <c r="T72" i="2"/>
  <c r="V72" i="2" s="1"/>
  <c r="X72" i="2"/>
  <c r="R73" i="2"/>
  <c r="T73" i="2"/>
  <c r="V73" i="2" s="1"/>
  <c r="S73" i="2" s="1"/>
  <c r="X73" i="2"/>
  <c r="T74" i="2"/>
  <c r="V74" i="2" s="1"/>
  <c r="S74" i="2" s="1"/>
  <c r="X74" i="2"/>
  <c r="T75" i="2"/>
  <c r="V75" i="2" s="1"/>
  <c r="S75" i="2" s="1"/>
  <c r="X75" i="2"/>
  <c r="T76" i="2"/>
  <c r="V76" i="2" s="1"/>
  <c r="S76" i="2" s="1"/>
  <c r="X76" i="2"/>
  <c r="T77" i="2"/>
  <c r="V77" i="2" s="1"/>
  <c r="S77" i="2" s="1"/>
  <c r="X77" i="2"/>
  <c r="T78" i="2"/>
  <c r="V78" i="2" s="1"/>
  <c r="S78" i="2" s="1"/>
  <c r="X78" i="2"/>
  <c r="T79" i="2"/>
  <c r="V79" i="2" s="1"/>
  <c r="S79" i="2" s="1"/>
  <c r="X79" i="2"/>
  <c r="T80" i="2"/>
  <c r="V80" i="2" s="1"/>
  <c r="X80" i="2"/>
  <c r="T81" i="2"/>
  <c r="V81" i="2" s="1"/>
  <c r="X81" i="2"/>
  <c r="R26" i="2" l="1"/>
  <c r="R15" i="2"/>
  <c r="R40" i="2"/>
  <c r="R19" i="2"/>
  <c r="R33" i="2"/>
  <c r="R18" i="2"/>
  <c r="R16" i="2"/>
  <c r="R39" i="2"/>
  <c r="R20" i="2"/>
  <c r="R80" i="2"/>
  <c r="R22" i="2"/>
  <c r="R81" i="2"/>
  <c r="S26" i="2"/>
  <c r="S15" i="2"/>
  <c r="S40" i="2"/>
  <c r="S19" i="2"/>
  <c r="S33" i="2"/>
  <c r="S18" i="2"/>
  <c r="S16" i="2"/>
  <c r="S39" i="2"/>
  <c r="S80" i="2"/>
  <c r="S22" i="2"/>
  <c r="S20" i="2"/>
  <c r="S81" i="2"/>
  <c r="S62" i="2"/>
  <c r="S68" i="2"/>
  <c r="S65" i="2"/>
  <c r="S67" i="2"/>
  <c r="R62" i="2"/>
  <c r="R65" i="2"/>
  <c r="R67" i="2"/>
  <c r="R68" i="2"/>
  <c r="G6" i="2"/>
  <c r="G10" i="2"/>
  <c r="G9" i="2"/>
  <c r="G8" i="2"/>
  <c r="G7" i="2"/>
  <c r="G5" i="2"/>
  <c r="B16" i="10"/>
  <c r="R49" i="2" l="1"/>
  <c r="R47" i="2"/>
  <c r="R48" i="2"/>
  <c r="R51" i="2"/>
  <c r="R28" i="2"/>
  <c r="R53" i="2"/>
  <c r="R32" i="2"/>
  <c r="R71" i="2"/>
  <c r="R31" i="2"/>
  <c r="R41" i="2"/>
  <c r="R74" i="2"/>
  <c r="R61" i="2" l="1"/>
  <c r="R34" i="2"/>
  <c r="R46" i="2"/>
  <c r="R77" i="2"/>
  <c r="R58" i="2"/>
  <c r="R30" i="2"/>
  <c r="R23" i="2"/>
  <c r="R35" i="2"/>
  <c r="R56" i="2"/>
  <c r="R45" i="2"/>
  <c r="R54" i="2"/>
  <c r="R78" i="2"/>
  <c r="R76" i="2"/>
  <c r="R38" i="2"/>
  <c r="R24" i="2"/>
  <c r="R36" i="2"/>
  <c r="R57" i="2"/>
  <c r="R55" i="2"/>
  <c r="R79" i="2"/>
  <c r="R27" i="2"/>
  <c r="R70" i="2"/>
  <c r="R44" i="2"/>
  <c r="R75" i="2"/>
  <c r="R17" i="2"/>
  <c r="R25" i="2"/>
  <c r="R37" i="2"/>
  <c r="R21" i="2"/>
  <c r="R43" i="2"/>
  <c r="R59" i="2"/>
  <c r="R50" i="2"/>
  <c r="R66" i="2"/>
  <c r="R69" i="2"/>
  <c r="R52" i="2"/>
  <c r="I61" i="2" l="1"/>
  <c r="I47" i="2" l="1"/>
  <c r="I48" i="2"/>
  <c r="I49" i="2"/>
  <c r="E100" i="10"/>
  <c r="E101" i="10"/>
  <c r="E102" i="10"/>
  <c r="E103" i="10"/>
  <c r="E104" i="10"/>
  <c r="E105" i="10"/>
  <c r="E106" i="10"/>
  <c r="E107" i="10"/>
  <c r="E108" i="10"/>
  <c r="E109" i="10"/>
  <c r="E110" i="10"/>
  <c r="E111" i="10"/>
  <c r="E112" i="10"/>
  <c r="E113" i="10"/>
  <c r="E118" i="10"/>
  <c r="E119" i="10"/>
  <c r="E120" i="10"/>
  <c r="E121" i="10"/>
  <c r="E122" i="10"/>
  <c r="E123" i="10"/>
  <c r="E124" i="10"/>
  <c r="E125" i="10"/>
  <c r="E126" i="10"/>
  <c r="E127" i="10"/>
  <c r="E128" i="10"/>
  <c r="E129" i="10"/>
  <c r="E130" i="10"/>
  <c r="E131" i="10"/>
  <c r="E99" i="10"/>
  <c r="C53" i="28"/>
  <c r="B53" i="28"/>
  <c r="D60" i="2" l="1"/>
  <c r="D15" i="2"/>
  <c r="D31" i="2"/>
  <c r="D34" i="2"/>
  <c r="D46" i="2"/>
  <c r="D16" i="2"/>
  <c r="D32" i="2"/>
  <c r="D43" i="2"/>
  <c r="D17" i="2"/>
  <c r="D33" i="2"/>
  <c r="D18" i="2"/>
  <c r="D37" i="2"/>
  <c r="D19" i="2"/>
  <c r="D35" i="2"/>
  <c r="D36" i="2"/>
  <c r="D42" i="2"/>
  <c r="D20" i="2"/>
  <c r="D40" i="2"/>
  <c r="D21" i="2"/>
  <c r="D44" i="2"/>
  <c r="D22" i="2"/>
  <c r="D38" i="2"/>
  <c r="D23" i="2"/>
  <c r="D39" i="2"/>
  <c r="D24" i="2"/>
  <c r="D25" i="2"/>
  <c r="D41" i="2"/>
  <c r="D26" i="2"/>
  <c r="D45" i="2"/>
  <c r="D27" i="2"/>
  <c r="D28" i="2"/>
  <c r="D29" i="2"/>
  <c r="D30" i="2"/>
  <c r="D63" i="2"/>
  <c r="D49" i="2"/>
  <c r="D47" i="2"/>
  <c r="D48" i="2"/>
  <c r="J53" i="28"/>
  <c r="D50" i="2"/>
  <c r="D67" i="2"/>
  <c r="D51" i="2"/>
  <c r="D68" i="2"/>
  <c r="D52" i="2"/>
  <c r="D69" i="2"/>
  <c r="D53" i="2"/>
  <c r="D70" i="2"/>
  <c r="D54" i="2"/>
  <c r="D71" i="2"/>
  <c r="D55" i="2"/>
  <c r="D72" i="2"/>
  <c r="D56" i="2"/>
  <c r="D73" i="2"/>
  <c r="D57" i="2"/>
  <c r="D74" i="2"/>
  <c r="D58" i="2"/>
  <c r="D75" i="2"/>
  <c r="D59" i="2"/>
  <c r="D76" i="2"/>
  <c r="D61" i="2"/>
  <c r="D77" i="2"/>
  <c r="D62" i="2"/>
  <c r="D78" i="2"/>
  <c r="D79" i="2"/>
  <c r="D64" i="2"/>
  <c r="D80" i="2"/>
  <c r="D65" i="2"/>
  <c r="D81" i="2"/>
  <c r="D66" i="2"/>
  <c r="I28" i="2"/>
  <c r="I27" i="2"/>
  <c r="A13" i="28"/>
  <c r="A53" i="28" s="1"/>
  <c r="D14" i="2"/>
  <c r="E132" i="10" l="1"/>
  <c r="I50" i="2" l="1"/>
  <c r="I51" i="2"/>
  <c r="I52" i="2"/>
  <c r="I53" i="2"/>
  <c r="I54" i="2"/>
  <c r="I55" i="2"/>
  <c r="I56" i="2"/>
  <c r="I57" i="2"/>
  <c r="I58" i="2"/>
  <c r="I59" i="2"/>
  <c r="I62" i="2"/>
  <c r="I64" i="2"/>
  <c r="I65" i="2"/>
  <c r="I66" i="2"/>
  <c r="I67" i="2"/>
  <c r="I68" i="2"/>
  <c r="I69" i="2"/>
  <c r="I70" i="2"/>
  <c r="I71" i="2"/>
  <c r="I72" i="2"/>
  <c r="I73" i="2"/>
  <c r="I74" i="2"/>
  <c r="I75" i="2"/>
  <c r="I76" i="2"/>
  <c r="I77" i="2"/>
  <c r="I78" i="2"/>
  <c r="I79" i="2"/>
  <c r="I80" i="2"/>
  <c r="I81" i="2"/>
  <c r="I14" i="2"/>
  <c r="R14" i="2"/>
  <c r="T14" i="2"/>
  <c r="X14" i="2"/>
  <c r="I21" i="2"/>
  <c r="I22" i="2"/>
  <c r="I23" i="2"/>
  <c r="I24" i="2"/>
  <c r="I25" i="2"/>
  <c r="I26" i="2"/>
  <c r="I29" i="2"/>
  <c r="I30" i="2"/>
  <c r="I31" i="2"/>
  <c r="I32" i="2"/>
  <c r="I15" i="2"/>
  <c r="I33" i="2"/>
  <c r="I34" i="2"/>
  <c r="I35" i="2"/>
  <c r="I36" i="2"/>
  <c r="I37" i="2"/>
  <c r="I38" i="2"/>
  <c r="I16" i="2"/>
  <c r="I39" i="2"/>
  <c r="I40" i="2"/>
  <c r="I41" i="2"/>
  <c r="I46" i="2"/>
  <c r="I43" i="2"/>
  <c r="I44" i="2"/>
  <c r="I17" i="2"/>
  <c r="I18" i="2"/>
  <c r="I19" i="2"/>
  <c r="I20" i="2"/>
  <c r="H84" i="10"/>
  <c r="H79" i="10"/>
  <c r="H87" i="10" s="1"/>
  <c r="H59" i="10"/>
  <c r="H67" i="10" s="1"/>
  <c r="H39" i="10"/>
  <c r="H47" i="10" s="1"/>
  <c r="V14" i="2" l="1"/>
  <c r="S14" i="2" s="1"/>
  <c r="H64" i="10"/>
  <c r="H44" i="10"/>
  <c r="AC14" i="2"/>
  <c r="AD14" i="2"/>
  <c r="H86" i="10"/>
  <c r="H89" i="10" s="1"/>
  <c r="H91" i="10" s="1"/>
  <c r="H66" i="10"/>
  <c r="H46" i="10"/>
  <c r="H69" i="10" l="1"/>
  <c r="H71" i="10" s="1"/>
  <c r="H49" i="10"/>
  <c r="H51" i="10" s="1"/>
  <c r="U16" i="55" l="1"/>
  <c r="J23" i="1" l="1"/>
  <c r="J24" i="1"/>
  <c r="J25" i="1"/>
  <c r="J74" i="31" l="1"/>
  <c r="E11" i="56"/>
  <c r="E10" i="56"/>
  <c r="E9" i="56"/>
  <c r="E8" i="56"/>
  <c r="E7" i="56"/>
  <c r="E6" i="56"/>
  <c r="B21" i="55" l="1"/>
  <c r="L76" i="55"/>
  <c r="L75" i="55"/>
  <c r="L78" i="55"/>
  <c r="L74" i="55"/>
  <c r="L71" i="55"/>
  <c r="L70" i="55"/>
  <c r="L69" i="55"/>
  <c r="E39" i="31"/>
  <c r="E27" i="31"/>
  <c r="V16" i="55"/>
  <c r="N16" i="55"/>
  <c r="V24" i="55"/>
  <c r="U24" i="55"/>
  <c r="T24" i="55"/>
  <c r="T27" i="55" s="1"/>
  <c r="P24" i="55"/>
  <c r="O24" i="55"/>
  <c r="N24" i="55"/>
  <c r="N27" i="55" s="1"/>
  <c r="J55" i="31" l="1"/>
  <c r="E4" i="2" l="1"/>
  <c r="H19" i="10"/>
  <c r="H26" i="10" s="1"/>
  <c r="E140" i="10"/>
  <c r="F10" i="55"/>
  <c r="F9" i="55"/>
  <c r="F8" i="55"/>
  <c r="F7" i="55"/>
  <c r="F6" i="55"/>
  <c r="F5" i="55"/>
  <c r="F62" i="55"/>
  <c r="G51" i="55"/>
  <c r="G57" i="55" s="1"/>
  <c r="I43" i="55"/>
  <c r="V27" i="55"/>
  <c r="U27" i="55"/>
  <c r="U29" i="55" s="1"/>
  <c r="P27" i="55"/>
  <c r="O27" i="55"/>
  <c r="N29" i="55"/>
  <c r="N31" i="55" s="1"/>
  <c r="G18" i="55"/>
  <c r="G22" i="55" s="1"/>
  <c r="C4" i="28"/>
  <c r="N27" i="31"/>
  <c r="G10" i="5"/>
  <c r="G9" i="5"/>
  <c r="G8" i="5"/>
  <c r="G7" i="5"/>
  <c r="G6" i="5"/>
  <c r="G5" i="5"/>
  <c r="F10" i="10"/>
  <c r="F9" i="10"/>
  <c r="F8" i="10"/>
  <c r="F7" i="10"/>
  <c r="F6" i="10"/>
  <c r="F5" i="10"/>
  <c r="F10" i="1"/>
  <c r="F9" i="1"/>
  <c r="F8" i="1"/>
  <c r="F7" i="1"/>
  <c r="F6" i="1"/>
  <c r="F5" i="1"/>
  <c r="C9" i="28"/>
  <c r="C5" i="28"/>
  <c r="C8" i="28"/>
  <c r="C7" i="28"/>
  <c r="C6" i="28"/>
  <c r="E11" i="31"/>
  <c r="E10" i="31"/>
  <c r="E9" i="31"/>
  <c r="E8" i="31"/>
  <c r="E6" i="31"/>
  <c r="C100" i="28"/>
  <c r="D100" i="28" s="1"/>
  <c r="E100" i="28" s="1"/>
  <c r="F100" i="28" s="1"/>
  <c r="G100" i="28" s="1"/>
  <c r="H10" i="44"/>
  <c r="H9" i="44"/>
  <c r="H8" i="44"/>
  <c r="D97" i="28"/>
  <c r="E97" i="28" s="1"/>
  <c r="F97" i="28" s="1"/>
  <c r="G97" i="28" s="1"/>
  <c r="J53" i="31"/>
  <c r="J56" i="31"/>
  <c r="J54" i="31"/>
  <c r="H24" i="10" l="1"/>
  <c r="H27" i="10"/>
  <c r="F59" i="55"/>
  <c r="F60" i="55"/>
  <c r="F61" i="55"/>
  <c r="D53" i="28"/>
  <c r="D27" i="31"/>
  <c r="P29" i="55"/>
  <c r="T29" i="55"/>
  <c r="T31" i="55" s="1"/>
  <c r="O29" i="55"/>
  <c r="O31" i="55" s="1"/>
  <c r="V29" i="55"/>
  <c r="V31" i="55" s="1"/>
  <c r="V33" i="55" s="1"/>
  <c r="O76" i="55" s="1"/>
  <c r="U31" i="55"/>
  <c r="U33" i="55" s="1"/>
  <c r="O75" i="55" s="1"/>
  <c r="O33" i="55" l="1"/>
  <c r="O70" i="55" s="1"/>
  <c r="H29" i="10"/>
  <c r="H31" i="10" s="1"/>
  <c r="H94" i="10" s="1"/>
  <c r="T33" i="55"/>
  <c r="O74" i="55" s="1"/>
  <c r="N33" i="55"/>
  <c r="O69" i="55" s="1"/>
  <c r="G63" i="55"/>
  <c r="P31" i="55"/>
  <c r="P33" i="55" s="1"/>
  <c r="O71" i="55" s="1"/>
  <c r="M38" i="55" l="1"/>
  <c r="Q38" i="55"/>
  <c r="Q39" i="55" s="1"/>
  <c r="H116" i="10"/>
  <c r="H117" i="10"/>
  <c r="H114" i="10"/>
  <c r="H115" i="10"/>
  <c r="J46" i="31"/>
  <c r="Q44" i="55" l="1"/>
  <c r="Q55" i="55" s="1"/>
  <c r="Q57" i="55" s="1"/>
  <c r="Q59" i="55" s="1"/>
  <c r="Q65" i="55" s="1"/>
  <c r="Q63" i="55" l="1"/>
  <c r="Q61" i="55"/>
  <c r="J137" i="10" l="1"/>
  <c r="H105" i="10" s="1"/>
  <c r="H111" i="10" l="1"/>
  <c r="H100" i="10"/>
  <c r="H106" i="10"/>
  <c r="H113" i="10"/>
  <c r="H110" i="10"/>
  <c r="H107" i="10"/>
  <c r="H108" i="10"/>
  <c r="H112" i="10"/>
  <c r="H103" i="10"/>
  <c r="H102" i="10"/>
  <c r="H109" i="10"/>
  <c r="H104" i="10"/>
  <c r="H101" i="10"/>
  <c r="H99" i="10" l="1"/>
  <c r="E53" i="28" s="1"/>
  <c r="F137" i="10"/>
  <c r="H137" i="10" l="1"/>
  <c r="J72" i="31" l="1"/>
  <c r="H72" i="31"/>
  <c r="G71" i="31"/>
  <c r="J71" i="31"/>
  <c r="X17" i="56"/>
  <c r="H17" i="56"/>
  <c r="F70" i="31"/>
  <c r="Q18" i="56"/>
  <c r="V18" i="56" s="1"/>
  <c r="L53" i="28" s="1"/>
  <c r="H18" i="56"/>
  <c r="L13" i="28" l="1"/>
  <c r="I26" i="31"/>
  <c r="J70" i="31"/>
  <c r="J78" i="31" s="1"/>
  <c r="J79" i="31" l="1"/>
  <c r="J80" i="31" s="1"/>
  <c r="R29" i="2"/>
  <c r="T29" i="2"/>
  <c r="H13" i="28" l="1"/>
  <c r="Q13" i="28" s="1"/>
  <c r="V29" i="2"/>
  <c r="S29" i="2" s="1"/>
  <c r="I13" i="28"/>
  <c r="H27" i="31"/>
  <c r="H22" i="31" l="1"/>
  <c r="H34" i="31"/>
  <c r="F22" i="31"/>
  <c r="J22" i="31"/>
  <c r="K13" i="28"/>
  <c r="K15" i="1"/>
  <c r="K16" i="1"/>
  <c r="M16" i="1" s="1"/>
  <c r="K20" i="1"/>
  <c r="K14" i="1"/>
  <c r="K22" i="1"/>
  <c r="K17" i="1"/>
  <c r="K21" i="1"/>
  <c r="M21" i="1" s="1"/>
  <c r="K18" i="1"/>
  <c r="K19" i="1"/>
  <c r="M19" i="1" s="1"/>
  <c r="L26" i="1"/>
  <c r="L25" i="1"/>
  <c r="L23" i="1"/>
  <c r="L24" i="1"/>
  <c r="K23" i="1"/>
  <c r="M23" i="1" s="1"/>
  <c r="K24" i="1"/>
  <c r="K25" i="1"/>
  <c r="M25" i="1" s="1"/>
  <c r="K26" i="1"/>
  <c r="M26" i="1" s="1"/>
  <c r="E13" i="28"/>
  <c r="Q53" i="28" s="1"/>
  <c r="F13" i="28"/>
  <c r="M13" i="28"/>
  <c r="H32" i="31"/>
  <c r="H24" i="31"/>
  <c r="H20" i="31"/>
  <c r="H38" i="31"/>
  <c r="L46" i="31"/>
  <c r="H36" i="31"/>
  <c r="H26" i="31"/>
  <c r="F34" i="31" l="1"/>
  <c r="J34" i="31"/>
  <c r="L28" i="1"/>
  <c r="K28" i="1"/>
  <c r="L29" i="1" s="1"/>
  <c r="M15" i="1" s="1"/>
  <c r="M14" i="1"/>
  <c r="M20" i="1"/>
  <c r="AA47" i="2"/>
  <c r="AA53" i="2"/>
  <c r="AA62" i="2"/>
  <c r="AA35" i="2"/>
  <c r="AA25" i="2"/>
  <c r="AA67" i="2"/>
  <c r="AA29" i="2"/>
  <c r="AA65" i="2"/>
  <c r="AA31" i="2"/>
  <c r="AA41" i="2"/>
  <c r="AA40" i="2"/>
  <c r="AA27" i="2"/>
  <c r="AA20" i="2"/>
  <c r="AA60" i="2"/>
  <c r="AA78" i="2"/>
  <c r="AA33" i="2"/>
  <c r="AA16" i="2"/>
  <c r="AA32" i="2"/>
  <c r="AA71" i="2"/>
  <c r="AA55" i="2"/>
  <c r="AA49" i="2"/>
  <c r="AA61" i="2"/>
  <c r="AA34" i="2"/>
  <c r="AA43" i="2"/>
  <c r="AA19" i="2"/>
  <c r="AA52" i="2"/>
  <c r="AA15" i="2"/>
  <c r="AA45" i="2"/>
  <c r="AA48" i="2"/>
  <c r="AA73" i="2"/>
  <c r="AA74" i="2"/>
  <c r="AA17" i="2"/>
  <c r="AA57" i="2"/>
  <c r="AA36" i="2"/>
  <c r="AA59" i="2"/>
  <c r="AA50" i="2"/>
  <c r="AA14" i="2"/>
  <c r="AA56" i="2"/>
  <c r="AA42" i="2"/>
  <c r="AA39" i="2"/>
  <c r="AA69" i="2"/>
  <c r="AA30" i="2"/>
  <c r="AA75" i="2"/>
  <c r="AA64" i="2"/>
  <c r="AA76" i="2"/>
  <c r="AA38" i="2"/>
  <c r="AA46" i="2"/>
  <c r="AA24" i="2"/>
  <c r="AA18" i="2"/>
  <c r="AA23" i="2"/>
  <c r="AA63" i="2"/>
  <c r="AA81" i="2"/>
  <c r="AA37" i="2"/>
  <c r="AA26" i="2"/>
  <c r="AA44" i="2"/>
  <c r="AA80" i="2"/>
  <c r="AA77" i="2"/>
  <c r="AA21" i="2"/>
  <c r="AA51" i="2"/>
  <c r="AA54" i="2"/>
  <c r="AA68" i="2"/>
  <c r="AA66" i="2"/>
  <c r="AA22" i="2"/>
  <c r="AA72" i="2"/>
  <c r="AA79" i="2"/>
  <c r="AA58" i="2"/>
  <c r="AA70" i="2"/>
  <c r="AA28" i="2"/>
  <c r="J26" i="31"/>
  <c r="F26" i="31"/>
  <c r="N71" i="55"/>
  <c r="P71" i="55" s="1"/>
  <c r="N75" i="55"/>
  <c r="P75" i="55" s="1"/>
  <c r="F36" i="31"/>
  <c r="N76" i="55"/>
  <c r="P76" i="55" s="1"/>
  <c r="F38" i="31"/>
  <c r="F20" i="31"/>
  <c r="N69" i="55"/>
  <c r="N70" i="55"/>
  <c r="P70" i="55" s="1"/>
  <c r="F24" i="31"/>
  <c r="N74" i="55"/>
  <c r="P74" i="55" s="1"/>
  <c r="H39" i="31"/>
  <c r="F32" i="31"/>
  <c r="M22" i="1" l="1"/>
  <c r="M17" i="1"/>
  <c r="M18" i="1"/>
  <c r="M24" i="1"/>
  <c r="F27" i="31"/>
  <c r="F39" i="31"/>
  <c r="P69" i="55"/>
  <c r="P79" i="55" s="1"/>
  <c r="O81" i="55" s="1"/>
  <c r="N79" i="55"/>
  <c r="M28" i="1" l="1"/>
  <c r="G38" i="55"/>
  <c r="G40" i="55"/>
  <c r="G43" i="55" s="1"/>
  <c r="G27" i="55" s="1"/>
  <c r="G33" i="55" s="1"/>
  <c r="V34" i="55" l="1"/>
  <c r="V36" i="55" s="1"/>
  <c r="V38" i="55" s="1"/>
  <c r="V39" i="55" s="1"/>
  <c r="W34" i="55"/>
  <c r="W36" i="55" s="1"/>
  <c r="W38" i="55" s="1"/>
  <c r="W39" i="55" s="1"/>
  <c r="V44" i="55"/>
  <c r="V55" i="55" s="1"/>
  <c r="V57" i="55" s="1"/>
  <c r="V59" i="55" s="1"/>
  <c r="V61" i="55" s="1"/>
  <c r="V65" i="55"/>
  <c r="V63" i="55"/>
  <c r="P34" i="55"/>
  <c r="P36" i="55" s="1"/>
  <c r="P38" i="55" s="1"/>
  <c r="P39" i="55" s="1"/>
  <c r="P44" i="55" s="1"/>
  <c r="P55" i="55" s="1"/>
  <c r="P57" i="55" s="1"/>
  <c r="P59" i="55" s="1"/>
  <c r="P63" i="55" s="1"/>
  <c r="U34" i="55"/>
  <c r="U36" i="55" s="1"/>
  <c r="U38" i="55" s="1"/>
  <c r="U39" i="55" s="1"/>
  <c r="M34" i="55"/>
  <c r="T34" i="55"/>
  <c r="T36" i="55" s="1"/>
  <c r="O34" i="55"/>
  <c r="O36" i="55" s="1"/>
  <c r="N34" i="55"/>
  <c r="N36" i="55" s="1"/>
  <c r="P61" i="55" l="1"/>
  <c r="P65" i="55"/>
  <c r="W44" i="55"/>
  <c r="W55" i="55" s="1"/>
  <c r="W57" i="55" s="1"/>
  <c r="W59" i="55" s="1"/>
  <c r="W65" i="55" s="1"/>
  <c r="W63" i="55"/>
  <c r="W61" i="55"/>
  <c r="U44" i="55"/>
  <c r="U55" i="55" s="1"/>
  <c r="U57" i="55" s="1"/>
  <c r="U59" i="55" s="1"/>
  <c r="U65" i="55"/>
  <c r="U61" i="55"/>
  <c r="U63" i="55"/>
  <c r="T38" i="55"/>
  <c r="T39" i="55" s="1"/>
  <c r="N38" i="55"/>
  <c r="N39" i="55" s="1"/>
  <c r="O38" i="55"/>
  <c r="O39" i="55" s="1"/>
  <c r="N44" i="55" l="1"/>
  <c r="N55" i="55" s="1"/>
  <c r="N57" i="55" s="1"/>
  <c r="N59" i="55" s="1"/>
  <c r="I20" i="31" s="1"/>
  <c r="J20" i="31" s="1"/>
  <c r="O44" i="55"/>
  <c r="O55" i="55" s="1"/>
  <c r="O57" i="55" s="1"/>
  <c r="O59" i="55" s="1"/>
  <c r="O61" i="55" s="1"/>
  <c r="T44" i="55"/>
  <c r="T55" i="55" s="1"/>
  <c r="T57" i="55" s="1"/>
  <c r="T59" i="55" s="1"/>
  <c r="O65" i="55" l="1"/>
  <c r="O63" i="55"/>
  <c r="I24" i="31"/>
  <c r="J24" i="31" s="1"/>
  <c r="J27" i="31" s="1"/>
  <c r="L27" i="31" s="1"/>
  <c r="H49" i="28" s="1"/>
  <c r="J32" i="31"/>
  <c r="J38" i="31"/>
  <c r="J36" i="31"/>
  <c r="T61" i="55"/>
  <c r="T63" i="55"/>
  <c r="T65" i="55"/>
  <c r="N61" i="55"/>
  <c r="N63" i="55"/>
  <c r="N65" i="55"/>
  <c r="J39" i="31" l="1"/>
  <c r="L39" i="31" s="1"/>
  <c r="L49" i="28" s="1"/>
  <c r="G53" i="28" s="1"/>
  <c r="I49" i="28"/>
  <c r="F53" i="28" s="1"/>
  <c r="H53" i="28"/>
  <c r="J43" i="31" l="1"/>
  <c r="J48" i="31" s="1"/>
  <c r="J60" i="31" s="1"/>
  <c r="F85" i="31" s="1"/>
  <c r="N39" i="31"/>
  <c r="L41" i="31" s="1"/>
  <c r="Z14" i="58" s="1"/>
  <c r="Z65" i="2"/>
  <c r="Z47" i="2"/>
  <c r="Z29" i="2"/>
  <c r="Z15" i="2"/>
  <c r="Z28" i="58"/>
  <c r="Z72" i="2"/>
  <c r="Z66" i="2"/>
  <c r="Z32" i="2"/>
  <c r="Z48" i="2"/>
  <c r="Z23" i="58"/>
  <c r="Z34" i="2"/>
  <c r="Z18" i="58"/>
  <c r="Z35" i="2"/>
  <c r="Z18" i="2"/>
  <c r="Z56" i="2"/>
  <c r="Z50" i="2"/>
  <c r="Z75" i="2"/>
  <c r="Z26" i="2"/>
  <c r="Z27" i="58"/>
  <c r="Z28" i="2"/>
  <c r="Z25" i="2"/>
  <c r="Z67" i="2"/>
  <c r="Z27" i="2"/>
  <c r="Z59" i="2"/>
  <c r="Z24" i="58"/>
  <c r="Z21" i="58"/>
  <c r="Z74" i="2"/>
  <c r="Z31" i="2"/>
  <c r="Z25" i="58"/>
  <c r="Z77" i="2"/>
  <c r="Z60" i="2"/>
  <c r="Z15" i="58"/>
  <c r="Z30" i="2"/>
  <c r="Z70" i="2"/>
  <c r="Z40" i="2"/>
  <c r="Z54" i="2"/>
  <c r="Z22" i="2"/>
  <c r="Z39" i="2"/>
  <c r="Z81" i="2"/>
  <c r="Z44" i="2"/>
  <c r="Z19" i="2"/>
  <c r="F87" i="31"/>
  <c r="Z46" i="2"/>
  <c r="Z52" i="2"/>
  <c r="Z37" i="2"/>
  <c r="Z22" i="58"/>
  <c r="Z57" i="2"/>
  <c r="L56" i="31"/>
  <c r="I53" i="28"/>
  <c r="Z49" i="2" l="1"/>
  <c r="Z45" i="2"/>
  <c r="Z16" i="58"/>
  <c r="Z61" i="2"/>
  <c r="Z17" i="2"/>
  <c r="Z62" i="2"/>
  <c r="Z55" i="2"/>
  <c r="Z51" i="2"/>
  <c r="Z43" i="2"/>
  <c r="Z78" i="2"/>
  <c r="Z20" i="58"/>
  <c r="Z33" i="2"/>
  <c r="Z24" i="2"/>
  <c r="Z71" i="2"/>
  <c r="Z41" i="2"/>
  <c r="Z80" i="2"/>
  <c r="Z21" i="2"/>
  <c r="Z38" i="2"/>
  <c r="Z36" i="2"/>
  <c r="Z23" i="2"/>
  <c r="Z79" i="2"/>
  <c r="Z64" i="2"/>
  <c r="Z68" i="2"/>
  <c r="Z19" i="58"/>
  <c r="Z63" i="2"/>
  <c r="Z69" i="2"/>
  <c r="Z58" i="2"/>
  <c r="Z20" i="2"/>
  <c r="Z14" i="2"/>
  <c r="Z73" i="2"/>
  <c r="Z53" i="2"/>
  <c r="Z26" i="58"/>
  <c r="Z42" i="2"/>
  <c r="Z16" i="2"/>
  <c r="Z76" i="2"/>
  <c r="Z17" i="58"/>
  <c r="J61" i="31"/>
  <c r="J62" i="31" s="1"/>
  <c r="I90" i="28"/>
  <c r="M53" i="28"/>
  <c r="M90" i="28" l="1"/>
  <c r="F90" i="28"/>
  <c r="J90" i="28"/>
  <c r="L90" i="28"/>
  <c r="E90" i="28"/>
  <c r="D90" i="28"/>
  <c r="G90" i="28"/>
  <c r="H90"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Pieter van leijen</author>
  </authors>
  <commentList>
    <comment ref="E25" authorId="0" shapeId="0" xr:uid="{6E46123B-51B1-6F43-A927-42BDFFCC5C67}">
      <text>
        <r>
          <rPr>
            <sz val="10"/>
            <color rgb="FF000000"/>
            <rFont val="Verdana"/>
            <family val="34"/>
          </rPr>
          <t xml:space="preserve">
</t>
        </r>
        <r>
          <rPr>
            <sz val="10"/>
            <color rgb="FF000000"/>
            <rFont val="Verdana"/>
            <family val="34"/>
          </rPr>
          <t xml:space="preserve">
</t>
        </r>
        <r>
          <rPr>
            <sz val="10"/>
            <color rgb="FF000000"/>
            <rFont val="Verdana"/>
            <family val="34"/>
          </rPr>
          <t xml:space="preserve">Selecteer de omvang van uw orgaisatie o.b.v. de loonsom met 25 maal het gemiddelde 
</t>
        </r>
        <r>
          <rPr>
            <sz val="10"/>
            <color rgb="FF000000"/>
            <rFont val="Verdana"/>
            <family val="34"/>
          </rPr>
          <t xml:space="preserve">premieplichtige loon per werknemer per jaar uit 2019.
</t>
        </r>
        <r>
          <rPr>
            <sz val="10"/>
            <color rgb="FF000000"/>
            <rFont val="Verdana"/>
            <family val="34"/>
          </rPr>
          <t xml:space="preserve">(25 x 34.600 gemiddeld loonsom 2019 = 865.000 als grens kleine/grotere werkgever)
</t>
        </r>
        <r>
          <rPr>
            <sz val="10"/>
            <color rgb="FF000000"/>
            <rFont val="Verdana"/>
            <family val="34"/>
          </rPr>
          <t xml:space="preserve">
</t>
        </r>
      </text>
    </comment>
  </commentList>
</comments>
</file>

<file path=xl/sharedStrings.xml><?xml version="1.0" encoding="utf-8"?>
<sst xmlns="http://schemas.openxmlformats.org/spreadsheetml/2006/main" count="1009" uniqueCount="537">
  <si>
    <t>Tabblad: Voorblad</t>
  </si>
  <si>
    <t>Tabblad: 1.2-Kengetal</t>
  </si>
  <si>
    <t>Tabblad: 1.3-Basis ruimtestaat</t>
  </si>
  <si>
    <t>Vul de naam van uw organisatie in bij: "Naam Inschrijver"</t>
  </si>
  <si>
    <t xml:space="preserve">STAP 1: Voer in de gekleurde cellen de gevraagde kengetallen in </t>
  </si>
  <si>
    <t xml:space="preserve">STAP 2: De ingevoerde kengetallen worden automatisch geplaatst in het tabblad 1.3-Basisruimtestaat. Het aantal productie-uren per jaar wordt op ruimteniveau weergegeven. </t>
  </si>
  <si>
    <t>Volg de stappen 1 t/m 8 om de calcualtie</t>
  </si>
  <si>
    <t>Tabblad: 1.4-Opbouw uurtarieven premies/werkbare dagen</t>
  </si>
  <si>
    <t>Tabblad: 1.4-Opbouw uurtarieven</t>
  </si>
  <si>
    <t>Tabblad: 1.6-Machine-investeringskosten</t>
  </si>
  <si>
    <t>in te voeren.</t>
  </si>
  <si>
    <t>STAP 3: Voer in de gekleurde cellen de gevraagde informatie in. Let op: in de oranje gekleurde cellen zijn formules of koppelingen aanwezig, deze mogen niet worden verwijderd of aangepast.</t>
  </si>
  <si>
    <t>STAP 4: Selecteer een loongroep medewerker in de cellen "Selecteer categorie medewerker". Voer in de gekleurde cellen de gevraagde informatie in. Let op: in de oranje gekleurde cellen zijn formules of koppelingen aanwezig, deze mogen niet worden verwijderd of aangepast.</t>
  </si>
  <si>
    <t>STAP 5: Voer in de gekleurde cellen de gevraagde informatie in. Let op: in de oranje gekleurde cellen zijn formules of koppelingen aanwezig, deze mogen niet worden verwijderd of aangepast.</t>
  </si>
  <si>
    <t>Op ieder tabblad is een kortetoelichting</t>
  </si>
  <si>
    <t>aanwezig. Selecteer de cel "Toelichting"</t>
  </si>
  <si>
    <t>om de informatie te lezen.</t>
  </si>
  <si>
    <t>= invulvelden</t>
  </si>
  <si>
    <t>= keuze velden</t>
  </si>
  <si>
    <t>= formule velden 'niet wijzigen'</t>
  </si>
  <si>
    <t>Tabblad: 1.7-Aditioneel 1.7a-Afroep prijzen</t>
  </si>
  <si>
    <t>Tabblad: 1.a- Naloop sanitaire ruimten</t>
  </si>
  <si>
    <t>Tabblad: 1.8-Glasbewassing</t>
  </si>
  <si>
    <t>STAP 6: Voer in de gekleurde cellen de gevraagde informatie in. Let op: in de oranje gekleurde cellen zijn formules of koppelingen aanwezig, deze mogen niet worden verwijderd of aangepast.</t>
  </si>
  <si>
    <t>STAP 7: Voer in de gekleurde cellen de gevraagde informatie in. Let op: in de oranje gekleurde cellen zijn formules of koppelingen aanwezig, deze mogen niet worden verwijderd of aangepast.</t>
  </si>
  <si>
    <t xml:space="preserve">Overal waar in het Calculatiemodel de  invoervelden aanwezig  zijn, dient een getal (niet zijnde nul (0)) te worden ingevuld. </t>
  </si>
  <si>
    <t>Tabblad: 1.0-Contractblad</t>
  </si>
  <si>
    <t>Tabblad: 1.1a-Jaarprijzen</t>
  </si>
  <si>
    <t>Opmerking:</t>
  </si>
  <si>
    <t>In het contractblad wordt automatisch het aantal m2 glas weergegeven (indien van toepassing).</t>
  </si>
  <si>
    <t>STAP 8: Selecteer "Selecteer tarief medewerker en/of toezicht" om een loongroep medewerker te selecteren. Het uurtarief wordt automatisch geplaats. Vul het percentage in van het aantal in te zetten uren en het jaarbedrag wordt gecalculeerd.</t>
  </si>
  <si>
    <t>In dit tabblad wordt een recapitulatie van alle calcuatiegegevens weeergegeven</t>
  </si>
  <si>
    <t>In het tabblad 1.1a-Jaarprijzen wordt een totaal overzicht per locatie</t>
  </si>
  <si>
    <t>weergegeven. Hier behoeft niets te worden ingevoerd.</t>
  </si>
  <si>
    <t>Het tabblad 1.3a-Mutaties is niet van toepassing (indien aanwezig)</t>
  </si>
  <si>
    <t>Het tabblad 1.3b-Verrekening mutaties is niet van toepassing (indien aanwezig)</t>
  </si>
  <si>
    <t>Calculatiemodule</t>
  </si>
  <si>
    <t>Schoonmaakonderhoud</t>
  </si>
  <si>
    <t>&amp;</t>
  </si>
  <si>
    <t>Glasbewassing</t>
  </si>
  <si>
    <t>Invest-NL</t>
  </si>
  <si>
    <t>[Invoeren naam organisatie van Inschrijver]</t>
  </si>
  <si>
    <t>Prijspeil</t>
  </si>
  <si>
    <t>Besteknummer</t>
  </si>
  <si>
    <t>TN436801</t>
  </si>
  <si>
    <t>Versie</t>
  </si>
  <si>
    <t>Mutatieberichten</t>
  </si>
  <si>
    <t>Verwerkt in ruimtestaat</t>
  </si>
  <si>
    <t xml:space="preserve">Omschrijving blad : </t>
  </si>
  <si>
    <t>Contractblad jaarprijs schoonmaak &amp; Glasbewassing</t>
  </si>
  <si>
    <t xml:space="preserve">Naam opdrachtgever : </t>
  </si>
  <si>
    <t xml:space="preserve">Adres/plaats : </t>
  </si>
  <si>
    <t>Kingsfordweg 43-117 Amsterdam</t>
  </si>
  <si>
    <t>Toelichting</t>
  </si>
  <si>
    <t xml:space="preserve">Besteknummer : </t>
  </si>
  <si>
    <t xml:space="preserve">Versie : </t>
  </si>
  <si>
    <t xml:space="preserve">Naam leverancier : </t>
  </si>
  <si>
    <t xml:space="preserve">Prijspeil : </t>
  </si>
  <si>
    <t>JAARPRIJS SCHOONMAAK</t>
  </si>
  <si>
    <t>CATEGORIE MEDEWERKER</t>
  </si>
  <si>
    <t>PERCENTAGE INZET MEDEWERKER</t>
  </si>
  <si>
    <t>AANTAL UREN PER DAG (GEMIDDELD)</t>
  </si>
  <si>
    <t>AANTAL DAGEN PER JAAR</t>
  </si>
  <si>
    <t>AANTAL UREN PER JAAR</t>
  </si>
  <si>
    <t>TARIEF</t>
  </si>
  <si>
    <t>PRIJS PER JAAR</t>
  </si>
  <si>
    <t>PRODUCTIE-UREN MAANDAG-VRIJDAG 06:00-21:30 uur</t>
  </si>
  <si>
    <t>Selecteer tarief uitvoerend</t>
  </si>
  <si>
    <t>[A]</t>
  </si>
  <si>
    <t>TOEZICHT-UREN MAANDAG-VRIJDAG 06:00-21:30 uur</t>
  </si>
  <si>
    <t>[B]</t>
  </si>
  <si>
    <t>SUBTOTAAL [A+B]</t>
  </si>
  <si>
    <t>INVESTERING MACHINEKOSTEN (BLAD 1.6-MACHINE-INVESTERINGSKOSTEN</t>
  </si>
  <si>
    <t>TOTAAL</t>
  </si>
  <si>
    <t>ADDITIONELE PROJECTGEBONDEN SCHOONMAAKWERKZAAMHEDEN</t>
  </si>
  <si>
    <t>UREN PER JAAR</t>
  </si>
  <si>
    <t>TARIEF PER UUR</t>
  </si>
  <si>
    <t>1. Bijvullen en reinigen koffiemachine Jura X8c.</t>
  </si>
  <si>
    <t>2. Reinigen van buiten-, binnenijzde koelkast.</t>
  </si>
  <si>
    <t>3. Reinigen van buiten-, binnenijzde vaatwasser.</t>
  </si>
  <si>
    <t>4. Afvalbakken in ruimte 3.33-Lounge ledigen en afvoeren.</t>
  </si>
  <si>
    <t>TOTAAL KOSTEN PER JAAR EXCLUSIEF BTW</t>
  </si>
  <si>
    <t>B.T.W.</t>
  </si>
  <si>
    <t>Totale kosten per jaar inclusief B.T.W.</t>
  </si>
  <si>
    <t>JAARPRIJS GLASBEWASSING</t>
  </si>
  <si>
    <t>M2       BUITEGLAS</t>
  </si>
  <si>
    <t>M2     BINNENGLAS</t>
  </si>
  <si>
    <t>M2 SEPARATIEGLAS</t>
  </si>
  <si>
    <t>INZET ARBEIDSMIDDELEN</t>
  </si>
  <si>
    <t>Totaal inschrijfprijs schoonmaakonderhoud en glasbewassing excl. BTW</t>
  </si>
  <si>
    <t>Gemiddeld uurtarief excl. machinekosten excl. BTW</t>
  </si>
  <si>
    <t>Omschrijving blad</t>
  </si>
  <si>
    <t>Jaarkosten per locatie</t>
  </si>
  <si>
    <t>Naam opdrachtgever</t>
  </si>
  <si>
    <t>Adres/plaats</t>
  </si>
  <si>
    <t>Naam leverancier</t>
  </si>
  <si>
    <t>GEBOUW</t>
  </si>
  <si>
    <t>ADRES</t>
  </si>
  <si>
    <t>PLAATS</t>
  </si>
  <si>
    <t>VLOEROPPERVLAK IN ONDERHOUD</t>
  </si>
  <si>
    <t>VLOEROPPERVLAK NIET IN ONDERHOUD</t>
  </si>
  <si>
    <t>PERCEEL (I.V.T.)</t>
  </si>
  <si>
    <t>PRODUCTIE UREN REGULIER MA-VR</t>
  </si>
  <si>
    <t>PRODUCTIE UREN PERIODIEK</t>
  </si>
  <si>
    <t>AFRONDING TAAK UREN</t>
  </si>
  <si>
    <t>TOEZICHT UREN MA-VR</t>
  </si>
  <si>
    <t>TOTAAL M2 GLAS</t>
  </si>
  <si>
    <t>GEWOGEN GEMIDDELDE O.B.V. VLOEROPPERVLAK IN ONDERHOUD</t>
  </si>
  <si>
    <t>UREN PER DAG EXCL. PERIODIEK</t>
  </si>
  <si>
    <t>Kingsfordweg 43-117</t>
  </si>
  <si>
    <t>Amsterdam</t>
  </si>
  <si>
    <t>t</t>
  </si>
  <si>
    <t>ADDITIONLE KOSTEN</t>
  </si>
  <si>
    <t>INVESTERING MACHINEKOSTEN</t>
  </si>
  <si>
    <t>PRODUCTIEKOSTEN MA-VR</t>
  </si>
  <si>
    <t>TOEZICHTKOSTEN</t>
  </si>
  <si>
    <t>KOSTEN AFRONDING TAAK UREN</t>
  </si>
  <si>
    <t>TOTAAL SCHOONMAAK</t>
  </si>
  <si>
    <t xml:space="preserve">MUTATIE VOLGENS 1.3A </t>
  </si>
  <si>
    <t>VERREKJEND JA/NEE</t>
  </si>
  <si>
    <t>GLASBEWASSING</t>
  </si>
  <si>
    <t>KOSTEN TOTAAL PER JAAR</t>
  </si>
  <si>
    <t>Perceel 1 totalen</t>
  </si>
  <si>
    <t>Indexering</t>
  </si>
  <si>
    <t>invoerings datum</t>
  </si>
  <si>
    <t>percentage</t>
  </si>
  <si>
    <t>Kengetallenoverzicht schoonmaakonderhoud</t>
  </si>
  <si>
    <t>CALCULATIE-CODE MA-VR</t>
  </si>
  <si>
    <t>FREQ. NOTATIE</t>
  </si>
  <si>
    <t>RUIMTECATEGORIE</t>
  </si>
  <si>
    <t>FREQ. OMSCHRIJVING</t>
  </si>
  <si>
    <t>KENGETAL MA-VR</t>
  </si>
  <si>
    <t>KENGETAL PERIODIEK</t>
  </si>
  <si>
    <t>PRESTATIE NORM</t>
  </si>
  <si>
    <t>M2 VLOER IO</t>
  </si>
  <si>
    <t>M2 VLOER NIO</t>
  </si>
  <si>
    <t>VERHOUDING VLOEROPP.</t>
  </si>
  <si>
    <t>BIJZONDERHEDEN</t>
  </si>
  <si>
    <t>VSR CODE</t>
  </si>
  <si>
    <t>administratieve - en vergaderruimte</t>
  </si>
  <si>
    <t>255 keer per jaar</t>
  </si>
  <si>
    <t>B</t>
  </si>
  <si>
    <t>verblijfsruimte</t>
  </si>
  <si>
    <t>V</t>
  </si>
  <si>
    <t>verblijfsruimte 2e volledige ronde</t>
  </si>
  <si>
    <t>255 keer per jaar naloop</t>
  </si>
  <si>
    <t>entree, gang en hal</t>
  </si>
  <si>
    <t>sanitaire ruimte</t>
  </si>
  <si>
    <t>S</t>
  </si>
  <si>
    <t>sanitaire ruimte 2e volledige ronde</t>
  </si>
  <si>
    <t>pantry, keuken</t>
  </si>
  <si>
    <t>pantry, keuken 2e volledige ronde</t>
  </si>
  <si>
    <t>representatieve ruimte</t>
  </si>
  <si>
    <t>op afroep</t>
  </si>
  <si>
    <t>nvt</t>
  </si>
  <si>
    <t>niet van toepassing</t>
  </si>
  <si>
    <t>tijdlk nvt</t>
  </si>
  <si>
    <t>tijdelijk niet van toepassing</t>
  </si>
  <si>
    <t>vervallen</t>
  </si>
  <si>
    <t>vervallen (mutatie)</t>
  </si>
  <si>
    <t>Totaal</t>
  </si>
  <si>
    <t>Toelichting kengetallenoverzicht:</t>
  </si>
  <si>
    <t>Programmacode</t>
  </si>
  <si>
    <t>: unieke code die is gekoppeld aan een schoonmaakprogramma voor een bepaalde ruimtecategorie</t>
  </si>
  <si>
    <t>Frequentienotatie</t>
  </si>
  <si>
    <t>: cijfermatige notatie van het aantal keren dat een ruimte per jaar wordt schoongemaakt (zie onderstaande opgave)</t>
  </si>
  <si>
    <t>Ruimtecategorie</t>
  </si>
  <si>
    <t>: onderverdeling van de aanwezige ruimten in een object in een aantal categorieën</t>
  </si>
  <si>
    <t>Frequentie-omschr.</t>
  </si>
  <si>
    <t>: omschrijving van het aantal keren dat een ruimte per jaar wordt schoongemaakt (zie onderstaande opgave)</t>
  </si>
  <si>
    <t>Kengetal</t>
  </si>
  <si>
    <t xml:space="preserve">: uren per vierkante meter per jaar </t>
  </si>
  <si>
    <t>Prestatienorm</t>
  </si>
  <si>
    <t>: aantal schoon te maken m2 per uur</t>
  </si>
  <si>
    <t>m2 Vloer IO</t>
  </si>
  <si>
    <t>: aantal m2 in onderhoud</t>
  </si>
  <si>
    <t>m2 Vloer NIO</t>
  </si>
  <si>
    <t>: aantal m2 niet in onderhoud</t>
  </si>
  <si>
    <t>Verhouding vloeropp.</t>
  </si>
  <si>
    <t>: percentage vloeroppervlakte per ruimtecategorie t.o.v. totale vloeroppervlakte</t>
  </si>
  <si>
    <t>Bijzonde3rheden</t>
  </si>
  <si>
    <t>: Eventuele opmerkingen</t>
  </si>
  <si>
    <t>VSR-code</t>
  </si>
  <si>
    <t>: afkortingen voor ruimtecategorieën bij toepassing van VSR-kwaliteitsmetingen V=verkeersruimten, S=Sanitaire ruimten en  B=Bureaukamer</t>
  </si>
  <si>
    <t>Ruimte/- Calculatiestaat</t>
  </si>
  <si>
    <t xml:space="preserve"> = invulvelden</t>
  </si>
  <si>
    <t>MUTATIE NUMMER</t>
  </si>
  <si>
    <t>MUTATIE DATUM</t>
  </si>
  <si>
    <t>PERCEEL</t>
  </si>
  <si>
    <t>LOCATTIE</t>
  </si>
  <si>
    <t>VERD.</t>
  </si>
  <si>
    <t>RUIMTENR</t>
  </si>
  <si>
    <t>RUIMTE OMSCHRIJVING (OPDRACHTGEVER)</t>
  </si>
  <si>
    <t>RUIMTE CATEGORIE</t>
  </si>
  <si>
    <t>VLOER SOORT</t>
  </si>
  <si>
    <t>PROGR. CODE REGULIER</t>
  </si>
  <si>
    <t>PROGR. CODE NALOOP</t>
  </si>
  <si>
    <t>FACTOR REGULIER</t>
  </si>
  <si>
    <t>FACTOR PERIODIEK</t>
  </si>
  <si>
    <t>UREN P/JR REGULIER</t>
  </si>
  <si>
    <t>UREN P/JR PERIODIEK</t>
  </si>
  <si>
    <t>UREN P/JR NALOOP</t>
  </si>
  <si>
    <t>KENGETAL REGULIER</t>
  </si>
  <si>
    <t>KENGETAL NALOOP</t>
  </si>
  <si>
    <t>€ SCHOONMAAK</t>
  </si>
  <si>
    <t>€ GLASBEWASSING</t>
  </si>
  <si>
    <t>-</t>
  </si>
  <si>
    <t>3.01</t>
  </si>
  <si>
    <t>SER ruimte</t>
  </si>
  <si>
    <t>tapijt</t>
  </si>
  <si>
    <t>3.02</t>
  </si>
  <si>
    <t>Stilteplek</t>
  </si>
  <si>
    <t>3.03</t>
  </si>
  <si>
    <t>Directie</t>
  </si>
  <si>
    <t>3.04</t>
  </si>
  <si>
    <t>3.05</t>
  </si>
  <si>
    <t>Brainstorm</t>
  </si>
  <si>
    <t>3.06</t>
  </si>
  <si>
    <t>3.07</t>
  </si>
  <si>
    <t>Kantoor</t>
  </si>
  <si>
    <t>3.08</t>
  </si>
  <si>
    <t>3.09</t>
  </si>
  <si>
    <t>3.10</t>
  </si>
  <si>
    <t>OD</t>
  </si>
  <si>
    <t>3.11</t>
  </si>
  <si>
    <t>Kantoortuin</t>
  </si>
  <si>
    <t>3.12</t>
  </si>
  <si>
    <t>Vergaderruimte</t>
  </si>
  <si>
    <t>3.13</t>
  </si>
  <si>
    <t>3.14</t>
  </si>
  <si>
    <t>3.15</t>
  </si>
  <si>
    <t>3.16</t>
  </si>
  <si>
    <t>3.17</t>
  </si>
  <si>
    <t>3.18</t>
  </si>
  <si>
    <t>Opslag</t>
  </si>
  <si>
    <t>marmoleum</t>
  </si>
  <si>
    <t>3.19</t>
  </si>
  <si>
    <t>3.20</t>
  </si>
  <si>
    <t>Breakout</t>
  </si>
  <si>
    <t>3.21</t>
  </si>
  <si>
    <t>3.22</t>
  </si>
  <si>
    <t>3.23</t>
  </si>
  <si>
    <t>3.24</t>
  </si>
  <si>
    <t>3.25</t>
  </si>
  <si>
    <t>Spreekkamer</t>
  </si>
  <si>
    <t>3.26</t>
  </si>
  <si>
    <t>NO</t>
  </si>
  <si>
    <t>3.27</t>
  </si>
  <si>
    <t>Kopie/pantry</t>
  </si>
  <si>
    <t>3.28</t>
  </si>
  <si>
    <t>3.29</t>
  </si>
  <si>
    <t>3.30</t>
  </si>
  <si>
    <t>Bar/keuken</t>
  </si>
  <si>
    <t>3.31</t>
  </si>
  <si>
    <t>Lunchruimte</t>
  </si>
  <si>
    <t>bamboe</t>
  </si>
  <si>
    <t>3.32</t>
  </si>
  <si>
    <t>Secretariaat</t>
  </si>
  <si>
    <t>3.33</t>
  </si>
  <si>
    <t>Lounge</t>
  </si>
  <si>
    <t>3.34</t>
  </si>
  <si>
    <t>3.35</t>
  </si>
  <si>
    <t>3.36</t>
  </si>
  <si>
    <t>3.37</t>
  </si>
  <si>
    <t>3.38</t>
  </si>
  <si>
    <t>3.39</t>
  </si>
  <si>
    <t>3.40</t>
  </si>
  <si>
    <t>Lounge gastentafel</t>
  </si>
  <si>
    <t>3.41</t>
  </si>
  <si>
    <t>Gang</t>
  </si>
  <si>
    <t>3.42</t>
  </si>
  <si>
    <t>Kolfruimte</t>
  </si>
  <si>
    <t>3.43</t>
  </si>
  <si>
    <t>Toilet</t>
  </si>
  <si>
    <t>3.44</t>
  </si>
  <si>
    <t>Lifthal</t>
  </si>
  <si>
    <t>3.45</t>
  </si>
  <si>
    <t>3.00</t>
  </si>
  <si>
    <t>5.00</t>
  </si>
  <si>
    <t>pvc</t>
  </si>
  <si>
    <t>5.00A</t>
  </si>
  <si>
    <t>5.01</t>
  </si>
  <si>
    <t>5.02</t>
  </si>
  <si>
    <t>Pantry</t>
  </si>
  <si>
    <t>5.03</t>
  </si>
  <si>
    <t>Technische ruimte</t>
  </si>
  <si>
    <t>5.04</t>
  </si>
  <si>
    <t>Patch ruimte</t>
  </si>
  <si>
    <t>5.05</t>
  </si>
  <si>
    <t>Kantoor/Vergaderruimte</t>
  </si>
  <si>
    <t>5.06</t>
  </si>
  <si>
    <t>Vergaderruimte/brainstorming</t>
  </si>
  <si>
    <t>5.07</t>
  </si>
  <si>
    <t>Vergaderruimte 10 pers</t>
  </si>
  <si>
    <t>5.08</t>
  </si>
  <si>
    <t>5.09</t>
  </si>
  <si>
    <t>Vergaderruimte 4 pers</t>
  </si>
  <si>
    <t>5.10</t>
  </si>
  <si>
    <t>5.11</t>
  </si>
  <si>
    <t>Presentatieruimten Town Hall</t>
  </si>
  <si>
    <t>Op donderdag extra bezetting</t>
  </si>
  <si>
    <t>5.12</t>
  </si>
  <si>
    <t>Werkplek 1 pers</t>
  </si>
  <si>
    <t>5.13</t>
  </si>
  <si>
    <t>Hal bij trappenhuis</t>
  </si>
  <si>
    <t>5.14</t>
  </si>
  <si>
    <t>Trappenhuis</t>
  </si>
  <si>
    <t>5.15</t>
  </si>
  <si>
    <t>Printer/copy ruimte</t>
  </si>
  <si>
    <t>5.16</t>
  </si>
  <si>
    <t>Kantoortuin 24 pers</t>
  </si>
  <si>
    <t>5.17</t>
  </si>
  <si>
    <t>Werkplek 4 pers</t>
  </si>
  <si>
    <t>5.18</t>
  </si>
  <si>
    <t>5.19</t>
  </si>
  <si>
    <t>5.20</t>
  </si>
  <si>
    <t>Mutaties</t>
  </si>
  <si>
    <t>Mutatie nummer</t>
  </si>
  <si>
    <t>Mutatie datum</t>
  </si>
  <si>
    <t>PER-CEEL</t>
  </si>
  <si>
    <t>Eind datum berekening</t>
  </si>
  <si>
    <t>Te verekenen dagen</t>
  </si>
  <si>
    <t>Mutatiebedrag per jaar</t>
  </si>
  <si>
    <t>Verrekenbedrag</t>
  </si>
  <si>
    <t>Premies en opslagen &amp; tarieven  voor schoonmaakonderhoud</t>
  </si>
  <si>
    <t>SCHOONMAAKMEDEWERKER</t>
  </si>
  <si>
    <t>TOEZICHTMEDEWERKER</t>
  </si>
  <si>
    <t>Selecteer categorie medewerker</t>
  </si>
  <si>
    <t>Lngr 1 : Vakvolwassen</t>
  </si>
  <si>
    <t>Selecteer het aantal dienstjaren</t>
  </si>
  <si>
    <t>SOCIALE VERZEKERINGEN</t>
  </si>
  <si>
    <t>Project gemiddelde</t>
  </si>
  <si>
    <t>Awf-laag/Awf-hoog o.b.v. gemiddelde van de onderneming</t>
  </si>
  <si>
    <t>WGA sectorpremie</t>
  </si>
  <si>
    <t>Percentages</t>
  </si>
  <si>
    <t>ZW-flex</t>
  </si>
  <si>
    <t>+</t>
  </si>
  <si>
    <t>Specialisten toeslag (indien van toepassing)</t>
  </si>
  <si>
    <t>Totaal premie Whk</t>
  </si>
  <si>
    <t>BHV toeslag (indien van toepassing)</t>
  </si>
  <si>
    <t>Overname kosten volgens Bijlage overname personeel</t>
  </si>
  <si>
    <t>Aof-hoog / Aof-laag (selecteer de cel hierboven voor keuze)</t>
  </si>
  <si>
    <t>Eénmalige uitkering</t>
  </si>
  <si>
    <t>Selecteer omvang van uw organisatie</t>
  </si>
  <si>
    <t>Zorgverzekeringswet (Zvw)</t>
  </si>
  <si>
    <t>OP/NP pensioen</t>
  </si>
  <si>
    <t>Bruto uurloon</t>
  </si>
  <si>
    <t>Wet Arbeid in Balans (WAB)</t>
  </si>
  <si>
    <t xml:space="preserve"> </t>
  </si>
  <si>
    <t xml:space="preserve">Vakantietoeslag </t>
  </si>
  <si>
    <t>Kinderopvang</t>
  </si>
  <si>
    <t xml:space="preserve">RAS-heffing </t>
  </si>
  <si>
    <t>Bruto uurloon inclusief toeslagen</t>
  </si>
  <si>
    <t xml:space="preserve">Totaal premies sociale verzekeringen    </t>
  </si>
  <si>
    <t>SV-loon grondslag voor berekening sociale verzekeringen</t>
  </si>
  <si>
    <t>Premies Sociale Verzekeringen</t>
  </si>
  <si>
    <t>SOCIALE VERZEKERINGEN - OUDERDOMS PENSIOEN</t>
  </si>
  <si>
    <t>Subtotaal loonkosten per uur inclusief sociale verzekeringen</t>
  </si>
  <si>
    <t>werkgeversdeel</t>
  </si>
  <si>
    <t>SV uurloon inclusief toeslagen</t>
  </si>
  <si>
    <t>Opslag niet werkbare dagen</t>
  </si>
  <si>
    <t>Franchise OP-premie per uur</t>
  </si>
  <si>
    <t>Totaal loonkosten per uur</t>
  </si>
  <si>
    <t>Grondslag loon voor berekening OP premie</t>
  </si>
  <si>
    <t>Premie Ouderdomspensioen (OP)</t>
  </si>
  <si>
    <t>Materiaal/- en middelen</t>
  </si>
  <si>
    <t>Werkkleding en uitrusting</t>
  </si>
  <si>
    <t>Effectieve OP premie</t>
  </si>
  <si>
    <t>Totaal directe kosten</t>
  </si>
  <si>
    <t>Indirect toezicht</t>
  </si>
  <si>
    <t>BEREKENING WERKBARE DAGEN</t>
  </si>
  <si>
    <t>Managementkosten</t>
  </si>
  <si>
    <t>Aantallen</t>
  </si>
  <si>
    <t>P.Z. kosten</t>
  </si>
  <si>
    <t>Aantal kalenderdagen</t>
  </si>
  <si>
    <t>Opleiding</t>
  </si>
  <si>
    <t>Weekenddagen</t>
  </si>
  <si>
    <t>Administratiekosten</t>
  </si>
  <si>
    <t>Werkdagen per jaar</t>
  </si>
  <si>
    <t>Huisvestingskosten</t>
  </si>
  <si>
    <t>Autokosten</t>
  </si>
  <si>
    <t>Nat. feestdagen, kort verzuim, bijz. CAO</t>
  </si>
  <si>
    <t>(Reserve regel)</t>
  </si>
  <si>
    <t>Vakantiedagen</t>
  </si>
  <si>
    <t>Ziektedagen</t>
  </si>
  <si>
    <t>Totaal indirecte kosten</t>
  </si>
  <si>
    <t>Vorstverlet</t>
  </si>
  <si>
    <t>Werkbare dagen per jaar</t>
  </si>
  <si>
    <t>Risico en winst</t>
  </si>
  <si>
    <t>Nat. feestdagen, kort verzuim, bijz CAO</t>
  </si>
  <si>
    <t>Totaal eindtarief normale werktijden [06.00-21.30 uur]</t>
  </si>
  <si>
    <t>Kosten ziektedagen</t>
  </si>
  <si>
    <t>Totaal eindtarief weekenden [incl. 30% toeslag]</t>
  </si>
  <si>
    <t>Opslag niet werkbare dagen in procenten</t>
  </si>
  <si>
    <t>Totaal eindtarief weekenden [incl. 50% toeslag]</t>
  </si>
  <si>
    <t>Totaal eindtarief feestdagen [incl. 150% toeslag]</t>
  </si>
  <si>
    <t>SV GRONDSLAG</t>
  </si>
  <si>
    <t>TOTAAL SV GRONDSLAG</t>
  </si>
  <si>
    <t>GEMIDDELD SV-GRONDSLAG</t>
  </si>
  <si>
    <t>Aof-kleine werkgever</t>
  </si>
  <si>
    <t>Lngr 2 : Vakvolwassen</t>
  </si>
  <si>
    <t>Aof-grotere werkgever</t>
  </si>
  <si>
    <t>Lngr 3 : Vakvolwassen</t>
  </si>
  <si>
    <t>Lngr 4 : Vakvolwassen</t>
  </si>
  <si>
    <t>Lngr 5 : Vakvolwassen</t>
  </si>
  <si>
    <t>Lngr 6 : Vakvolwassen</t>
  </si>
  <si>
    <t>Lngr 1 : 17 jaar en jonger</t>
  </si>
  <si>
    <t>Lngr 2 : 17 jaar en jonger</t>
  </si>
  <si>
    <t>Lngr 3 : 17 jaar en jonger</t>
  </si>
  <si>
    <t>Lngr 4 : 17 jaar en jonger</t>
  </si>
  <si>
    <t>Lngr 5 : 17 jaar en jonger</t>
  </si>
  <si>
    <t>Lngr 6 : 17 jaar en jonger</t>
  </si>
  <si>
    <t>Lngr 1 : 18 jaar</t>
  </si>
  <si>
    <t>Lngr 2 : 18 jaar</t>
  </si>
  <si>
    <t>Lngr 3 : 18 jaar</t>
  </si>
  <si>
    <t>Lngr 4 : 18 jaar</t>
  </si>
  <si>
    <t>Lngr 5 : 18 jaar</t>
  </si>
  <si>
    <t>Lngr 6 : 18 jaar</t>
  </si>
  <si>
    <t>Lngr 1 : 19 jaar</t>
  </si>
  <si>
    <t>Lngr 2 : 19 jaar</t>
  </si>
  <si>
    <t>Lngr 3 : 19 jaar</t>
  </si>
  <si>
    <t>Lngr 4 : 19 jaar</t>
  </si>
  <si>
    <t>Lngr 5 : 19 jaar</t>
  </si>
  <si>
    <t>Lngr 6 : 19 jaar</t>
  </si>
  <si>
    <t>Machine investeringkosten</t>
  </si>
  <si>
    <t>Machine</t>
  </si>
  <si>
    <t>Omschrijving</t>
  </si>
  <si>
    <t>Kosten bij koop (excl. btw)</t>
  </si>
  <si>
    <t>Kostprijs</t>
  </si>
  <si>
    <t>Catalogusprijs</t>
  </si>
  <si>
    <t>Korting</t>
  </si>
  <si>
    <t>Netto aanschafprijs</t>
  </si>
  <si>
    <t xml:space="preserve">Afschrijvingstermijn in jaren </t>
  </si>
  <si>
    <t>Restwaarde</t>
  </si>
  <si>
    <t>Kosten bij koop per jaar</t>
  </si>
  <si>
    <t>Afschrijvingskosten per jaar</t>
  </si>
  <si>
    <t>Onderhoudskosten per jaar*</t>
  </si>
  <si>
    <t xml:space="preserve">Renteverlies per jaar </t>
  </si>
  <si>
    <t>%</t>
  </si>
  <si>
    <t xml:space="preserve">Verzekeringskosten per jaar </t>
  </si>
  <si>
    <t>Totaal kosten bij koop per jaar per machine</t>
  </si>
  <si>
    <t>Inzet van het aantal machines [stuks]</t>
  </si>
  <si>
    <t>Totale kosten investering machines</t>
  </si>
  <si>
    <t>Automatische koppeling naar specifieke contractblad(en)</t>
  </si>
  <si>
    <t>Locatie</t>
  </si>
  <si>
    <t>Perentage inzet per locatieo.b.v. verhouding inzewt productie-uren</t>
  </si>
  <si>
    <t>Bedrag reservering per jaar/locatie</t>
  </si>
  <si>
    <t>Afroepprijzen</t>
  </si>
  <si>
    <t>Opmerking</t>
  </si>
  <si>
    <t>Uitvoering normale werktijden: maandag t/m vrijdag [06.00 en 20.30 uur]</t>
  </si>
  <si>
    <t>Additionele schoonmaakwerkzaamheden gedurende de dag</t>
  </si>
  <si>
    <t>Frequentie</t>
  </si>
  <si>
    <t>Aantal stuks</t>
  </si>
  <si>
    <t>Tijdsduur in min.</t>
  </si>
  <si>
    <t>Tarief</t>
  </si>
  <si>
    <t>Kosten per jaar</t>
  </si>
  <si>
    <t>Het bijvullen van de koffiemachine, het ledigen van de afvalbak in het kastje onder de machine, het plaatsen van een schone afvalzak, het verwijderen van koffie spetters en koffiebonen recedu aan de binnenzijde van het kastje.</t>
  </si>
  <si>
    <t>Het reinigen van de koffiemachine buitenzijde</t>
  </si>
  <si>
    <t>Het reinigen van de koffiemachine binnenzijde met tablet</t>
  </si>
  <si>
    <t>Het reinigen van de koffiemachine binnenzijde met vloeistof</t>
  </si>
  <si>
    <t>Bedrag is gekoppeld aan tabblad 1.0-Contractblad</t>
  </si>
  <si>
    <t>Eenmaal per week op vrijdag reinigen van de binnen-/ en buitenzijde koelkasten (excl. vriesruimten) en verwijderen van artikelen over houdbaarheidsdatum.</t>
  </si>
  <si>
    <t xml:space="preserve">Tweemaal per jaar ontdooien en  reinigen van de binnenzijde vriesruimten koelkast </t>
  </si>
  <si>
    <t>Eenmaal per week op vrijdag reinigen van de binnen-/ en buitenzijde vaatwassers inclusief deurrubbers</t>
  </si>
  <si>
    <t>Het eenmaal per maand binnenzijde filter reinigen en controleren sproei-armen</t>
  </si>
  <si>
    <t>Het dagelijks na luchtijd de afvalbakken ledigen en vervangen van de afvalzakken. Afvalzakken deponeren in afvalcontainer.</t>
  </si>
  <si>
    <t>Alle prijzen inclusief materialen en middelen, toezicht, voorrijkosten en overige bijkomende kosten.</t>
  </si>
  <si>
    <t>Alle prijzen exclusief btw</t>
  </si>
  <si>
    <t xml:space="preserve">Prijsvorming Extra Vloerenonderhoud  (inclusief middelen/materialen en uit-/inruimen van het meubilair) </t>
  </si>
  <si>
    <t>Prijs in € per m2 in staffelvorm</t>
  </si>
  <si>
    <t>1 - 250</t>
  </si>
  <si>
    <t>251 - 500</t>
  </si>
  <si>
    <t>501 - 1.000</t>
  </si>
  <si>
    <t>&lt; 1.000</t>
  </si>
  <si>
    <t>Linoleum/Marmoleum</t>
  </si>
  <si>
    <t>Sprayen en opwrijven (full-sprayen)</t>
  </si>
  <si>
    <t>Spotsprayen en opwrijven</t>
  </si>
  <si>
    <t>Linoleum/PVC/steen/gietvloer</t>
  </si>
  <si>
    <t>Schrobben (handmatig)</t>
  </si>
  <si>
    <t>Schrobzuigen (machinaal)</t>
  </si>
  <si>
    <t>Tegels , DHT met voegen</t>
  </si>
  <si>
    <t>Tapijt</t>
  </si>
  <si>
    <t>Sproei-extraheren</t>
  </si>
  <si>
    <t>Borstelzuigen</t>
  </si>
  <si>
    <t xml:space="preserve">Bonnetmethode </t>
  </si>
  <si>
    <t xml:space="preserve">Droge poederreiniging </t>
  </si>
  <si>
    <t>Prijsvorming  extra werkzaamheden (inclusief middelen/materialen)</t>
  </si>
  <si>
    <t>Prijs in € per stuk in staffelvorm</t>
  </si>
  <si>
    <t>Computer- en randapparatuur</t>
  </si>
  <si>
    <t>1 t/m 25</t>
  </si>
  <si>
    <t>26 t/m 50</t>
  </si>
  <si>
    <t>51 t/m 100</t>
  </si>
  <si>
    <t>&gt; 100</t>
  </si>
  <si>
    <t>Monitor</t>
  </si>
  <si>
    <t>Stof en vlekvrij maken, vochtig reinigen</t>
  </si>
  <si>
    <t>Toestenbord + muis (in- en uitwendig)</t>
  </si>
  <si>
    <t>Reiging meubilair</t>
  </si>
  <si>
    <t>Gestoffeerde stoelen</t>
  </si>
  <si>
    <t>Koolzuurreiniging</t>
  </si>
  <si>
    <t>Prijs in €</t>
  </si>
  <si>
    <t>Zonwering</t>
  </si>
  <si>
    <t>Handeling</t>
  </si>
  <si>
    <t>per meter</t>
  </si>
  <si>
    <t>per m2</t>
  </si>
  <si>
    <t>Vertikale lamellen (textiel)</t>
  </si>
  <si>
    <t>Stofzuigen</t>
  </si>
  <si>
    <t>Vertikale lamellen (kunststof/ aluminium)</t>
  </si>
  <si>
    <t>Afsponzen</t>
  </si>
  <si>
    <t>Gordijnen</t>
  </si>
  <si>
    <t>Reinigen, inclusief afhalen en ophangen</t>
  </si>
  <si>
    <t>Vitrage</t>
  </si>
  <si>
    <t>Regie- uurtarieven (volgens matrix CAO)</t>
  </si>
  <si>
    <t>Indien buiten genoemde dagen en uren regiewerkzaamheden verricht dienen te worden is aannemer gerechtigd de toeslagpercentages, zoals vastgelegd in artikel 18 van de CAO voor Schoonmaak- en Glazenwassersbedrijf, te berekenen.  De toeslag dient steeds over het basis CAO-uurloon, zoals vermeld in invuldocument 5-Opbouw uurtarieven te worden berekend.</t>
  </si>
  <si>
    <t>Tariefgroep</t>
  </si>
  <si>
    <t>Werktijden</t>
  </si>
  <si>
    <t>Medewerk(st)er algemeen schoonmaak onderhoud</t>
  </si>
  <si>
    <t xml:space="preserve">Ma/ vrij tussen 06.00 en 21.30 uur   </t>
  </si>
  <si>
    <t>Specialist - algemeen</t>
  </si>
  <si>
    <t>Ma/ vrij tussen 06.00 en 21.30 uur</t>
  </si>
  <si>
    <t xml:space="preserve">Za/zo tussen 06.00 en 21.30 uur   </t>
  </si>
  <si>
    <t xml:space="preserve">Feestdag tussen 06.00 en 21.30 uur   </t>
  </si>
  <si>
    <t>M2 BUITENGLAS</t>
  </si>
  <si>
    <t>M2 BINNENGLAS</t>
  </si>
  <si>
    <r>
      <t xml:space="preserve">M2 SEPARATIE-GLAS </t>
    </r>
    <r>
      <rPr>
        <i/>
        <sz val="10"/>
        <color theme="0"/>
        <rFont val="Avenir Book"/>
        <family val="2"/>
      </rPr>
      <t>(tweezijdig gemeten)</t>
    </r>
  </si>
  <si>
    <t>FREQ BUITEN</t>
  </si>
  <si>
    <t>FREQ BINNEN</t>
  </si>
  <si>
    <t>FREQ SEPGLAS</t>
  </si>
  <si>
    <t>M2 € BUITEN</t>
  </si>
  <si>
    <t>M2 € BINNEN</t>
  </si>
  <si>
    <t>M2 € SEPGLAS</t>
  </si>
  <si>
    <t>TOTAAL PER JAAR €</t>
  </si>
  <si>
    <t>INZET HOOGWERKER</t>
  </si>
  <si>
    <t>FREQUENTIE</t>
  </si>
  <si>
    <r>
      <t xml:space="preserve">TYPE </t>
    </r>
    <r>
      <rPr>
        <i/>
        <sz val="10"/>
        <color theme="0"/>
        <rFont val="Avenir Book"/>
        <family val="2"/>
      </rPr>
      <t>(omschrijving)</t>
    </r>
  </si>
  <si>
    <t>3e</t>
  </si>
  <si>
    <t>Nvt</t>
  </si>
  <si>
    <t>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</si>
</sst>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3" formatCode="_(* #,##0.00_);_(* \(#,##0.00\);_(* &quot;-&quot;??_);_(@_)"/>
    <numFmt numFmtId="164" formatCode="_ &quot;€&quot;\ * #,##0.00_ ;_ &quot;€&quot;\ * \-#,##0.00_ ;_ &quot;€&quot;\ * &quot;-&quot;??_ ;_ @_ "/>
    <numFmt numFmtId="165" formatCode="_-&quot;€&quot;\ * #,##0.00_-;_-&quot;€&quot;\ * #,##0.00\-;_-&quot;€&quot;\ * &quot;-&quot;??_-;_-@_-"/>
    <numFmt numFmtId="166" formatCode="_-* #,##0.00_-;_-* #,##0.00\-;_-* &quot;-&quot;??_-;_-@_-"/>
    <numFmt numFmtId="167" formatCode="_(&quot;€&quot;* #,##0.00_);_(&quot;€&quot;* \(#,##0.00\);_(&quot;€&quot;* &quot;-&quot;??_);_(@_)"/>
    <numFmt numFmtId="168" formatCode="_(&quot;ƒ&quot;* #,##0.00_);_(&quot;ƒ&quot;* \(#,##0.00\);_(&quot;ƒ&quot;* &quot;-&quot;??_);_(@_)"/>
    <numFmt numFmtId="169" formatCode="_-* #,##0.00_-;\-* #,##0.00_-;_-* &quot;-&quot;??_-;_-@_-"/>
    <numFmt numFmtId="170" formatCode="&quot;Fl.&quot;#,##0;\-&quot;Fl.&quot;#,##0"/>
    <numFmt numFmtId="171" formatCode="&quot;Fl.&quot;#,##0;[Red]\-&quot;Fl.&quot;#,##0"/>
    <numFmt numFmtId="172" formatCode="_-&quot;ƒ&quot;\ * #,##0.00_-;_-&quot;ƒ&quot;\ * #,##0.00\-;_-&quot;ƒ&quot;\ * &quot;-&quot;??_-;_-@_-"/>
    <numFmt numFmtId="173" formatCode="0_)"/>
    <numFmt numFmtId="174" formatCode="General_)"/>
    <numFmt numFmtId="175" formatCode="0.00_)"/>
    <numFmt numFmtId="176" formatCode="0.000"/>
    <numFmt numFmtId="177" formatCode="_-* #,##0_-;_-* #,##0\-;_-* &quot;-&quot;??_-;_-@_-"/>
    <numFmt numFmtId="178" formatCode="00,000"/>
    <numFmt numFmtId="179" formatCode="0.0%"/>
    <numFmt numFmtId="180" formatCode="0.0"/>
    <numFmt numFmtId="181" formatCode="#,##0.0"/>
    <numFmt numFmtId="182" formatCode="_-* #,##0.000_-;_-* #,##0.000\-;_-* &quot;-&quot;??_-;_-@_-"/>
    <numFmt numFmtId="183" formatCode="0.000%"/>
    <numFmt numFmtId="184" formatCode="_-[$€-2]\ * #,##0.00_ ;_-[$€-2]\ * \-#,##0.00\ ;_-[$€-2]\ * &quot;-&quot;??_ ;_-@_ "/>
    <numFmt numFmtId="185" formatCode="_([$€-2]\ * #,##0.00_);_([$€-2]\ * \(#,##0.00\);_([$€-2]\ * &quot;-&quot;??_);_(@_)"/>
    <numFmt numFmtId="186" formatCode="#,000"/>
    <numFmt numFmtId="187" formatCode="_-[$€-2]\ * #,##0.00_-;_-[$€-2]\ * #,##0.00\-;_-[$€-2]\ * &quot;-&quot;??_-;_-@_-"/>
    <numFmt numFmtId="188" formatCode="mm/dd/yyyy"/>
    <numFmt numFmtId="189" formatCode="[$-413]d\-mmm\-yy;@"/>
    <numFmt numFmtId="190" formatCode="_-[$€-413]\ * #,##0.00_-;_-[$€-413]\ * #,##0.00\-;_-[$€-413]\ * &quot;-&quot;??_-;_-@_-"/>
    <numFmt numFmtId="191" formatCode="[$-413]d/mmm/yy;@"/>
    <numFmt numFmtId="192" formatCode="dd/mmmm/yyyy"/>
    <numFmt numFmtId="193" formatCode="[$-413]dd/mmm/yy;@"/>
    <numFmt numFmtId="194" formatCode="&quot;fl&quot;\ #,##0_-;[Red]&quot;fl&quot;\ #,##0\-"/>
    <numFmt numFmtId="195" formatCode="_-[$€]\ * #,##0.00_-;_-[$€]\ * #,##0.00\-;_-[$€]\ * &quot;-&quot;??_-;_-@_-"/>
    <numFmt numFmtId="196" formatCode="_([$€]\ * #,##0.00_);_([$€]\ * \(#,##0.00\);_([$€]\ * &quot;-&quot;??_);_(@_)"/>
    <numFmt numFmtId="197" formatCode="_-&quot;fl&quot;\ * #,##0.00_-;_-&quot;fl&quot;\ * #,##0.00\-;_-&quot;fl&quot;\ * &quot;-&quot;??_-;_-@_-"/>
    <numFmt numFmtId="198" formatCode="_ [$€-413]\ * #,##0.00_ ;_ [$€-413]\ * \-#,##0.00_ ;_ [$€-413]\ * &quot;-&quot;??_ ;_ @_ "/>
    <numFmt numFmtId="199" formatCode="00"/>
    <numFmt numFmtId="200" formatCode="yyyy/mm/dd;@"/>
    <numFmt numFmtId="201" formatCode="0\ &quot;x jaar&quot;"/>
  </numFmts>
  <fonts count="150">
    <font>
      <sz val="10"/>
      <name val="MS Sans Serif"/>
    </font>
    <font>
      <sz val="12"/>
      <color theme="1"/>
      <name val="Calibri"/>
      <family val="2"/>
      <scheme val="minor"/>
    </font>
    <font>
      <sz val="10"/>
      <color theme="1"/>
      <name val="Verdana"/>
      <family val="2"/>
    </font>
    <font>
      <sz val="10"/>
      <name val="MS Sans Serif"/>
    </font>
    <font>
      <sz val="10"/>
      <name val="Helvetica"/>
      <family val="2"/>
    </font>
    <font>
      <sz val="10"/>
      <name val="Times"/>
      <family val="1"/>
    </font>
    <font>
      <sz val="10"/>
      <name val="Arial"/>
      <family val="2"/>
    </font>
    <font>
      <sz val="10"/>
      <name val="Courier"/>
      <family val="3"/>
    </font>
    <font>
      <sz val="8"/>
      <name val="Helvetica"/>
      <family val="2"/>
    </font>
    <font>
      <sz val="8"/>
      <name val="MS Sans Serif"/>
      <family val="2"/>
    </font>
    <font>
      <sz val="9"/>
      <name val="Geneva"/>
      <family val="2"/>
    </font>
    <font>
      <sz val="12"/>
      <name val="Times"/>
      <family val="1"/>
    </font>
    <font>
      <sz val="8"/>
      <name val="Geneva"/>
      <family val="2"/>
    </font>
    <font>
      <sz val="10"/>
      <name val="Verdana"/>
      <family val="2"/>
    </font>
    <font>
      <b/>
      <sz val="10"/>
      <color indexed="63"/>
      <name val="Verdana"/>
      <family val="2"/>
    </font>
    <font>
      <sz val="10"/>
      <color indexed="63"/>
      <name val="Verdana"/>
      <family val="2"/>
    </font>
    <font>
      <sz val="12"/>
      <color indexed="63"/>
      <name val="Verdana"/>
      <family val="2"/>
    </font>
    <font>
      <sz val="8"/>
      <name val="Verdana"/>
      <family val="2"/>
    </font>
    <font>
      <b/>
      <sz val="11"/>
      <color indexed="52"/>
      <name val="Calibri"/>
      <family val="2"/>
    </font>
    <font>
      <sz val="11"/>
      <color indexed="52"/>
      <name val="Calibri"/>
      <family val="2"/>
    </font>
    <font>
      <sz val="11"/>
      <color indexed="17"/>
      <name val="Calibri"/>
      <family val="2"/>
    </font>
    <font>
      <sz val="10"/>
      <color indexed="12"/>
      <name val="Times New Roman"/>
      <family val="1"/>
    </font>
    <font>
      <b/>
      <sz val="8"/>
      <name val="Arial"/>
      <family val="2"/>
    </font>
    <font>
      <b/>
      <sz val="10"/>
      <name val="Arial"/>
      <family val="2"/>
    </font>
    <font>
      <sz val="11"/>
      <color indexed="60"/>
      <name val="Calibri"/>
      <family val="2"/>
    </font>
    <font>
      <b/>
      <sz val="18"/>
      <color indexed="56"/>
      <name val="Cambria"/>
      <family val="2"/>
    </font>
    <font>
      <b/>
      <sz val="11"/>
      <color indexed="8"/>
      <name val="Calibri"/>
      <family val="2"/>
    </font>
    <font>
      <sz val="11"/>
      <color indexed="10"/>
      <name val="Calibri"/>
      <family val="2"/>
    </font>
    <font>
      <sz val="10"/>
      <color theme="0"/>
      <name val="Verdana"/>
      <family val="2"/>
    </font>
    <font>
      <u/>
      <sz val="10"/>
      <color theme="10"/>
      <name val="MS Sans Serif"/>
    </font>
    <font>
      <u/>
      <sz val="10"/>
      <color theme="11"/>
      <name val="MS Sans Serif"/>
    </font>
    <font>
      <b/>
      <sz val="11"/>
      <color theme="1" tint="4.9989318521683403E-2"/>
      <name val="Verdana"/>
      <family val="2"/>
    </font>
    <font>
      <b/>
      <sz val="11"/>
      <name val="Verdana"/>
      <family val="2"/>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9"/>
      <name val="Calibri"/>
      <family val="2"/>
    </font>
    <font>
      <sz val="10"/>
      <name val="Geneva"/>
      <family val="2"/>
    </font>
    <font>
      <i/>
      <sz val="11"/>
      <color indexed="23"/>
      <name val="Calibri"/>
      <family val="2"/>
    </font>
    <font>
      <u/>
      <sz val="10"/>
      <color indexed="36"/>
      <name val="Arial"/>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11"/>
      <color indexed="63"/>
      <name val="Calibri"/>
      <family val="2"/>
    </font>
    <font>
      <sz val="12"/>
      <color theme="1"/>
      <name val="Calibri"/>
      <family val="2"/>
      <scheme val="minor"/>
    </font>
    <font>
      <sz val="12"/>
      <color indexed="8"/>
      <name val="Times New Roman"/>
      <family val="2"/>
    </font>
    <font>
      <b/>
      <sz val="18"/>
      <color indexed="62"/>
      <name val="Cambria"/>
      <family val="2"/>
    </font>
    <font>
      <sz val="8"/>
      <color theme="1"/>
      <name val="Calibri"/>
      <family val="2"/>
      <scheme val="minor"/>
    </font>
    <font>
      <sz val="10"/>
      <name val="MS Sans Serif"/>
      <family val="2"/>
    </font>
    <font>
      <sz val="10"/>
      <color theme="2" tint="0.79998168889431442"/>
      <name val="Verdana"/>
      <family val="2"/>
    </font>
    <font>
      <sz val="10"/>
      <color rgb="FF000000"/>
      <name val="Verdana"/>
      <family val="34"/>
    </font>
    <font>
      <sz val="10"/>
      <color indexed="63"/>
      <name val="Avenir Book"/>
      <family val="2"/>
    </font>
    <font>
      <b/>
      <sz val="10"/>
      <color indexed="63"/>
      <name val="Avenir Book"/>
      <family val="2"/>
    </font>
    <font>
      <sz val="10"/>
      <color indexed="10"/>
      <name val="Avenir Book"/>
      <family val="2"/>
    </font>
    <font>
      <sz val="12"/>
      <color indexed="63"/>
      <name val="Avenir Book"/>
      <family val="2"/>
    </font>
    <font>
      <b/>
      <sz val="12"/>
      <name val="Avenir Book"/>
      <family val="2"/>
    </font>
    <font>
      <b/>
      <sz val="12"/>
      <color indexed="63"/>
      <name val="Avenir Book"/>
      <family val="2"/>
    </font>
    <font>
      <sz val="12"/>
      <color indexed="10"/>
      <name val="Avenir Book"/>
      <family val="2"/>
    </font>
    <font>
      <sz val="12"/>
      <name val="Avenir Book"/>
      <family val="2"/>
    </font>
    <font>
      <b/>
      <sz val="22"/>
      <color rgb="FFFF0000"/>
      <name val="Avenir Book"/>
      <family val="2"/>
    </font>
    <font>
      <sz val="12"/>
      <color theme="1"/>
      <name val="Avenir Book"/>
      <family val="2"/>
    </font>
    <font>
      <sz val="10"/>
      <name val="Avenir Book"/>
      <family val="2"/>
    </font>
    <font>
      <b/>
      <sz val="12"/>
      <color theme="1" tint="4.9989318521683403E-2"/>
      <name val="Avenir Book"/>
      <family val="2"/>
    </font>
    <font>
      <sz val="12"/>
      <color theme="1" tint="4.9989318521683403E-2"/>
      <name val="Avenir Book"/>
      <family val="2"/>
    </font>
    <font>
      <b/>
      <sz val="10"/>
      <color indexed="10"/>
      <name val="Avenir Book"/>
      <family val="2"/>
    </font>
    <font>
      <b/>
      <sz val="10"/>
      <color theme="1" tint="4.9989318521683403E-2"/>
      <name val="Avenir Book"/>
      <family val="2"/>
    </font>
    <font>
      <sz val="10"/>
      <color theme="0"/>
      <name val="Avenir Book"/>
      <family val="2"/>
    </font>
    <font>
      <b/>
      <i/>
      <sz val="10"/>
      <color rgb="FFFF0000"/>
      <name val="Avenir Book"/>
      <family val="2"/>
    </font>
    <font>
      <sz val="10"/>
      <color theme="1" tint="4.9989318521683403E-2"/>
      <name val="Avenir Book"/>
      <family val="2"/>
    </font>
    <font>
      <i/>
      <sz val="10"/>
      <color rgb="FF424242"/>
      <name val="Avenir Book"/>
      <family val="2"/>
    </font>
    <font>
      <b/>
      <sz val="12"/>
      <name val="Avenir Heavy"/>
      <family val="2"/>
    </font>
    <font>
      <b/>
      <sz val="12"/>
      <color theme="1"/>
      <name val="Avenir Heavy"/>
      <family val="2"/>
    </font>
    <font>
      <b/>
      <sz val="10"/>
      <color indexed="63"/>
      <name val="Avenir Heavy"/>
      <family val="2"/>
    </font>
    <font>
      <b/>
      <sz val="12"/>
      <color theme="1" tint="4.9989318521683403E-2"/>
      <name val="Avenir Heavy"/>
      <family val="2"/>
    </font>
    <font>
      <b/>
      <sz val="10"/>
      <color theme="1" tint="4.9989318521683403E-2"/>
      <name val="Avenir Heavy"/>
      <family val="2"/>
    </font>
    <font>
      <b/>
      <sz val="10"/>
      <color theme="0"/>
      <name val="Avenir Heavy"/>
      <family val="2"/>
    </font>
    <font>
      <b/>
      <sz val="10"/>
      <name val="Avenir Book"/>
      <family val="2"/>
    </font>
    <font>
      <b/>
      <sz val="10"/>
      <color theme="0"/>
      <name val="Avenir Book"/>
      <family val="2"/>
    </font>
    <font>
      <sz val="10"/>
      <color indexed="63"/>
      <name val="Avenir Heavy"/>
      <family val="2"/>
    </font>
    <font>
      <b/>
      <sz val="10"/>
      <name val="Avenir Heavy"/>
      <family val="2"/>
    </font>
    <font>
      <i/>
      <sz val="10"/>
      <color indexed="63"/>
      <name val="Avenir Book"/>
      <family val="2"/>
    </font>
    <font>
      <b/>
      <sz val="12"/>
      <color indexed="10"/>
      <name val="Avenir Book"/>
      <family val="2"/>
    </font>
    <font>
      <b/>
      <sz val="10"/>
      <color theme="2" tint="0.79998168889431442"/>
      <name val="Avenir Book"/>
      <family val="2"/>
    </font>
    <font>
      <sz val="10"/>
      <color rgb="FFFF0000"/>
      <name val="Avenir Book"/>
      <family val="2"/>
    </font>
    <font>
      <sz val="10"/>
      <color theme="1"/>
      <name val="Avenir Book"/>
      <family val="2"/>
    </font>
    <font>
      <sz val="10"/>
      <color theme="2" tint="0.79998168889431442"/>
      <name val="Avenir Book"/>
      <family val="2"/>
    </font>
    <font>
      <b/>
      <sz val="10"/>
      <color theme="1"/>
      <name val="Avenir Book"/>
      <family val="2"/>
    </font>
    <font>
      <sz val="10"/>
      <color theme="2"/>
      <name val="Avenir Book"/>
      <family val="2"/>
    </font>
    <font>
      <sz val="10"/>
      <color theme="0" tint="-0.499984740745262"/>
      <name val="Avenir Book"/>
      <family val="2"/>
    </font>
    <font>
      <b/>
      <sz val="9"/>
      <name val="Avenir Book"/>
      <family val="2"/>
    </font>
    <font>
      <sz val="11"/>
      <name val="Avenir Book"/>
      <family val="2"/>
    </font>
    <font>
      <b/>
      <i/>
      <sz val="10"/>
      <color theme="1" tint="4.9989318521683403E-2"/>
      <name val="Avenir Book"/>
      <family val="2"/>
    </font>
    <font>
      <b/>
      <sz val="12"/>
      <color indexed="63"/>
      <name val="Avenir Heavy"/>
      <family val="2"/>
    </font>
    <font>
      <sz val="12"/>
      <name val="Avenir Heavy"/>
      <family val="2"/>
    </font>
    <font>
      <sz val="10"/>
      <name val="Avenir Heavy"/>
      <family val="2"/>
    </font>
    <font>
      <sz val="10"/>
      <color theme="0"/>
      <name val="Avenir Heavy"/>
      <family val="2"/>
    </font>
    <font>
      <b/>
      <sz val="10"/>
      <color theme="2" tint="0.79998168889431442"/>
      <name val="Avenir Heavy"/>
      <family val="2"/>
    </font>
    <font>
      <sz val="10"/>
      <color indexed="9"/>
      <name val="Avenir Book"/>
      <family val="2"/>
    </font>
    <font>
      <sz val="12"/>
      <color theme="1"/>
      <name val="Avenir Heavy"/>
      <family val="2"/>
    </font>
    <font>
      <sz val="12"/>
      <color indexed="63"/>
      <name val="Avenir Heavy"/>
      <family val="2"/>
    </font>
    <font>
      <b/>
      <sz val="10"/>
      <color rgb="FFFF0000"/>
      <name val="Avenir Book"/>
      <family val="2"/>
    </font>
    <font>
      <i/>
      <sz val="12"/>
      <color indexed="63"/>
      <name val="Avenir Book"/>
      <family val="2"/>
    </font>
    <font>
      <i/>
      <sz val="10"/>
      <color theme="1"/>
      <name val="Avenir Book"/>
      <family val="2"/>
    </font>
    <font>
      <sz val="9"/>
      <name val="Avenir Book"/>
      <family val="2"/>
    </font>
    <font>
      <sz val="11"/>
      <color theme="1"/>
      <name val="Avenir Book"/>
      <family val="2"/>
    </font>
    <font>
      <b/>
      <sz val="14"/>
      <name val="Avenir Book"/>
      <family val="2"/>
    </font>
    <font>
      <sz val="10"/>
      <color theme="2" tint="-0.499984740745262"/>
      <name val="Avenir Book"/>
      <family val="2"/>
    </font>
    <font>
      <sz val="9"/>
      <color theme="2" tint="-0.499984740745262"/>
      <name val="Avenir Book"/>
      <family val="2"/>
    </font>
    <font>
      <sz val="6"/>
      <color theme="0"/>
      <name val="Avenir Book"/>
      <family val="2"/>
    </font>
    <font>
      <b/>
      <i/>
      <sz val="10"/>
      <name val="Avenir Book"/>
      <family val="2"/>
    </font>
    <font>
      <b/>
      <i/>
      <sz val="10"/>
      <color indexed="63"/>
      <name val="Avenir Book"/>
      <family val="2"/>
    </font>
    <font>
      <b/>
      <i/>
      <sz val="9"/>
      <name val="Avenir Book"/>
      <family val="2"/>
    </font>
    <font>
      <i/>
      <sz val="9"/>
      <name val="Avenir Book"/>
      <family val="2"/>
    </font>
    <font>
      <sz val="9"/>
      <color theme="0"/>
      <name val="Avenir Book"/>
      <family val="2"/>
    </font>
    <font>
      <b/>
      <sz val="14"/>
      <color rgb="FF455266"/>
      <name val="Avenir Book"/>
      <family val="2"/>
    </font>
    <font>
      <sz val="10"/>
      <color indexed="63"/>
      <name val="Avenir Heavy Oblique"/>
    </font>
    <font>
      <b/>
      <sz val="9"/>
      <color theme="0"/>
      <name val="Avenir Book"/>
      <family val="2"/>
    </font>
    <font>
      <b/>
      <sz val="10"/>
      <color theme="1"/>
      <name val="Avenir Heavy"/>
      <family val="2"/>
    </font>
    <font>
      <sz val="10"/>
      <color theme="1"/>
      <name val="Avenir Heavy"/>
      <family val="2"/>
    </font>
    <font>
      <b/>
      <i/>
      <sz val="10"/>
      <color theme="0"/>
      <name val="Avenir Book"/>
      <family val="2"/>
    </font>
    <font>
      <b/>
      <sz val="12"/>
      <color theme="0"/>
      <name val="Avenir Book"/>
      <family val="2"/>
    </font>
    <font>
      <sz val="9"/>
      <color indexed="63"/>
      <name val="Avenir Book"/>
      <family val="2"/>
    </font>
    <font>
      <b/>
      <sz val="12"/>
      <color theme="0"/>
      <name val="Avenir Heavy"/>
      <family val="2"/>
    </font>
    <font>
      <b/>
      <sz val="12"/>
      <color theme="1"/>
      <name val="Avenir Book"/>
      <family val="2"/>
    </font>
    <font>
      <sz val="12"/>
      <name val="Avenir Black"/>
      <family val="2"/>
    </font>
    <font>
      <sz val="11"/>
      <color indexed="63"/>
      <name val="Avenir Book"/>
      <family val="2"/>
    </font>
    <font>
      <sz val="11"/>
      <color theme="1" tint="4.9989318521683403E-2"/>
      <name val="Avenir Book"/>
      <family val="2"/>
    </font>
    <font>
      <b/>
      <sz val="11"/>
      <color theme="1" tint="4.9989318521683403E-2"/>
      <name val="Avenir Book"/>
      <family val="2"/>
    </font>
    <font>
      <b/>
      <sz val="11"/>
      <color indexed="63"/>
      <name val="Avenir Book"/>
      <family val="2"/>
    </font>
    <font>
      <i/>
      <sz val="11"/>
      <color rgb="FF424242"/>
      <name val="Avenir Book"/>
      <family val="2"/>
    </font>
    <font>
      <i/>
      <sz val="10"/>
      <color theme="0"/>
      <name val="Avenir Book"/>
      <family val="2"/>
    </font>
    <font>
      <b/>
      <sz val="10"/>
      <color rgb="FFFCFDF9"/>
      <name val="Avenir Book"/>
      <family val="2"/>
    </font>
    <font>
      <sz val="10"/>
      <color rgb="FFFCFDF9"/>
      <name val="Avenir Book"/>
      <family val="2"/>
    </font>
    <font>
      <b/>
      <sz val="16"/>
      <name val="Avenir Book"/>
      <family val="2"/>
    </font>
    <font>
      <sz val="12"/>
      <color rgb="FF000000"/>
      <name val="Avenir Book"/>
      <family val="2"/>
    </font>
    <font>
      <sz val="10"/>
      <name val="Avenir Black"/>
      <family val="2"/>
    </font>
    <font>
      <sz val="8"/>
      <name val="MS Sans Serif"/>
    </font>
    <font>
      <sz val="10"/>
      <color rgb="FF424242"/>
      <name val="Avenir Book"/>
      <family val="2"/>
    </font>
    <font>
      <sz val="9"/>
      <color indexed="63"/>
      <name val="Verdana"/>
      <family val="2"/>
    </font>
    <font>
      <i/>
      <sz val="11"/>
      <color theme="1"/>
      <name val="Avenir Book"/>
      <family val="2"/>
    </font>
    <font>
      <sz val="12"/>
      <color theme="0" tint="-0.34998626667073579"/>
      <name val="Avenir Book"/>
      <family val="2"/>
    </font>
    <font>
      <b/>
      <sz val="10"/>
      <color theme="0" tint="-0.34998626667073579"/>
      <name val="Avenir Book"/>
      <family val="2"/>
    </font>
    <font>
      <sz val="10"/>
      <color theme="0" tint="-0.34998626667073579"/>
      <name val="Avenir Book"/>
      <family val="2"/>
    </font>
    <font>
      <sz val="14"/>
      <name val="Avenir Book"/>
      <family val="2"/>
    </font>
  </fonts>
  <fills count="48">
    <fill>
      <patternFill patternType="none"/>
    </fill>
    <fill>
      <patternFill patternType="gray125"/>
    </fill>
    <fill>
      <patternFill patternType="solid">
        <fgColor indexed="42"/>
      </patternFill>
    </fill>
    <fill>
      <patternFill patternType="solid">
        <fgColor indexed="22"/>
      </patternFill>
    </fill>
    <fill>
      <patternFill patternType="solid">
        <fgColor indexed="43"/>
      </patternFill>
    </fill>
    <fill>
      <patternFill patternType="solid">
        <fgColor indexed="26"/>
        <bgColor indexed="64"/>
      </patternFill>
    </fill>
    <fill>
      <patternFill patternType="solid">
        <fgColor indexed="22"/>
        <bgColor indexed="64"/>
      </patternFill>
    </fill>
    <fill>
      <patternFill patternType="solid">
        <fgColor indexed="15"/>
        <bgColor indexed="64"/>
      </patternFill>
    </fill>
    <fill>
      <patternFill patternType="solid">
        <fgColor indexed="9"/>
        <bgColor indexed="64"/>
      </patternFill>
    </fill>
    <fill>
      <patternFill patternType="solid">
        <fgColor theme="6" tint="0.59999389629810485"/>
        <bgColor indexed="64"/>
      </patternFill>
    </fill>
    <fill>
      <patternFill patternType="solid">
        <fgColor them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26"/>
      </patternFill>
    </fill>
    <fill>
      <patternFill patternType="solid">
        <fgColor theme="2" tint="-0.49998474074526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455266"/>
        <bgColor indexed="64"/>
      </patternFill>
    </fill>
    <fill>
      <patternFill patternType="solid">
        <fgColor rgb="FFC4BA47"/>
        <bgColor indexed="64"/>
      </patternFill>
    </fill>
    <fill>
      <patternFill patternType="solid">
        <fgColor theme="5" tint="-0.249977111117893"/>
        <bgColor indexed="64"/>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rgb="FF424242"/>
        <bgColor indexed="64"/>
      </patternFill>
    </fill>
    <fill>
      <patternFill patternType="solid">
        <fgColor rgb="FFFCFDF9"/>
        <bgColor indexed="64"/>
      </patternFill>
    </fill>
    <fill>
      <patternFill patternType="solid">
        <fgColor theme="4" tint="0.39997558519241921"/>
        <bgColor rgb="FF000000"/>
      </patternFill>
    </fill>
    <fill>
      <patternFill patternType="solid">
        <fgColor theme="4" tint="0.39997558519241921"/>
        <bgColor indexed="64"/>
      </patternFill>
    </fill>
    <fill>
      <patternFill patternType="solid">
        <fgColor rgb="FFD7A800"/>
        <bgColor indexed="64"/>
      </patternFill>
    </fill>
    <fill>
      <patternFill patternType="solid">
        <fgColor theme="9" tint="0.39997558519241921"/>
        <bgColor indexed="64"/>
      </patternFill>
    </fill>
  </fills>
  <borders count="8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double">
        <color auto="1"/>
      </top>
      <bottom/>
      <diagonal/>
    </border>
    <border>
      <left style="double">
        <color auto="1"/>
      </left>
      <right/>
      <top style="double">
        <color auto="1"/>
      </top>
      <bottom/>
      <diagonal/>
    </border>
    <border>
      <left/>
      <right/>
      <top style="thin">
        <color indexed="62"/>
      </top>
      <bottom style="double">
        <color indexed="62"/>
      </bottom>
      <diagonal/>
    </border>
    <border>
      <left/>
      <right/>
      <top/>
      <bottom style="thin">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FF9933"/>
      </left>
      <right/>
      <top/>
      <bottom/>
      <diagonal/>
    </border>
    <border>
      <left style="thin">
        <color rgb="FFFF9933"/>
      </left>
      <right style="thin">
        <color rgb="FFFF9933"/>
      </right>
      <top style="thin">
        <color rgb="FFFF9933"/>
      </top>
      <bottom style="thin">
        <color rgb="FFFF9933"/>
      </bottom>
      <diagonal/>
    </border>
    <border>
      <left style="thin">
        <color rgb="FFFF9933"/>
      </left>
      <right/>
      <top style="thin">
        <color rgb="FFFF9933"/>
      </top>
      <bottom style="thin">
        <color rgb="FFFF993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FF993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double">
        <color theme="0" tint="-0.249977111117893"/>
      </left>
      <right/>
      <top style="double">
        <color theme="0" tint="-0.249977111117893"/>
      </top>
      <bottom/>
      <diagonal/>
    </border>
    <border>
      <left/>
      <right/>
      <top style="double">
        <color theme="0" tint="-0.249977111117893"/>
      </top>
      <bottom/>
      <diagonal/>
    </border>
    <border>
      <left/>
      <right style="double">
        <color theme="0" tint="-0.249977111117893"/>
      </right>
      <top style="double">
        <color theme="0" tint="-0.249977111117893"/>
      </top>
      <bottom/>
      <diagonal/>
    </border>
    <border>
      <left style="double">
        <color theme="0" tint="-0.249977111117893"/>
      </left>
      <right/>
      <top/>
      <bottom/>
      <diagonal/>
    </border>
    <border>
      <left/>
      <right style="double">
        <color theme="0" tint="-0.249977111117893"/>
      </right>
      <top/>
      <bottom/>
      <diagonal/>
    </border>
    <border>
      <left style="double">
        <color theme="0" tint="-0.249977111117893"/>
      </left>
      <right/>
      <top/>
      <bottom style="double">
        <color theme="0" tint="-0.249977111117893"/>
      </bottom>
      <diagonal/>
    </border>
    <border>
      <left/>
      <right/>
      <top/>
      <bottom style="double">
        <color theme="0" tint="-0.249977111117893"/>
      </bottom>
      <diagonal/>
    </border>
    <border>
      <left/>
      <right style="double">
        <color theme="0" tint="-0.249977111117893"/>
      </right>
      <top/>
      <bottom style="double">
        <color theme="0" tint="-0.249977111117893"/>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ck">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FF9933"/>
      </left>
      <right style="thin">
        <color rgb="FFFF9933"/>
      </right>
      <top/>
      <bottom style="thin">
        <color rgb="FFFF9933"/>
      </bottom>
      <diagonal/>
    </border>
    <border>
      <left style="medium">
        <color indexed="64"/>
      </left>
      <right/>
      <top style="medium">
        <color indexed="64"/>
      </top>
      <bottom style="medium">
        <color indexed="64"/>
      </bottom>
      <diagonal/>
    </border>
    <border>
      <left/>
      <right/>
      <top style="thin">
        <color indexed="64"/>
      </top>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right style="medium">
        <color indexed="64"/>
      </right>
      <top style="medium">
        <color indexed="64"/>
      </top>
      <bottom style="medium">
        <color indexed="64"/>
      </bottom>
      <diagonal/>
    </border>
    <border>
      <left/>
      <right/>
      <top/>
      <bottom style="thin">
        <color theme="0" tint="-0.249977111117893"/>
      </bottom>
      <diagonal/>
    </border>
    <border>
      <left style="thin">
        <color indexed="23"/>
      </left>
      <right style="thin">
        <color indexed="23"/>
      </right>
      <top/>
      <bottom style="thin">
        <color indexed="23"/>
      </bottom>
      <diagonal/>
    </border>
    <border>
      <left style="thin">
        <color theme="0" tint="-0.249977111117893"/>
      </left>
      <right style="thin">
        <color theme="0" tint="-0.249977111117893"/>
      </right>
      <top/>
      <bottom style="thin">
        <color theme="0" tint="-0.249977111117893"/>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medium">
        <color rgb="FF455266"/>
      </top>
      <bottom/>
      <diagonal/>
    </border>
    <border>
      <left style="thin">
        <color theme="0"/>
      </left>
      <right style="thin">
        <color theme="0"/>
      </right>
      <top style="thin">
        <color theme="0"/>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455266"/>
      </left>
      <right style="thin">
        <color rgb="FF455266"/>
      </right>
      <top style="thin">
        <color rgb="FF455266"/>
      </top>
      <bottom style="thin">
        <color rgb="FF455266"/>
      </bottom>
      <diagonal/>
    </border>
    <border>
      <left/>
      <right/>
      <top style="thin">
        <color theme="0"/>
      </top>
      <bottom/>
      <diagonal/>
    </border>
    <border>
      <left style="thin">
        <color theme="0" tint="-0.34998626667073579"/>
      </left>
      <right style="thin">
        <color theme="0" tint="-0.34998626667073579"/>
      </right>
      <top style="thin">
        <color theme="0" tint="-0.34998626667073579"/>
      </top>
      <bottom/>
      <diagonal/>
    </border>
    <border diagonalUp="1" diagonalDown="1">
      <left style="thin">
        <color theme="0" tint="-0.34998626667073579"/>
      </left>
      <right style="thin">
        <color theme="0" tint="-0.34998626667073579"/>
      </right>
      <top style="thin">
        <color theme="0" tint="-0.34998626667073579"/>
      </top>
      <bottom style="thin">
        <color theme="0" tint="-0.34998626667073579"/>
      </bottom>
      <diagonal style="thin">
        <color rgb="FF455266"/>
      </diagonal>
    </border>
    <border>
      <left/>
      <right/>
      <top style="thin">
        <color theme="0" tint="-0.24994659260841701"/>
      </top>
      <bottom style="thin">
        <color theme="0" tint="-0.24994659260841701"/>
      </bottom>
      <diagonal/>
    </border>
    <border>
      <left style="thin">
        <color rgb="FFD9D9D9"/>
      </left>
      <right style="thin">
        <color rgb="FFD9D9D9"/>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thin">
        <color theme="0"/>
      </left>
      <right style="thin">
        <color theme="0"/>
      </right>
      <top style="thin">
        <color theme="0"/>
      </top>
      <bottom/>
      <diagonal/>
    </border>
    <border>
      <left style="thin">
        <color rgb="FFD9D9D9"/>
      </left>
      <right style="thin">
        <color rgb="FFD9D9D9"/>
      </right>
      <top style="thin">
        <color indexed="64"/>
      </top>
      <bottom style="thin">
        <color rgb="FFD9D9D9"/>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BFBFBF"/>
      </right>
      <top/>
      <bottom style="thin">
        <color rgb="FFBFBFBF"/>
      </bottom>
      <diagonal/>
    </border>
    <border>
      <left style="thin">
        <color indexed="23"/>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diagonalUp="1" diagonalDown="1">
      <left style="thin">
        <color indexed="23"/>
      </left>
      <right style="thin">
        <color indexed="23"/>
      </right>
      <top style="thin">
        <color indexed="23"/>
      </top>
      <bottom style="thin">
        <color indexed="23"/>
      </bottom>
      <diagonal style="thin">
        <color indexed="23"/>
      </diagonal>
    </border>
    <border diagonalUp="1" diagonalDown="1">
      <left style="thin">
        <color indexed="23"/>
      </left>
      <right/>
      <top style="thin">
        <color theme="0" tint="-0.14996795556505021"/>
      </top>
      <bottom style="thin">
        <color theme="0" tint="-0.14996795556505021"/>
      </bottom>
      <diagonal style="thin">
        <color indexed="23"/>
      </diagonal>
    </border>
    <border diagonalUp="1" diagonalDown="1">
      <left/>
      <right style="thin">
        <color theme="0" tint="-0.14996795556505021"/>
      </right>
      <top style="thin">
        <color theme="0" tint="-0.14996795556505021"/>
      </top>
      <bottom style="thin">
        <color theme="0" tint="-0.14996795556505021"/>
      </bottom>
      <diagonal style="thin">
        <color indexed="23"/>
      </diagonal>
    </border>
    <border>
      <left/>
      <right/>
      <top style="medium">
        <color indexed="64"/>
      </top>
      <bottom style="medium">
        <color indexed="64"/>
      </bottom>
      <diagonal/>
    </border>
    <border diagonalUp="1" diagonalDown="1">
      <left style="thin">
        <color theme="0" tint="-0.24994659260841701"/>
      </left>
      <right/>
      <top style="thin">
        <color theme="0" tint="-0.24994659260841701"/>
      </top>
      <bottom style="thin">
        <color theme="0" tint="-0.24994659260841701"/>
      </bottom>
      <diagonal style="thin">
        <color theme="0" tint="-0.24994659260841701"/>
      </diagonal>
    </border>
  </borders>
  <cellStyleXfs count="3332">
    <xf numFmtId="0" fontId="0" fillId="0" borderId="0"/>
    <xf numFmtId="0" fontId="18" fillId="3" borderId="1" applyNumberFormat="0" applyAlignment="0" applyProtection="0"/>
    <xf numFmtId="43" fontId="4" fillId="0" borderId="0" applyFont="0" applyFill="0" applyBorder="0" applyAlignment="0" applyProtection="0"/>
    <xf numFmtId="169" fontId="4"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7" fontId="11" fillId="0" borderId="0" applyFont="0" applyFill="0" applyBorder="0" applyAlignment="0" applyProtection="0"/>
    <xf numFmtId="171" fontId="13" fillId="0" borderId="0"/>
    <xf numFmtId="0" fontId="19" fillId="0" borderId="2" applyNumberFormat="0" applyFill="0" applyAlignment="0" applyProtection="0"/>
    <xf numFmtId="0" fontId="20" fillId="2" borderId="0" applyNumberFormat="0" applyBorder="0" applyAlignment="0" applyProtection="0"/>
    <xf numFmtId="166" fontId="3" fillId="0" borderId="0" applyFont="0" applyFill="0" applyBorder="0" applyAlignment="0" applyProtection="0"/>
    <xf numFmtId="0" fontId="21" fillId="6" borderId="0"/>
    <xf numFmtId="166" fontId="22" fillId="0" borderId="0">
      <alignment horizontal="center" vertical="center" textRotation="90" wrapText="1"/>
    </xf>
    <xf numFmtId="0" fontId="23" fillId="5" borderId="3"/>
    <xf numFmtId="170" fontId="13" fillId="0" borderId="0"/>
    <xf numFmtId="0" fontId="24" fillId="4" borderId="0" applyNumberFormat="0" applyBorder="0" applyAlignment="0" applyProtection="0"/>
    <xf numFmtId="0" fontId="4" fillId="0" borderId="0"/>
    <xf numFmtId="0" fontId="10" fillId="0" borderId="0"/>
    <xf numFmtId="0" fontId="5" fillId="0" borderId="0"/>
    <xf numFmtId="0" fontId="4" fillId="0" borderId="0"/>
    <xf numFmtId="0" fontId="3" fillId="0" borderId="0"/>
    <xf numFmtId="0" fontId="11" fillId="0" borderId="0"/>
    <xf numFmtId="0" fontId="6" fillId="0" borderId="0"/>
    <xf numFmtId="0" fontId="4" fillId="0" borderId="0"/>
    <xf numFmtId="0" fontId="4" fillId="0" borderId="0"/>
    <xf numFmtId="0" fontId="7" fillId="0" borderId="0"/>
    <xf numFmtId="9" fontId="3" fillId="0" borderId="0" applyFont="0" applyFill="0" applyBorder="0" applyAlignment="0" applyProtection="0"/>
    <xf numFmtId="0" fontId="23" fillId="7" borderId="4" applyNumberFormat="0" applyFont="0" applyBorder="0">
      <alignment horizontal="center"/>
    </xf>
    <xf numFmtId="0" fontId="4" fillId="0" borderId="0"/>
    <xf numFmtId="0" fontId="25" fillId="0" borderId="0" applyNumberFormat="0" applyFill="0" applyBorder="0" applyAlignment="0" applyProtection="0"/>
    <xf numFmtId="0" fontId="26" fillId="0" borderId="5" applyNumberFormat="0" applyFill="0" applyAlignment="0" applyProtection="0"/>
    <xf numFmtId="172" fontId="3" fillId="0" borderId="0" applyFont="0" applyFill="0" applyBorder="0" applyAlignment="0" applyProtection="0"/>
    <xf numFmtId="0" fontId="27"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3" fillId="0" borderId="0">
      <alignment vertical="center"/>
    </xf>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 fillId="0" borderId="0"/>
    <xf numFmtId="9" fontId="3" fillId="0" borderId="0" applyFont="0" applyFill="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0" fontId="34" fillId="17" borderId="0" applyNumberFormat="0" applyBorder="0" applyAlignment="0" applyProtection="0"/>
    <xf numFmtId="0" fontId="34" fillId="20" borderId="0" applyNumberFormat="0" applyBorder="0" applyAlignment="0" applyProtection="0"/>
    <xf numFmtId="0" fontId="35" fillId="21"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8" borderId="0" applyNumberFormat="0" applyBorder="0" applyAlignment="0" applyProtection="0"/>
    <xf numFmtId="0" fontId="36" fillId="13" borderId="0" applyNumberFormat="0" applyBorder="0" applyAlignment="0" applyProtection="0"/>
    <xf numFmtId="0" fontId="18" fillId="3" borderId="1" applyNumberFormat="0" applyAlignment="0" applyProtection="0"/>
    <xf numFmtId="0" fontId="18" fillId="29" borderId="1" applyNumberFormat="0" applyAlignment="0" applyProtection="0"/>
    <xf numFmtId="0" fontId="37" fillId="30" borderId="30" applyNumberFormat="0" applyAlignment="0" applyProtection="0"/>
    <xf numFmtId="38" fontId="38" fillId="0" borderId="0" applyFont="0" applyFill="0" applyBorder="0" applyAlignment="0" applyProtection="0"/>
    <xf numFmtId="43" fontId="4" fillId="0" borderId="0" applyFont="0" applyFill="0" applyBorder="0" applyAlignment="0" applyProtection="0"/>
    <xf numFmtId="0" fontId="37" fillId="30" borderId="30" applyNumberFormat="0" applyAlignment="0" applyProtection="0"/>
    <xf numFmtId="194" fontId="38" fillId="0" borderId="0" applyFont="0" applyFill="0" applyBorder="0" applyAlignment="0" applyProtection="0"/>
    <xf numFmtId="165" fontId="6" fillId="0" borderId="0" applyFont="0" applyFill="0" applyBorder="0" applyAlignment="0" applyProtection="0"/>
    <xf numFmtId="195" fontId="6" fillId="0" borderId="0" applyFont="0" applyFill="0" applyBorder="0" applyAlignment="0" applyProtection="0"/>
    <xf numFmtId="19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0" fontId="19" fillId="0" borderId="2" applyNumberFormat="0" applyFill="0" applyAlignment="0" applyProtection="0"/>
    <xf numFmtId="0" fontId="20" fillId="2" borderId="0" applyNumberFormat="0" applyBorder="0" applyAlignment="0" applyProtection="0"/>
    <xf numFmtId="0" fontId="20" fillId="2" borderId="0" applyNumberFormat="0" applyBorder="0" applyAlignment="0" applyProtection="0"/>
    <xf numFmtId="0" fontId="41" fillId="0" borderId="31" applyNumberFormat="0" applyFill="0" applyAlignment="0" applyProtection="0"/>
    <xf numFmtId="0" fontId="42" fillId="0" borderId="32" applyNumberFormat="0" applyFill="0" applyAlignment="0" applyProtection="0"/>
    <xf numFmtId="0" fontId="43" fillId="0" borderId="33"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45" fillId="4" borderId="1" applyNumberFormat="0" applyAlignment="0" applyProtection="0"/>
    <xf numFmtId="0" fontId="45" fillId="16" borderId="1" applyNumberFormat="0" applyAlignment="0" applyProtection="0"/>
    <xf numFmtId="166" fontId="2" fillId="0" borderId="0" applyFont="0" applyFill="0" applyBorder="0" applyAlignment="0" applyProtection="0"/>
    <xf numFmtId="3" fontId="6" fillId="0" borderId="0" applyFont="0" applyFill="0" applyBorder="0" applyAlignment="0" applyProtection="0"/>
    <xf numFmtId="0" fontId="46" fillId="0" borderId="34" applyNumberFormat="0" applyFill="0" applyAlignment="0" applyProtection="0"/>
    <xf numFmtId="0" fontId="47" fillId="0" borderId="32" applyNumberFormat="0" applyFill="0" applyAlignment="0" applyProtection="0"/>
    <xf numFmtId="0" fontId="48" fillId="0" borderId="35" applyNumberFormat="0" applyFill="0" applyAlignment="0" applyProtection="0"/>
    <xf numFmtId="0" fontId="48" fillId="0" borderId="0" applyNumberFormat="0" applyFill="0" applyBorder="0" applyAlignment="0" applyProtection="0"/>
    <xf numFmtId="0" fontId="19" fillId="0" borderId="2" applyNumberFormat="0" applyFill="0" applyAlignment="0" applyProtection="0"/>
    <xf numFmtId="0" fontId="24" fillId="4" borderId="0" applyNumberFormat="0" applyBorder="0" applyAlignment="0" applyProtection="0"/>
    <xf numFmtId="0" fontId="24" fillId="4" borderId="0" applyNumberFormat="0" applyBorder="0" applyAlignment="0" applyProtection="0"/>
    <xf numFmtId="0" fontId="2" fillId="0" borderId="0"/>
    <xf numFmtId="0" fontId="6" fillId="31" borderId="36" applyNumberFormat="0" applyFont="0" applyAlignment="0" applyProtection="0"/>
    <xf numFmtId="0" fontId="6" fillId="31" borderId="36" applyNumberFormat="0" applyFont="0" applyAlignment="0" applyProtection="0"/>
    <xf numFmtId="0" fontId="3" fillId="31" borderId="36" applyNumberFormat="0" applyFont="0" applyAlignment="0" applyProtection="0"/>
    <xf numFmtId="0" fontId="6" fillId="31" borderId="36" applyNumberFormat="0" applyFont="0" applyAlignment="0" applyProtection="0"/>
    <xf numFmtId="0" fontId="36" fillId="13" borderId="0" applyNumberFormat="0" applyBorder="0" applyAlignment="0" applyProtection="0"/>
    <xf numFmtId="0" fontId="49" fillId="29" borderId="37"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0" fillId="0" borderId="0"/>
    <xf numFmtId="0" fontId="6"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applyNumberFormat="0" applyFill="0" applyBorder="0" applyAlignment="0" applyProtection="0"/>
    <xf numFmtId="0" fontId="52" fillId="0" borderId="0" applyNumberFormat="0" applyFill="0" applyBorder="0" applyAlignment="0" applyProtection="0"/>
    <xf numFmtId="0" fontId="26" fillId="0" borderId="5" applyNumberFormat="0" applyFill="0" applyAlignment="0" applyProtection="0"/>
    <xf numFmtId="0" fontId="26" fillId="0" borderId="38" applyNumberFormat="0" applyFill="0" applyAlignment="0" applyProtection="0"/>
    <xf numFmtId="0" fontId="49" fillId="3" borderId="37" applyNumberFormat="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3" fontId="6" fillId="0" borderId="0" applyFont="0" applyFill="0" applyBorder="0" applyAlignment="0" applyProtection="0"/>
    <xf numFmtId="0" fontId="3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 fillId="0" borderId="0"/>
    <xf numFmtId="0" fontId="3" fillId="0" borderId="0"/>
    <xf numFmtId="0" fontId="53" fillId="0" borderId="0"/>
    <xf numFmtId="0" fontId="54" fillId="0" borderId="0"/>
    <xf numFmtId="9" fontId="54" fillId="0" borderId="0" applyFont="0" applyFill="0" applyBorder="0" applyAlignment="0" applyProtection="0"/>
    <xf numFmtId="164" fontId="54" fillId="0" borderId="0" applyFont="0" applyFill="0" applyBorder="0" applyAlignment="0" applyProtection="0"/>
  </cellStyleXfs>
  <cellXfs count="783">
    <xf numFmtId="0" fontId="0" fillId="0" borderId="0" xfId="0"/>
    <xf numFmtId="0" fontId="13" fillId="0" borderId="0" xfId="0" applyFont="1"/>
    <xf numFmtId="0" fontId="13" fillId="0" borderId="0" xfId="0" applyFont="1" applyAlignment="1">
      <alignment vertical="center"/>
    </xf>
    <xf numFmtId="0" fontId="15" fillId="0" borderId="0" xfId="19" applyFont="1" applyAlignment="1">
      <alignment vertical="center"/>
    </xf>
    <xf numFmtId="184" fontId="15" fillId="0" borderId="0" xfId="19" applyNumberFormat="1" applyFont="1" applyAlignment="1">
      <alignment vertical="center"/>
    </xf>
    <xf numFmtId="43" fontId="15" fillId="0" borderId="0" xfId="19" applyNumberFormat="1" applyFont="1" applyAlignment="1">
      <alignment vertical="center"/>
    </xf>
    <xf numFmtId="0" fontId="28" fillId="0" borderId="0" xfId="19" applyFont="1" applyAlignment="1">
      <alignment vertical="center"/>
    </xf>
    <xf numFmtId="0" fontId="13" fillId="0" borderId="11" xfId="0" applyFont="1" applyBorder="1" applyAlignment="1">
      <alignment vertical="center"/>
    </xf>
    <xf numFmtId="2" fontId="31" fillId="10" borderId="0" xfId="0" applyNumberFormat="1" applyFont="1" applyFill="1" applyAlignment="1">
      <alignment horizontal="center" vertical="center" wrapText="1"/>
    </xf>
    <xf numFmtId="188" fontId="15" fillId="0" borderId="9" xfId="0" applyNumberFormat="1" applyFont="1" applyBorder="1" applyAlignment="1">
      <alignment vertical="center"/>
    </xf>
    <xf numFmtId="191" fontId="15" fillId="0" borderId="9" xfId="0" applyNumberFormat="1" applyFont="1" applyBorder="1" applyAlignment="1">
      <alignment horizontal="center" vertical="center"/>
    </xf>
    <xf numFmtId="0" fontId="15" fillId="8" borderId="12" xfId="0" applyFont="1" applyFill="1" applyBorder="1" applyAlignment="1">
      <alignment horizontal="center" vertical="center"/>
    </xf>
    <xf numFmtId="193" fontId="15" fillId="0" borderId="10" xfId="0" applyNumberFormat="1" applyFont="1" applyBorder="1" applyAlignment="1">
      <alignment horizontal="center" vertical="center"/>
    </xf>
    <xf numFmtId="190" fontId="13" fillId="0" borderId="7" xfId="31" applyNumberFormat="1" applyFont="1" applyBorder="1" applyAlignment="1">
      <alignment vertical="center"/>
    </xf>
    <xf numFmtId="190" fontId="13" fillId="0" borderId="7" xfId="0" applyNumberFormat="1" applyFont="1" applyBorder="1" applyAlignment="1">
      <alignment vertical="center"/>
    </xf>
    <xf numFmtId="0" fontId="32" fillId="10" borderId="0" xfId="0" applyFont="1" applyFill="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xf>
    <xf numFmtId="190" fontId="13" fillId="0" borderId="0" xfId="0" applyNumberFormat="1" applyFont="1"/>
    <xf numFmtId="0" fontId="14" fillId="0" borderId="0" xfId="19" applyFont="1" applyAlignment="1">
      <alignment vertical="center" wrapText="1"/>
    </xf>
    <xf numFmtId="0" fontId="16" fillId="0" borderId="0" xfId="19" applyFont="1" applyAlignment="1">
      <alignment vertical="center"/>
    </xf>
    <xf numFmtId="49" fontId="15" fillId="0" borderId="0" xfId="16" applyNumberFormat="1" applyFont="1" applyAlignment="1" applyProtection="1">
      <alignment horizontal="left" vertical="center"/>
      <protection hidden="1"/>
    </xf>
    <xf numFmtId="0" fontId="28" fillId="0" borderId="8" xfId="19" applyFont="1" applyBorder="1" applyAlignment="1">
      <alignment vertical="center"/>
    </xf>
    <xf numFmtId="187" fontId="14" fillId="9" borderId="0" xfId="19" applyNumberFormat="1" applyFont="1" applyFill="1" applyAlignment="1">
      <alignment vertical="center"/>
    </xf>
    <xf numFmtId="43" fontId="15" fillId="0" borderId="0" xfId="2" applyFont="1" applyFill="1" applyAlignment="1">
      <alignment vertical="center"/>
    </xf>
    <xf numFmtId="187" fontId="15" fillId="0" borderId="0" xfId="19" applyNumberFormat="1" applyFont="1" applyAlignment="1">
      <alignment vertical="center"/>
    </xf>
    <xf numFmtId="0" fontId="55" fillId="0" borderId="0" xfId="0" applyFont="1" applyAlignment="1">
      <alignment horizontal="left" vertical="center"/>
    </xf>
    <xf numFmtId="0" fontId="57" fillId="0" borderId="0" xfId="19" applyFont="1" applyAlignment="1">
      <alignment vertical="center"/>
    </xf>
    <xf numFmtId="49" fontId="57" fillId="0" borderId="0" xfId="16" applyNumberFormat="1" applyFont="1" applyAlignment="1" applyProtection="1">
      <alignment horizontal="left" vertical="center"/>
      <protection hidden="1"/>
    </xf>
    <xf numFmtId="0" fontId="58" fillId="0" borderId="0" xfId="19" applyFont="1" applyAlignment="1">
      <alignment vertical="center"/>
    </xf>
    <xf numFmtId="0" fontId="59" fillId="0" borderId="0" xfId="19" applyFont="1" applyAlignment="1">
      <alignment vertical="center"/>
    </xf>
    <xf numFmtId="0" fontId="60" fillId="0" borderId="0" xfId="19" applyFont="1" applyAlignment="1">
      <alignment vertical="center"/>
    </xf>
    <xf numFmtId="2" fontId="60" fillId="0" borderId="0" xfId="19" applyNumberFormat="1" applyFont="1" applyAlignment="1">
      <alignment vertical="center"/>
    </xf>
    <xf numFmtId="2" fontId="62" fillId="0" borderId="0" xfId="19" applyNumberFormat="1" applyFont="1" applyAlignment="1">
      <alignment vertical="center"/>
    </xf>
    <xf numFmtId="0" fontId="63" fillId="0" borderId="0" xfId="19" applyFont="1" applyAlignment="1">
      <alignment vertical="center"/>
    </xf>
    <xf numFmtId="2" fontId="64" fillId="0" borderId="0" xfId="19" applyNumberFormat="1" applyFont="1" applyAlignment="1">
      <alignment vertical="center"/>
    </xf>
    <xf numFmtId="0" fontId="65" fillId="0" borderId="0" xfId="0" applyFont="1" applyAlignment="1">
      <alignment vertical="center"/>
    </xf>
    <xf numFmtId="1" fontId="66" fillId="0" borderId="0" xfId="19" applyNumberFormat="1" applyFont="1" applyAlignment="1">
      <alignment horizontal="left" vertical="center"/>
    </xf>
    <xf numFmtId="191" fontId="64" fillId="0" borderId="0" xfId="19" applyNumberFormat="1" applyFont="1" applyAlignment="1">
      <alignment horizontal="left" vertical="center"/>
    </xf>
    <xf numFmtId="2" fontId="57" fillId="10" borderId="7" xfId="26" applyNumberFormat="1" applyFont="1" applyFill="1" applyBorder="1" applyAlignment="1" applyProtection="1">
      <alignment horizontal="center" vertical="center"/>
      <protection hidden="1"/>
    </xf>
    <xf numFmtId="0" fontId="67" fillId="0" borderId="0" xfId="0" applyFont="1" applyAlignment="1">
      <alignment vertical="center"/>
    </xf>
    <xf numFmtId="15" fontId="64" fillId="0" borderId="0" xfId="19" applyNumberFormat="1" applyFont="1" applyAlignment="1">
      <alignment horizontal="left" vertical="center"/>
    </xf>
    <xf numFmtId="49" fontId="62" fillId="0" borderId="0" xfId="19" applyNumberFormat="1" applyFont="1" applyAlignment="1">
      <alignment vertical="center"/>
    </xf>
    <xf numFmtId="0" fontId="68" fillId="0" borderId="0" xfId="19" applyFont="1" applyAlignment="1">
      <alignment vertical="center"/>
    </xf>
    <xf numFmtId="0" fontId="69" fillId="0" borderId="0" xfId="19" applyFont="1" applyAlignment="1">
      <alignment vertical="center"/>
    </xf>
    <xf numFmtId="49" fontId="57" fillId="0" borderId="0" xfId="19" applyNumberFormat="1" applyFont="1" applyAlignment="1">
      <alignment vertical="center"/>
    </xf>
    <xf numFmtId="0" fontId="58" fillId="0" borderId="0" xfId="19" applyFont="1" applyAlignment="1">
      <alignment vertical="center" wrapText="1"/>
    </xf>
    <xf numFmtId="0" fontId="70" fillId="0" borderId="0" xfId="19" applyFont="1" applyAlignment="1">
      <alignment vertical="center" wrapText="1"/>
    </xf>
    <xf numFmtId="0" fontId="58" fillId="0" borderId="0" xfId="16" applyFont="1" applyAlignment="1" applyProtection="1">
      <alignment horizontal="left" vertical="center"/>
      <protection hidden="1"/>
    </xf>
    <xf numFmtId="177" fontId="57" fillId="0" borderId="0" xfId="16" applyNumberFormat="1" applyFont="1" applyAlignment="1" applyProtection="1">
      <alignment horizontal="left" vertical="center"/>
      <protection hidden="1"/>
    </xf>
    <xf numFmtId="184" fontId="57" fillId="0" borderId="0" xfId="19" applyNumberFormat="1" applyFont="1" applyAlignment="1">
      <alignment horizontal="right" vertical="center"/>
    </xf>
    <xf numFmtId="2" fontId="57" fillId="0" borderId="0" xfId="2" applyNumberFormat="1" applyFont="1" applyFill="1" applyAlignment="1">
      <alignment horizontal="center" vertical="center"/>
    </xf>
    <xf numFmtId="1" fontId="57" fillId="0" borderId="0" xfId="2" applyNumberFormat="1" applyFont="1" applyFill="1" applyAlignment="1">
      <alignment horizontal="center" vertical="center"/>
    </xf>
    <xf numFmtId="4" fontId="57" fillId="0" borderId="0" xfId="2" applyNumberFormat="1" applyFont="1" applyFill="1" applyAlignment="1">
      <alignment horizontal="center" vertical="center"/>
    </xf>
    <xf numFmtId="184" fontId="57" fillId="0" borderId="0" xfId="5" applyNumberFormat="1" applyFont="1" applyFill="1" applyAlignment="1">
      <alignment vertical="center"/>
    </xf>
    <xf numFmtId="190" fontId="57" fillId="0" borderId="0" xfId="3" applyNumberFormat="1" applyFont="1" applyFill="1" applyBorder="1" applyAlignment="1" applyProtection="1">
      <alignment horizontal="center" vertical="center"/>
      <protection hidden="1"/>
    </xf>
    <xf numFmtId="10" fontId="57" fillId="0" borderId="0" xfId="19" applyNumberFormat="1" applyFont="1" applyAlignment="1">
      <alignment vertical="center"/>
    </xf>
    <xf numFmtId="2" fontId="57" fillId="0" borderId="0" xfId="19" applyNumberFormat="1" applyFont="1" applyAlignment="1">
      <alignment horizontal="center" vertical="center"/>
    </xf>
    <xf numFmtId="4" fontId="57" fillId="0" borderId="0" xfId="19" applyNumberFormat="1" applyFont="1" applyAlignment="1">
      <alignment horizontal="center" vertical="center"/>
    </xf>
    <xf numFmtId="10" fontId="57" fillId="0" borderId="0" xfId="16" applyNumberFormat="1" applyFont="1" applyAlignment="1" applyProtection="1">
      <alignment horizontal="left" vertical="center"/>
      <protection hidden="1"/>
    </xf>
    <xf numFmtId="2" fontId="57" fillId="0" borderId="0" xfId="16" applyNumberFormat="1" applyFont="1" applyAlignment="1" applyProtection="1">
      <alignment horizontal="center" vertical="center"/>
      <protection hidden="1"/>
    </xf>
    <xf numFmtId="4" fontId="57" fillId="0" borderId="0" xfId="16" applyNumberFormat="1" applyFont="1" applyAlignment="1" applyProtection="1">
      <alignment horizontal="center" vertical="center"/>
      <protection hidden="1"/>
    </xf>
    <xf numFmtId="49" fontId="59" fillId="0" borderId="0" xfId="16" applyNumberFormat="1" applyFont="1" applyAlignment="1" applyProtection="1">
      <alignment horizontal="left" vertical="center"/>
      <protection hidden="1"/>
    </xf>
    <xf numFmtId="2" fontId="57" fillId="0" borderId="6" xfId="2" applyNumberFormat="1" applyFont="1" applyFill="1" applyBorder="1" applyAlignment="1">
      <alignment horizontal="center" vertical="center"/>
    </xf>
    <xf numFmtId="10" fontId="58" fillId="0" borderId="0" xfId="16" applyNumberFormat="1" applyFont="1" applyAlignment="1" applyProtection="1">
      <alignment horizontal="center" vertical="center"/>
      <protection hidden="1"/>
    </xf>
    <xf numFmtId="2" fontId="58" fillId="0" borderId="0" xfId="2" applyNumberFormat="1" applyFont="1" applyFill="1" applyBorder="1" applyAlignment="1" applyProtection="1">
      <alignment horizontal="center" vertical="center"/>
      <protection hidden="1"/>
    </xf>
    <xf numFmtId="0" fontId="58" fillId="0" borderId="0" xfId="16" applyFont="1" applyAlignment="1" applyProtection="1">
      <alignment horizontal="right" vertical="center"/>
      <protection hidden="1"/>
    </xf>
    <xf numFmtId="4" fontId="58" fillId="0" borderId="0" xfId="2" applyNumberFormat="1" applyFont="1" applyFill="1" applyBorder="1" applyAlignment="1" applyProtection="1">
      <alignment horizontal="center" vertical="center"/>
      <protection hidden="1"/>
    </xf>
    <xf numFmtId="190" fontId="58" fillId="0" borderId="0" xfId="3" applyNumberFormat="1" applyFont="1" applyFill="1" applyBorder="1" applyAlignment="1" applyProtection="1">
      <alignment horizontal="center" vertical="center"/>
      <protection hidden="1"/>
    </xf>
    <xf numFmtId="179" fontId="58" fillId="0" borderId="0" xfId="16" applyNumberFormat="1" applyFont="1" applyAlignment="1" applyProtection="1">
      <alignment horizontal="center" vertical="center"/>
      <protection hidden="1"/>
    </xf>
    <xf numFmtId="198" fontId="58" fillId="0" borderId="0" xfId="16" applyNumberFormat="1" applyFont="1" applyAlignment="1" applyProtection="1">
      <alignment horizontal="left" vertical="center"/>
      <protection hidden="1"/>
    </xf>
    <xf numFmtId="0" fontId="58" fillId="0" borderId="0" xfId="3" applyNumberFormat="1" applyFont="1" applyFill="1" applyBorder="1" applyAlignment="1" applyProtection="1">
      <alignment horizontal="center" vertical="center"/>
      <protection hidden="1"/>
    </xf>
    <xf numFmtId="184" fontId="57" fillId="0" borderId="0" xfId="5" applyNumberFormat="1" applyFont="1" applyFill="1" applyAlignment="1">
      <alignment horizontal="right" vertical="center"/>
    </xf>
    <xf numFmtId="4" fontId="57" fillId="0" borderId="6" xfId="2" applyNumberFormat="1" applyFont="1" applyFill="1" applyBorder="1" applyAlignment="1">
      <alignment horizontal="center" vertical="center"/>
    </xf>
    <xf numFmtId="43" fontId="58" fillId="0" borderId="0" xfId="2" applyFont="1" applyFill="1" applyBorder="1" applyAlignment="1" applyProtection="1">
      <alignment horizontal="left" vertical="center"/>
      <protection hidden="1"/>
    </xf>
    <xf numFmtId="184" fontId="58" fillId="0" borderId="0" xfId="16" applyNumberFormat="1" applyFont="1" applyAlignment="1" applyProtection="1">
      <alignment horizontal="left" vertical="center"/>
      <protection hidden="1"/>
    </xf>
    <xf numFmtId="179" fontId="58" fillId="0" borderId="0" xfId="26" applyNumberFormat="1" applyFont="1" applyFill="1" applyBorder="1" applyAlignment="1" applyProtection="1">
      <alignment horizontal="center" vertical="center"/>
      <protection hidden="1"/>
    </xf>
    <xf numFmtId="0" fontId="58" fillId="0" borderId="0" xfId="16" applyFont="1" applyAlignment="1" applyProtection="1">
      <alignment horizontal="center" vertical="center"/>
      <protection hidden="1"/>
    </xf>
    <xf numFmtId="43" fontId="58" fillId="0" borderId="0" xfId="16" applyNumberFormat="1" applyFont="1" applyAlignment="1" applyProtection="1">
      <alignment horizontal="left" vertical="center"/>
      <protection hidden="1"/>
    </xf>
    <xf numFmtId="0" fontId="67" fillId="0" borderId="0" xfId="0" applyFont="1" applyAlignment="1">
      <alignment horizontal="right" vertical="center"/>
    </xf>
    <xf numFmtId="10" fontId="57" fillId="0" borderId="0" xfId="19" applyNumberFormat="1" applyFont="1" applyAlignment="1">
      <alignment horizontal="right" vertical="center"/>
    </xf>
    <xf numFmtId="184" fontId="57" fillId="0" borderId="6" xfId="5" applyNumberFormat="1" applyFont="1" applyFill="1" applyBorder="1" applyAlignment="1">
      <alignment horizontal="right" vertical="center"/>
    </xf>
    <xf numFmtId="181" fontId="57" fillId="0" borderId="0" xfId="19" applyNumberFormat="1" applyFont="1" applyAlignment="1">
      <alignment horizontal="center" vertical="center"/>
    </xf>
    <xf numFmtId="198" fontId="57" fillId="0" borderId="0" xfId="19" applyNumberFormat="1" applyFont="1" applyAlignment="1">
      <alignment horizontal="center" vertical="center"/>
    </xf>
    <xf numFmtId="49" fontId="76" fillId="0" borderId="0" xfId="19" applyNumberFormat="1" applyFont="1" applyAlignment="1">
      <alignment horizontal="right" vertical="center"/>
    </xf>
    <xf numFmtId="2" fontId="76" fillId="0" borderId="0" xfId="19" applyNumberFormat="1" applyFont="1" applyAlignment="1">
      <alignment vertical="center"/>
    </xf>
    <xf numFmtId="2" fontId="77" fillId="0" borderId="0" xfId="19" applyNumberFormat="1" applyFont="1" applyAlignment="1">
      <alignment vertical="center"/>
    </xf>
    <xf numFmtId="49" fontId="81" fillId="35" borderId="0" xfId="16" applyNumberFormat="1" applyFont="1" applyFill="1" applyAlignment="1" applyProtection="1">
      <alignment horizontal="center" vertical="center" wrapText="1"/>
      <protection hidden="1"/>
    </xf>
    <xf numFmtId="0" fontId="81" fillId="35" borderId="0" xfId="19" applyFont="1" applyFill="1" applyAlignment="1">
      <alignment horizontal="center" vertical="center" wrapText="1"/>
    </xf>
    <xf numFmtId="0" fontId="81" fillId="35" borderId="0" xfId="16" applyFont="1" applyFill="1" applyAlignment="1" applyProtection="1">
      <alignment horizontal="center" vertical="center" wrapText="1"/>
      <protection hidden="1"/>
    </xf>
    <xf numFmtId="49" fontId="81" fillId="0" borderId="0" xfId="16" applyNumberFormat="1" applyFont="1" applyAlignment="1" applyProtection="1">
      <alignment horizontal="center" vertical="center" wrapText="1"/>
      <protection hidden="1"/>
    </xf>
    <xf numFmtId="0" fontId="81" fillId="0" borderId="0" xfId="19" applyFont="1" applyAlignment="1">
      <alignment horizontal="center" vertical="center" wrapText="1"/>
    </xf>
    <xf numFmtId="0" fontId="81" fillId="0" borderId="0" xfId="16" applyFont="1" applyAlignment="1" applyProtection="1">
      <alignment horizontal="center" vertical="center" wrapText="1"/>
      <protection hidden="1"/>
    </xf>
    <xf numFmtId="49" fontId="81" fillId="36" borderId="0" xfId="16" applyNumberFormat="1" applyFont="1" applyFill="1" applyAlignment="1" applyProtection="1">
      <alignment horizontal="center" vertical="center" wrapText="1"/>
      <protection hidden="1"/>
    </xf>
    <xf numFmtId="0" fontId="57" fillId="36" borderId="0" xfId="19" applyFont="1" applyFill="1" applyAlignment="1">
      <alignment vertical="center"/>
    </xf>
    <xf numFmtId="0" fontId="59" fillId="36" borderId="0" xfId="19" applyFont="1" applyFill="1" applyAlignment="1">
      <alignment vertical="center"/>
    </xf>
    <xf numFmtId="49" fontId="57" fillId="0" borderId="55" xfId="19" applyNumberFormat="1" applyFont="1" applyBorder="1" applyAlignment="1">
      <alignment vertical="center"/>
    </xf>
    <xf numFmtId="0" fontId="57" fillId="0" borderId="55" xfId="19" applyFont="1" applyBorder="1" applyAlignment="1">
      <alignment vertical="center"/>
    </xf>
    <xf numFmtId="2" fontId="58" fillId="0" borderId="41" xfId="2" applyNumberFormat="1" applyFont="1" applyFill="1" applyBorder="1" applyAlignment="1" applyProtection="1">
      <alignment horizontal="center" vertical="center"/>
      <protection hidden="1"/>
    </xf>
    <xf numFmtId="4" fontId="58" fillId="0" borderId="41" xfId="2" applyNumberFormat="1" applyFont="1" applyFill="1" applyBorder="1" applyAlignment="1" applyProtection="1">
      <alignment horizontal="center" vertical="center"/>
      <protection hidden="1"/>
    </xf>
    <xf numFmtId="190" fontId="58" fillId="0" borderId="41" xfId="3" applyNumberFormat="1" applyFont="1" applyFill="1" applyBorder="1" applyAlignment="1" applyProtection="1">
      <alignment horizontal="center" vertical="center"/>
      <protection hidden="1"/>
    </xf>
    <xf numFmtId="49" fontId="80" fillId="0" borderId="0" xfId="16" applyNumberFormat="1" applyFont="1" applyAlignment="1" applyProtection="1">
      <alignment horizontal="left" vertical="center" indent="1"/>
      <protection hidden="1"/>
    </xf>
    <xf numFmtId="0" fontId="57" fillId="0" borderId="0" xfId="19" applyFont="1" applyAlignment="1">
      <alignment horizontal="left" vertical="center" indent="1"/>
    </xf>
    <xf numFmtId="49" fontId="57" fillId="0" borderId="0" xfId="16" applyNumberFormat="1" applyFont="1" applyAlignment="1" applyProtection="1">
      <alignment horizontal="left" vertical="center" indent="1"/>
      <protection hidden="1"/>
    </xf>
    <xf numFmtId="43" fontId="73" fillId="0" borderId="0" xfId="2" applyFont="1" applyFill="1" applyAlignment="1">
      <alignment horizontal="left" vertical="center" indent="1"/>
    </xf>
    <xf numFmtId="49" fontId="71" fillId="0" borderId="0" xfId="16" applyNumberFormat="1" applyFont="1" applyAlignment="1" applyProtection="1">
      <alignment horizontal="left" vertical="center" indent="1"/>
      <protection hidden="1"/>
    </xf>
    <xf numFmtId="49" fontId="74" fillId="0" borderId="0" xfId="16" applyNumberFormat="1" applyFont="1" applyAlignment="1" applyProtection="1">
      <alignment horizontal="left" vertical="center" indent="1"/>
      <protection hidden="1"/>
    </xf>
    <xf numFmtId="49" fontId="58" fillId="0" borderId="0" xfId="16" applyNumberFormat="1" applyFont="1" applyAlignment="1" applyProtection="1">
      <alignment horizontal="left" vertical="center" indent="1"/>
      <protection hidden="1"/>
    </xf>
    <xf numFmtId="190" fontId="58" fillId="0" borderId="0" xfId="3" applyNumberFormat="1" applyFont="1" applyFill="1" applyBorder="1" applyAlignment="1" applyProtection="1">
      <alignment horizontal="left" vertical="center" indent="1"/>
      <protection hidden="1"/>
    </xf>
    <xf numFmtId="49" fontId="57" fillId="0" borderId="0" xfId="19" applyNumberFormat="1" applyFont="1" applyAlignment="1">
      <alignment horizontal="left" vertical="center" indent="1"/>
    </xf>
    <xf numFmtId="49" fontId="57" fillId="34" borderId="40" xfId="19" applyNumberFormat="1" applyFont="1" applyFill="1" applyBorder="1" applyAlignment="1">
      <alignment horizontal="left" vertical="center" indent="1"/>
    </xf>
    <xf numFmtId="0" fontId="79" fillId="0" borderId="0" xfId="19" applyFont="1" applyAlignment="1">
      <alignment horizontal="left" vertical="center" indent="1"/>
    </xf>
    <xf numFmtId="49" fontId="79" fillId="0" borderId="0" xfId="16" applyNumberFormat="1" applyFont="1" applyAlignment="1" applyProtection="1">
      <alignment horizontal="left" vertical="center" indent="1"/>
      <protection hidden="1"/>
    </xf>
    <xf numFmtId="49" fontId="78" fillId="0" borderId="0" xfId="19" applyNumberFormat="1" applyFont="1" applyAlignment="1">
      <alignment vertical="center"/>
    </xf>
    <xf numFmtId="0" fontId="84" fillId="0" borderId="0" xfId="19" applyFont="1" applyAlignment="1">
      <alignment vertical="center"/>
    </xf>
    <xf numFmtId="0" fontId="84" fillId="0" borderId="0" xfId="19" applyFont="1" applyAlignment="1">
      <alignment horizontal="right" vertical="center"/>
    </xf>
    <xf numFmtId="190" fontId="78" fillId="0" borderId="0" xfId="3" applyNumberFormat="1" applyFont="1" applyFill="1" applyBorder="1" applyAlignment="1" applyProtection="1">
      <alignment horizontal="center" vertical="center"/>
      <protection hidden="1"/>
    </xf>
    <xf numFmtId="43" fontId="58" fillId="0" borderId="0" xfId="2" applyFont="1" applyFill="1" applyBorder="1" applyAlignment="1" applyProtection="1">
      <alignment horizontal="right" vertical="center"/>
      <protection hidden="1"/>
    </xf>
    <xf numFmtId="0" fontId="67" fillId="0" borderId="0" xfId="0" applyFont="1" applyAlignment="1">
      <alignment horizontal="center" vertical="center"/>
    </xf>
    <xf numFmtId="49" fontId="61" fillId="0" borderId="0" xfId="19" applyNumberFormat="1" applyFont="1" applyAlignment="1">
      <alignment horizontal="left" vertical="center" indent="1"/>
    </xf>
    <xf numFmtId="2" fontId="67" fillId="0" borderId="0" xfId="0" applyNumberFormat="1" applyFont="1" applyAlignment="1">
      <alignment vertical="center"/>
    </xf>
    <xf numFmtId="192" fontId="86" fillId="0" borderId="0" xfId="19" applyNumberFormat="1" applyFont="1" applyAlignment="1">
      <alignment vertical="center"/>
    </xf>
    <xf numFmtId="0" fontId="87" fillId="0" borderId="0" xfId="0" applyFont="1" applyAlignment="1">
      <alignment vertical="center"/>
    </xf>
    <xf numFmtId="0" fontId="67" fillId="0" borderId="0" xfId="0" quotePrefix="1" applyFont="1" applyAlignment="1">
      <alignment vertical="center"/>
    </xf>
    <xf numFmtId="181" fontId="67" fillId="0" borderId="0" xfId="0" applyNumberFormat="1" applyFont="1" applyAlignment="1">
      <alignment horizontal="center" vertical="center"/>
    </xf>
    <xf numFmtId="0" fontId="67" fillId="33" borderId="0" xfId="0" applyFont="1" applyFill="1" applyAlignment="1">
      <alignment horizontal="center" vertical="center"/>
    </xf>
    <xf numFmtId="4" fontId="57" fillId="0" borderId="0" xfId="2" applyNumberFormat="1" applyFont="1" applyFill="1" applyBorder="1" applyAlignment="1">
      <alignment horizontal="center" vertical="center"/>
    </xf>
    <xf numFmtId="185" fontId="57" fillId="0" borderId="0" xfId="0" applyNumberFormat="1" applyFont="1" applyAlignment="1">
      <alignment horizontal="center" vertical="center"/>
    </xf>
    <xf numFmtId="4" fontId="89" fillId="0" borderId="0" xfId="0" applyNumberFormat="1" applyFont="1" applyAlignment="1">
      <alignment horizontal="center" vertical="center"/>
    </xf>
    <xf numFmtId="181" fontId="57" fillId="0" borderId="0" xfId="0" applyNumberFormat="1" applyFont="1" applyAlignment="1">
      <alignment horizontal="center" vertical="center"/>
    </xf>
    <xf numFmtId="3" fontId="90" fillId="0" borderId="0" xfId="2" applyNumberFormat="1" applyFont="1" applyAlignment="1">
      <alignment horizontal="center" vertical="center"/>
    </xf>
    <xf numFmtId="4" fontId="67" fillId="0" borderId="0" xfId="0" applyNumberFormat="1" applyFont="1" applyAlignment="1">
      <alignment horizontal="center" vertical="center" wrapText="1"/>
    </xf>
    <xf numFmtId="4" fontId="67" fillId="0" borderId="0" xfId="0" applyNumberFormat="1" applyFont="1" applyAlignment="1">
      <alignment horizontal="center" vertical="center"/>
    </xf>
    <xf numFmtId="4" fontId="67" fillId="0" borderId="0" xfId="0" applyNumberFormat="1" applyFont="1" applyAlignment="1">
      <alignment vertical="center"/>
    </xf>
    <xf numFmtId="0" fontId="88" fillId="0" borderId="0" xfId="0" applyFont="1" applyAlignment="1">
      <alignment horizontal="center" vertical="center"/>
    </xf>
    <xf numFmtId="180" fontId="89" fillId="0" borderId="0" xfId="0" applyNumberFormat="1" applyFont="1" applyAlignment="1">
      <alignment horizontal="center" vertical="center"/>
    </xf>
    <xf numFmtId="4" fontId="90" fillId="0" borderId="0" xfId="2" applyNumberFormat="1" applyFont="1" applyAlignment="1">
      <alignment horizontal="center" vertical="center"/>
    </xf>
    <xf numFmtId="0" fontId="92" fillId="0" borderId="0" xfId="0" applyFont="1" applyAlignment="1">
      <alignment horizontal="left" vertical="center"/>
    </xf>
    <xf numFmtId="0" fontId="67" fillId="0" borderId="0" xfId="0" applyFont="1" applyAlignment="1">
      <alignment horizontal="left" vertical="center" indent="1"/>
    </xf>
    <xf numFmtId="198" fontId="67" fillId="0" borderId="0" xfId="0" applyNumberFormat="1" applyFont="1" applyAlignment="1">
      <alignment vertical="center"/>
    </xf>
    <xf numFmtId="43" fontId="67" fillId="0" borderId="0" xfId="0" applyNumberFormat="1" applyFont="1" applyAlignment="1">
      <alignment vertical="center"/>
    </xf>
    <xf numFmtId="0" fontId="82" fillId="0" borderId="0" xfId="0" applyFont="1" applyAlignment="1">
      <alignment vertical="center"/>
    </xf>
    <xf numFmtId="4" fontId="82" fillId="0" borderId="0" xfId="0" applyNumberFormat="1" applyFont="1" applyAlignment="1">
      <alignment vertical="center"/>
    </xf>
    <xf numFmtId="187" fontId="67" fillId="0" borderId="0" xfId="0" applyNumberFormat="1" applyFont="1" applyAlignment="1">
      <alignment vertical="center"/>
    </xf>
    <xf numFmtId="185" fontId="57" fillId="0" borderId="0" xfId="0" applyNumberFormat="1" applyFont="1" applyAlignment="1">
      <alignment vertical="center"/>
    </xf>
    <xf numFmtId="190" fontId="57" fillId="0" borderId="0" xfId="0" applyNumberFormat="1" applyFont="1" applyAlignment="1">
      <alignment vertical="center"/>
    </xf>
    <xf numFmtId="4" fontId="57" fillId="0" borderId="0" xfId="0" applyNumberFormat="1" applyFont="1" applyAlignment="1">
      <alignment horizontal="center" vertical="center"/>
    </xf>
    <xf numFmtId="198" fontId="82" fillId="0" borderId="0" xfId="0" applyNumberFormat="1" applyFont="1" applyAlignment="1">
      <alignment horizontal="center" vertical="center"/>
    </xf>
    <xf numFmtId="190" fontId="67" fillId="0" borderId="0" xfId="0" applyNumberFormat="1" applyFont="1" applyAlignment="1">
      <alignment horizontal="center" vertical="center"/>
    </xf>
    <xf numFmtId="198" fontId="90" fillId="0" borderId="0" xfId="0" applyNumberFormat="1" applyFont="1" applyAlignment="1">
      <alignment horizontal="center" vertical="center"/>
    </xf>
    <xf numFmtId="0" fontId="82" fillId="0" borderId="0" xfId="0" applyFont="1" applyAlignment="1">
      <alignment horizontal="right" vertical="center"/>
    </xf>
    <xf numFmtId="185" fontId="68" fillId="0" borderId="0" xfId="0" applyNumberFormat="1" applyFont="1" applyAlignment="1">
      <alignment vertical="center"/>
    </xf>
    <xf numFmtId="183" fontId="82" fillId="0" borderId="0" xfId="26" applyNumberFormat="1" applyFont="1" applyFill="1" applyAlignment="1">
      <alignment horizontal="right" vertical="center"/>
    </xf>
    <xf numFmtId="185" fontId="82" fillId="0" borderId="0" xfId="0" applyNumberFormat="1" applyFont="1" applyAlignment="1">
      <alignment vertical="center"/>
    </xf>
    <xf numFmtId="198" fontId="67" fillId="0" borderId="0" xfId="0" applyNumberFormat="1" applyFont="1" applyAlignment="1">
      <alignment horizontal="center" vertical="center"/>
    </xf>
    <xf numFmtId="0" fontId="82" fillId="0" borderId="0" xfId="0" applyFont="1" applyAlignment="1">
      <alignment horizontal="center" vertical="center"/>
    </xf>
    <xf numFmtId="0" fontId="74" fillId="0" borderId="0" xfId="0" applyFont="1" applyAlignment="1">
      <alignment horizontal="center" vertical="center"/>
    </xf>
    <xf numFmtId="187" fontId="64" fillId="0" borderId="0" xfId="0" applyNumberFormat="1" applyFont="1" applyAlignment="1">
      <alignment vertical="center"/>
    </xf>
    <xf numFmtId="187" fontId="61" fillId="0" borderId="0" xfId="0" applyNumberFormat="1" applyFont="1" applyAlignment="1">
      <alignment vertical="center"/>
    </xf>
    <xf numFmtId="0" fontId="64" fillId="0" borderId="0" xfId="0" applyFont="1" applyAlignment="1">
      <alignment vertical="center"/>
    </xf>
    <xf numFmtId="0" fontId="61" fillId="0" borderId="0" xfId="0" applyFont="1" applyAlignment="1">
      <alignment horizontal="center" vertical="center"/>
    </xf>
    <xf numFmtId="0" fontId="93" fillId="0" borderId="0" xfId="0" applyFont="1" applyAlignment="1">
      <alignment vertical="center"/>
    </xf>
    <xf numFmtId="185" fontId="74" fillId="0" borderId="0" xfId="0" applyNumberFormat="1" applyFont="1" applyAlignment="1">
      <alignment vertical="center"/>
    </xf>
    <xf numFmtId="185" fontId="67" fillId="0" borderId="0" xfId="0" applyNumberFormat="1" applyFont="1" applyAlignment="1">
      <alignment vertical="center"/>
    </xf>
    <xf numFmtId="0" fontId="74" fillId="0" borderId="0" xfId="0" applyFont="1" applyAlignment="1">
      <alignment vertical="center"/>
    </xf>
    <xf numFmtId="0" fontId="94" fillId="0" borderId="0" xfId="0" applyFont="1" applyAlignment="1">
      <alignment vertical="center"/>
    </xf>
    <xf numFmtId="0" fontId="74" fillId="0" borderId="0" xfId="22" applyFont="1" applyAlignment="1">
      <alignment vertical="center"/>
    </xf>
    <xf numFmtId="0" fontId="94" fillId="0" borderId="0" xfId="22" applyFont="1" applyAlignment="1">
      <alignment vertical="center"/>
    </xf>
    <xf numFmtId="3" fontId="96" fillId="0" borderId="0" xfId="0" applyNumberFormat="1" applyFont="1"/>
    <xf numFmtId="0" fontId="97" fillId="0" borderId="0" xfId="22" applyFont="1" applyAlignment="1">
      <alignment horizontal="right" vertical="center"/>
    </xf>
    <xf numFmtId="9" fontId="72" fillId="0" borderId="0" xfId="22" applyNumberFormat="1" applyFont="1" applyAlignment="1">
      <alignment vertical="center"/>
    </xf>
    <xf numFmtId="10" fontId="74" fillId="0" borderId="39" xfId="22" applyNumberFormat="1" applyFont="1" applyBorder="1" applyAlignment="1" applyProtection="1">
      <alignment horizontal="center" vertical="center"/>
      <protection locked="0" hidden="1"/>
    </xf>
    <xf numFmtId="49" fontId="76" fillId="0" borderId="0" xfId="19" applyNumberFormat="1" applyFont="1" applyAlignment="1">
      <alignment horizontal="left" vertical="center" indent="1"/>
    </xf>
    <xf numFmtId="2" fontId="98" fillId="0" borderId="0" xfId="19" applyNumberFormat="1" applyFont="1" applyAlignment="1">
      <alignment vertical="center"/>
    </xf>
    <xf numFmtId="2" fontId="99" fillId="0" borderId="0" xfId="19" applyNumberFormat="1" applyFont="1" applyAlignment="1">
      <alignment vertical="center"/>
    </xf>
    <xf numFmtId="0" fontId="100" fillId="0" borderId="0" xfId="0" applyFont="1" applyAlignment="1">
      <alignment vertical="center"/>
    </xf>
    <xf numFmtId="2" fontId="81" fillId="35" borderId="0" xfId="0" applyNumberFormat="1" applyFont="1" applyFill="1" applyAlignment="1">
      <alignment horizontal="left" vertical="center" wrapText="1" indent="1"/>
    </xf>
    <xf numFmtId="2" fontId="81" fillId="35" borderId="0" xfId="0" applyNumberFormat="1" applyFont="1" applyFill="1" applyAlignment="1">
      <alignment vertical="center" wrapText="1"/>
    </xf>
    <xf numFmtId="2" fontId="81" fillId="35" borderId="0" xfId="0" applyNumberFormat="1" applyFont="1" applyFill="1" applyAlignment="1">
      <alignment horizontal="center" vertical="center" wrapText="1"/>
    </xf>
    <xf numFmtId="0" fontId="81" fillId="35" borderId="0" xfId="0" applyFont="1" applyFill="1" applyAlignment="1">
      <alignment horizontal="center" vertical="center" wrapText="1"/>
    </xf>
    <xf numFmtId="0" fontId="85" fillId="0" borderId="0" xfId="0" applyFont="1" applyAlignment="1">
      <alignment vertical="center"/>
    </xf>
    <xf numFmtId="0" fontId="100" fillId="0" borderId="0" xfId="0" applyFont="1" applyAlignment="1">
      <alignment horizontal="center" vertical="center" wrapText="1"/>
    </xf>
    <xf numFmtId="2" fontId="81" fillId="0" borderId="0" xfId="0" applyNumberFormat="1" applyFont="1" applyAlignment="1">
      <alignment vertical="center" wrapText="1"/>
    </xf>
    <xf numFmtId="2" fontId="81" fillId="0" borderId="0" xfId="0" applyNumberFormat="1" applyFont="1" applyAlignment="1">
      <alignment horizontal="center" vertical="center" wrapText="1"/>
    </xf>
    <xf numFmtId="0" fontId="81" fillId="0" borderId="0" xfId="0" applyFont="1" applyAlignment="1">
      <alignment horizontal="center" vertical="center" wrapText="1"/>
    </xf>
    <xf numFmtId="0" fontId="101" fillId="0" borderId="0" xfId="0" applyFont="1" applyAlignment="1">
      <alignment horizontal="center" vertical="center" wrapText="1"/>
    </xf>
    <xf numFmtId="2" fontId="81" fillId="36" borderId="0" xfId="0" applyNumberFormat="1" applyFont="1" applyFill="1" applyAlignment="1">
      <alignment horizontal="left" vertical="center" wrapText="1" indent="1"/>
    </xf>
    <xf numFmtId="49" fontId="57" fillId="0" borderId="55" xfId="19" applyNumberFormat="1" applyFont="1" applyBorder="1" applyAlignment="1">
      <alignment horizontal="left" vertical="center" indent="1"/>
    </xf>
    <xf numFmtId="0" fontId="59" fillId="0" borderId="55" xfId="19" applyFont="1" applyBorder="1" applyAlignment="1">
      <alignment vertical="center"/>
    </xf>
    <xf numFmtId="0" fontId="67" fillId="0" borderId="55" xfId="0" applyFont="1" applyBorder="1" applyAlignment="1">
      <alignment vertical="center"/>
    </xf>
    <xf numFmtId="0" fontId="57" fillId="0" borderId="0" xfId="28" applyFont="1"/>
    <xf numFmtId="1" fontId="57" fillId="0" borderId="0" xfId="28" applyNumberFormat="1" applyFont="1" applyAlignment="1">
      <alignment horizontal="center"/>
    </xf>
    <xf numFmtId="166" fontId="57" fillId="0" borderId="0" xfId="10" applyFont="1" applyAlignment="1">
      <alignment horizontal="left"/>
    </xf>
    <xf numFmtId="166" fontId="57" fillId="0" borderId="0" xfId="10" applyFont="1" applyAlignment="1">
      <alignment horizontal="center"/>
    </xf>
    <xf numFmtId="176" fontId="57" fillId="0" borderId="0" xfId="28" applyNumberFormat="1" applyFont="1" applyAlignment="1">
      <alignment horizontal="center"/>
    </xf>
    <xf numFmtId="3" fontId="57" fillId="0" borderId="0" xfId="28" applyNumberFormat="1" applyFont="1" applyAlignment="1">
      <alignment horizontal="center"/>
    </xf>
    <xf numFmtId="3" fontId="57" fillId="0" borderId="0" xfId="10" applyNumberFormat="1" applyFont="1" applyAlignment="1">
      <alignment horizontal="center"/>
    </xf>
    <xf numFmtId="3" fontId="57" fillId="0" borderId="0" xfId="10" applyNumberFormat="1" applyFont="1" applyAlignment="1">
      <alignment horizontal="right"/>
    </xf>
    <xf numFmtId="166" fontId="57" fillId="0" borderId="0" xfId="10" applyFont="1" applyAlignment="1">
      <alignment horizontal="right" wrapText="1"/>
    </xf>
    <xf numFmtId="166" fontId="57" fillId="0" borderId="0" xfId="10" applyFont="1" applyAlignment="1">
      <alignment horizontal="right"/>
    </xf>
    <xf numFmtId="49" fontId="61" fillId="0" borderId="0" xfId="19" applyNumberFormat="1" applyFont="1"/>
    <xf numFmtId="2" fontId="62" fillId="0" borderId="0" xfId="19" applyNumberFormat="1" applyFont="1"/>
    <xf numFmtId="0" fontId="60" fillId="0" borderId="0" xfId="19" applyFont="1" applyAlignment="1">
      <alignment horizontal="center"/>
    </xf>
    <xf numFmtId="0" fontId="60" fillId="0" borderId="0" xfId="19" applyFont="1"/>
    <xf numFmtId="2" fontId="64" fillId="0" borderId="0" xfId="19" applyNumberFormat="1" applyFont="1"/>
    <xf numFmtId="4" fontId="57" fillId="0" borderId="0" xfId="19" applyNumberFormat="1" applyFont="1" applyAlignment="1">
      <alignment horizontal="center"/>
    </xf>
    <xf numFmtId="4" fontId="57" fillId="0" borderId="0" xfId="19" applyNumberFormat="1" applyFont="1" applyAlignment="1">
      <alignment horizontal="right"/>
    </xf>
    <xf numFmtId="198" fontId="60" fillId="0" borderId="0" xfId="19" applyNumberFormat="1" applyFont="1" applyAlignment="1">
      <alignment horizontal="right" wrapText="1"/>
    </xf>
    <xf numFmtId="0" fontId="60" fillId="0" borderId="0" xfId="19" applyFont="1" applyAlignment="1">
      <alignment horizontal="right"/>
    </xf>
    <xf numFmtId="198" fontId="60" fillId="0" borderId="0" xfId="19" applyNumberFormat="1" applyFont="1"/>
    <xf numFmtId="1" fontId="64" fillId="0" borderId="0" xfId="19" applyNumberFormat="1" applyFont="1" applyAlignment="1">
      <alignment horizontal="left"/>
    </xf>
    <xf numFmtId="198" fontId="60" fillId="0" borderId="0" xfId="19" applyNumberFormat="1" applyFont="1" applyAlignment="1">
      <alignment horizontal="center"/>
    </xf>
    <xf numFmtId="0" fontId="57" fillId="0" borderId="0" xfId="0" applyFont="1" applyAlignment="1">
      <alignment vertical="top"/>
    </xf>
    <xf numFmtId="2" fontId="57" fillId="0" borderId="0" xfId="0" applyNumberFormat="1" applyFont="1" applyAlignment="1">
      <alignment vertical="top"/>
    </xf>
    <xf numFmtId="3" fontId="60" fillId="0" borderId="0" xfId="19" applyNumberFormat="1" applyFont="1" applyAlignment="1">
      <alignment horizontal="center"/>
    </xf>
    <xf numFmtId="191" fontId="64" fillId="0" borderId="0" xfId="19" applyNumberFormat="1" applyFont="1" applyAlignment="1">
      <alignment horizontal="left"/>
    </xf>
    <xf numFmtId="4" fontId="57" fillId="0" borderId="0" xfId="28" applyNumberFormat="1" applyFont="1" applyAlignment="1">
      <alignment horizontal="center"/>
    </xf>
    <xf numFmtId="3" fontId="60" fillId="0" borderId="0" xfId="19" applyNumberFormat="1" applyFont="1" applyAlignment="1">
      <alignment horizontal="right"/>
    </xf>
    <xf numFmtId="0" fontId="60" fillId="0" borderId="0" xfId="19" applyFont="1" applyAlignment="1">
      <alignment horizontal="right" wrapText="1"/>
    </xf>
    <xf numFmtId="2" fontId="66" fillId="0" borderId="0" xfId="19" applyNumberFormat="1" applyFont="1"/>
    <xf numFmtId="198" fontId="58" fillId="0" borderId="0" xfId="28" applyNumberFormat="1" applyFont="1" applyAlignment="1">
      <alignment horizontal="center"/>
    </xf>
    <xf numFmtId="176" fontId="60" fillId="0" borderId="0" xfId="19" applyNumberFormat="1" applyFont="1"/>
    <xf numFmtId="15" fontId="64" fillId="0" borderId="0" xfId="19" applyNumberFormat="1" applyFont="1" applyAlignment="1">
      <alignment horizontal="left"/>
    </xf>
    <xf numFmtId="0" fontId="57" fillId="0" borderId="0" xfId="28" applyFont="1" applyAlignment="1">
      <alignment horizontal="center"/>
    </xf>
    <xf numFmtId="2" fontId="57" fillId="0" borderId="0" xfId="28" applyNumberFormat="1" applyFont="1" applyAlignment="1">
      <alignment horizontal="center"/>
    </xf>
    <xf numFmtId="2" fontId="57" fillId="0" borderId="0" xfId="10" applyNumberFormat="1" applyFont="1" applyAlignment="1">
      <alignment horizontal="left"/>
    </xf>
    <xf numFmtId="2" fontId="57" fillId="0" borderId="0" xfId="10" applyNumberFormat="1" applyFont="1" applyAlignment="1">
      <alignment horizontal="center"/>
    </xf>
    <xf numFmtId="2" fontId="57" fillId="0" borderId="0" xfId="10" applyNumberFormat="1" applyFont="1" applyAlignment="1">
      <alignment horizontal="left" wrapText="1"/>
    </xf>
    <xf numFmtId="0" fontId="89" fillId="0" borderId="0" xfId="28" applyFont="1"/>
    <xf numFmtId="166" fontId="57" fillId="0" borderId="0" xfId="10" applyFont="1" applyFill="1" applyAlignment="1">
      <alignment horizontal="left"/>
    </xf>
    <xf numFmtId="166" fontId="57" fillId="0" borderId="0" xfId="10" applyFont="1" applyFill="1" applyAlignment="1">
      <alignment horizontal="center"/>
    </xf>
    <xf numFmtId="0" fontId="57" fillId="0" borderId="0" xfId="28" applyFont="1" applyAlignment="1">
      <alignment wrapText="1"/>
    </xf>
    <xf numFmtId="0" fontId="58" fillId="11" borderId="0" xfId="28" applyFont="1" applyFill="1" applyAlignment="1">
      <alignment horizontal="center" vertical="center"/>
    </xf>
    <xf numFmtId="3" fontId="57" fillId="0" borderId="0" xfId="10" applyNumberFormat="1" applyFont="1" applyFill="1" applyAlignment="1">
      <alignment horizontal="right"/>
    </xf>
    <xf numFmtId="181" fontId="92" fillId="0" borderId="0" xfId="28" applyNumberFormat="1" applyFont="1" applyAlignment="1">
      <alignment horizontal="center" vertical="center"/>
    </xf>
    <xf numFmtId="166" fontId="57" fillId="0" borderId="0" xfId="10" applyFont="1" applyFill="1" applyAlignment="1">
      <alignment horizontal="right" wrapText="1"/>
    </xf>
    <xf numFmtId="166" fontId="90" fillId="0" borderId="0" xfId="10" applyFont="1" applyAlignment="1">
      <alignment horizontal="center"/>
    </xf>
    <xf numFmtId="0" fontId="90" fillId="0" borderId="0" xfId="28" applyFont="1" applyAlignment="1">
      <alignment horizontal="center"/>
    </xf>
    <xf numFmtId="3" fontId="57" fillId="0" borderId="0" xfId="10" applyNumberFormat="1" applyFont="1" applyFill="1" applyAlignment="1">
      <alignment horizontal="center"/>
    </xf>
    <xf numFmtId="3" fontId="90" fillId="0" borderId="0" xfId="10" applyNumberFormat="1" applyFont="1" applyFill="1" applyAlignment="1">
      <alignment horizontal="right"/>
    </xf>
    <xf numFmtId="3" fontId="90" fillId="0" borderId="0" xfId="10" applyNumberFormat="1" applyFont="1" applyFill="1" applyAlignment="1">
      <alignment horizontal="center" wrapText="1"/>
    </xf>
    <xf numFmtId="0" fontId="58" fillId="0" borderId="0" xfId="0" applyFont="1"/>
    <xf numFmtId="0" fontId="57" fillId="0" borderId="0" xfId="0" applyFont="1"/>
    <xf numFmtId="3" fontId="90" fillId="0" borderId="0" xfId="28" applyNumberFormat="1" applyFont="1" applyAlignment="1">
      <alignment horizontal="center"/>
    </xf>
    <xf numFmtId="3" fontId="90" fillId="0" borderId="0" xfId="10" applyNumberFormat="1" applyFont="1" applyFill="1" applyAlignment="1">
      <alignment horizontal="center"/>
    </xf>
    <xf numFmtId="166" fontId="57" fillId="0" borderId="0" xfId="10" applyFont="1" applyFill="1" applyAlignment="1">
      <alignment horizontal="right"/>
    </xf>
    <xf numFmtId="166" fontId="90" fillId="0" borderId="0" xfId="10" applyFont="1" applyFill="1" applyAlignment="1">
      <alignment horizontal="right"/>
    </xf>
    <xf numFmtId="0" fontId="90" fillId="0" borderId="0" xfId="28" applyFont="1"/>
    <xf numFmtId="166" fontId="90" fillId="0" borderId="0" xfId="10" applyFont="1" applyFill="1" applyAlignment="1">
      <alignment horizontal="center"/>
    </xf>
    <xf numFmtId="166" fontId="90" fillId="0" borderId="0" xfId="10" applyFont="1" applyFill="1" applyAlignment="1">
      <alignment horizontal="right" wrapText="1"/>
    </xf>
    <xf numFmtId="0" fontId="72" fillId="36" borderId="0" xfId="0" applyFont="1" applyFill="1" applyAlignment="1">
      <alignment horizontal="center"/>
    </xf>
    <xf numFmtId="0" fontId="72" fillId="0" borderId="0" xfId="0" applyFont="1" applyAlignment="1">
      <alignment horizontal="center"/>
    </xf>
    <xf numFmtId="0" fontId="72" fillId="0" borderId="0" xfId="0" applyFont="1" applyAlignment="1">
      <alignment horizontal="left"/>
    </xf>
    <xf numFmtId="3" fontId="83" fillId="0" borderId="0" xfId="0" applyNumberFormat="1" applyFont="1" applyAlignment="1">
      <alignment horizontal="center"/>
    </xf>
    <xf numFmtId="3" fontId="72" fillId="0" borderId="0" xfId="0" applyNumberFormat="1" applyFont="1" applyAlignment="1">
      <alignment horizontal="center"/>
    </xf>
    <xf numFmtId="3" fontId="72" fillId="0" borderId="0" xfId="0" applyNumberFormat="1" applyFont="1" applyAlignment="1">
      <alignment horizontal="right"/>
    </xf>
    <xf numFmtId="175" fontId="72" fillId="0" borderId="0" xfId="0" applyNumberFormat="1" applyFont="1" applyAlignment="1">
      <alignment horizontal="center"/>
    </xf>
    <xf numFmtId="175" fontId="72" fillId="0" borderId="0" xfId="0" applyNumberFormat="1" applyFont="1" applyAlignment="1">
      <alignment horizontal="left" wrapText="1"/>
    </xf>
    <xf numFmtId="2" fontId="98" fillId="0" borderId="0" xfId="19" applyNumberFormat="1" applyFont="1"/>
    <xf numFmtId="2" fontId="104" fillId="0" borderId="0" xfId="19" applyNumberFormat="1" applyFont="1"/>
    <xf numFmtId="0" fontId="84" fillId="0" borderId="0" xfId="0" applyFont="1" applyAlignment="1">
      <alignment vertical="center"/>
    </xf>
    <xf numFmtId="173" fontId="81" fillId="35" borderId="0" xfId="0" applyNumberFormat="1" applyFont="1" applyFill="1" applyAlignment="1">
      <alignment horizontal="center" vertical="center" wrapText="1"/>
    </xf>
    <xf numFmtId="173" fontId="81" fillId="35" borderId="0" xfId="0" applyNumberFormat="1" applyFont="1" applyFill="1" applyAlignment="1">
      <alignment horizontal="left" vertical="center" wrapText="1"/>
    </xf>
    <xf numFmtId="2" fontId="81" fillId="35" borderId="0" xfId="10" applyNumberFormat="1" applyFont="1" applyFill="1" applyBorder="1" applyAlignment="1" applyProtection="1">
      <alignment horizontal="left" vertical="center" wrapText="1"/>
    </xf>
    <xf numFmtId="176" fontId="81" fillId="35" borderId="0" xfId="0" applyNumberFormat="1" applyFont="1" applyFill="1" applyAlignment="1">
      <alignment horizontal="center" vertical="center" wrapText="1"/>
    </xf>
    <xf numFmtId="3" fontId="81" fillId="35" borderId="0" xfId="0" applyNumberFormat="1" applyFont="1" applyFill="1" applyAlignment="1">
      <alignment horizontal="center" vertical="center" wrapText="1"/>
    </xf>
    <xf numFmtId="181" fontId="81" fillId="35" borderId="0" xfId="0" applyNumberFormat="1" applyFont="1" applyFill="1" applyAlignment="1">
      <alignment horizontal="center" vertical="center" wrapText="1"/>
    </xf>
    <xf numFmtId="175" fontId="81" fillId="35" borderId="0" xfId="0" applyNumberFormat="1" applyFont="1" applyFill="1" applyAlignment="1">
      <alignment horizontal="center" vertical="center" wrapText="1"/>
    </xf>
    <xf numFmtId="0" fontId="84" fillId="0" borderId="0" xfId="28" applyFont="1" applyAlignment="1">
      <alignment vertical="center"/>
    </xf>
    <xf numFmtId="0" fontId="105" fillId="0" borderId="0" xfId="19" applyFont="1"/>
    <xf numFmtId="181" fontId="90" fillId="0" borderId="0" xfId="10" applyNumberFormat="1" applyFont="1" applyFill="1" applyBorder="1" applyAlignment="1">
      <alignment horizontal="center" vertical="center"/>
    </xf>
    <xf numFmtId="181" fontId="90" fillId="0" borderId="0" xfId="10" applyNumberFormat="1" applyFont="1" applyFill="1" applyBorder="1" applyAlignment="1">
      <alignment horizontal="right" vertical="center"/>
    </xf>
    <xf numFmtId="10" fontId="90" fillId="0" borderId="0" xfId="0" applyNumberFormat="1" applyFont="1" applyAlignment="1">
      <alignment horizontal="center" vertical="center"/>
    </xf>
    <xf numFmtId="175" fontId="90" fillId="0" borderId="0" xfId="0" applyNumberFormat="1" applyFont="1" applyAlignment="1">
      <alignment horizontal="left" vertical="center" wrapText="1"/>
    </xf>
    <xf numFmtId="178" fontId="90" fillId="0" borderId="0" xfId="0" applyNumberFormat="1" applyFont="1" applyAlignment="1">
      <alignment horizontal="center" vertical="center"/>
    </xf>
    <xf numFmtId="176" fontId="57" fillId="0" borderId="0" xfId="0" applyNumberFormat="1" applyFont="1" applyAlignment="1">
      <alignment horizontal="center" vertical="center"/>
    </xf>
    <xf numFmtId="1" fontId="57" fillId="0" borderId="0" xfId="0" applyNumberFormat="1" applyFont="1" applyAlignment="1">
      <alignment horizontal="center" vertical="center"/>
    </xf>
    <xf numFmtId="2" fontId="90" fillId="0" borderId="0" xfId="0" applyNumberFormat="1" applyFont="1" applyAlignment="1">
      <alignment vertical="center"/>
    </xf>
    <xf numFmtId="0" fontId="90" fillId="0" borderId="0" xfId="0" applyFont="1" applyAlignment="1">
      <alignment horizontal="center" vertical="center" wrapText="1"/>
    </xf>
    <xf numFmtId="186" fontId="57" fillId="0" borderId="0" xfId="0" applyNumberFormat="1" applyFont="1" applyAlignment="1">
      <alignment horizontal="center" vertical="center"/>
    </xf>
    <xf numFmtId="1" fontId="57" fillId="0" borderId="0" xfId="28" applyNumberFormat="1" applyFont="1" applyAlignment="1">
      <alignment horizontal="center" vertical="center"/>
    </xf>
    <xf numFmtId="0" fontId="90" fillId="0" borderId="0" xfId="10" applyNumberFormat="1" applyFont="1" applyFill="1" applyBorder="1" applyAlignment="1">
      <alignment horizontal="left" vertical="center"/>
    </xf>
    <xf numFmtId="0" fontId="90" fillId="0" borderId="0" xfId="10" applyNumberFormat="1" applyFont="1" applyFill="1" applyBorder="1" applyAlignment="1">
      <alignment horizontal="center" vertical="center" wrapText="1"/>
    </xf>
    <xf numFmtId="176" fontId="90" fillId="0" borderId="0" xfId="0" applyNumberFormat="1" applyFont="1" applyAlignment="1">
      <alignment horizontal="center" vertical="center"/>
    </xf>
    <xf numFmtId="3" fontId="90" fillId="0" borderId="0" xfId="0" applyNumberFormat="1" applyFont="1" applyAlignment="1">
      <alignment horizontal="center" vertical="center"/>
    </xf>
    <xf numFmtId="174" fontId="103" fillId="36" borderId="0" xfId="0" applyNumberFormat="1" applyFont="1" applyFill="1" applyAlignment="1">
      <alignment horizontal="center"/>
    </xf>
    <xf numFmtId="0" fontId="57" fillId="0" borderId="55" xfId="28" applyFont="1" applyBorder="1" applyAlignment="1">
      <alignment horizontal="center"/>
    </xf>
    <xf numFmtId="1" fontId="57" fillId="0" borderId="55" xfId="28" applyNumberFormat="1" applyFont="1" applyBorder="1" applyAlignment="1">
      <alignment horizontal="center"/>
    </xf>
    <xf numFmtId="166" fontId="57" fillId="0" borderId="55" xfId="10" applyFont="1" applyFill="1" applyBorder="1" applyAlignment="1">
      <alignment horizontal="left"/>
    </xf>
    <xf numFmtId="166" fontId="57" fillId="0" borderId="55" xfId="10" applyFont="1" applyFill="1" applyBorder="1" applyAlignment="1">
      <alignment horizontal="center"/>
    </xf>
    <xf numFmtId="176" fontId="57" fillId="0" borderId="55" xfId="28" applyNumberFormat="1" applyFont="1" applyBorder="1" applyAlignment="1">
      <alignment horizontal="center"/>
    </xf>
    <xf numFmtId="3" fontId="57" fillId="0" borderId="55" xfId="28" applyNumberFormat="1" applyFont="1" applyBorder="1" applyAlignment="1">
      <alignment horizontal="center"/>
    </xf>
    <xf numFmtId="3" fontId="57" fillId="0" borderId="55" xfId="10" applyNumberFormat="1" applyFont="1" applyFill="1" applyBorder="1" applyAlignment="1">
      <alignment horizontal="center"/>
    </xf>
    <xf numFmtId="3" fontId="57" fillId="0" borderId="55" xfId="10" applyNumberFormat="1" applyFont="1" applyFill="1" applyBorder="1" applyAlignment="1">
      <alignment horizontal="right"/>
    </xf>
    <xf numFmtId="166" fontId="57" fillId="0" borderId="55" xfId="10" applyFont="1" applyFill="1" applyBorder="1" applyAlignment="1">
      <alignment horizontal="right" wrapText="1"/>
    </xf>
    <xf numFmtId="166" fontId="57" fillId="0" borderId="55" xfId="10" applyFont="1" applyFill="1" applyBorder="1" applyAlignment="1">
      <alignment horizontal="right"/>
    </xf>
    <xf numFmtId="9" fontId="92" fillId="11" borderId="41" xfId="26" applyFont="1" applyFill="1" applyBorder="1" applyAlignment="1" applyProtection="1">
      <alignment horizontal="center" vertical="center"/>
    </xf>
    <xf numFmtId="49" fontId="61" fillId="0" borderId="0" xfId="19" applyNumberFormat="1" applyFont="1" applyAlignment="1">
      <alignment horizontal="left" indent="1"/>
    </xf>
    <xf numFmtId="0" fontId="57" fillId="0" borderId="0" xfId="0" applyFont="1" applyAlignment="1">
      <alignment horizontal="center"/>
    </xf>
    <xf numFmtId="193" fontId="57" fillId="0" borderId="0" xfId="0" applyNumberFormat="1" applyFont="1" applyAlignment="1">
      <alignment horizontal="center"/>
    </xf>
    <xf numFmtId="2" fontId="82" fillId="0" borderId="0" xfId="0" applyNumberFormat="1" applyFont="1"/>
    <xf numFmtId="2" fontId="58" fillId="0" borderId="0" xfId="0" applyNumberFormat="1" applyFont="1" applyAlignment="1">
      <alignment horizontal="center"/>
    </xf>
    <xf numFmtId="0" fontId="58" fillId="0" borderId="0" xfId="0" applyFont="1" applyAlignment="1">
      <alignment horizontal="center"/>
    </xf>
    <xf numFmtId="2" fontId="58" fillId="0" borderId="0" xfId="0" applyNumberFormat="1" applyFont="1"/>
    <xf numFmtId="0" fontId="92" fillId="0" borderId="0" xfId="0" applyFont="1"/>
    <xf numFmtId="181" fontId="58" fillId="0" borderId="0" xfId="0" applyNumberFormat="1" applyFont="1" applyAlignment="1">
      <alignment horizontal="center"/>
    </xf>
    <xf numFmtId="178" fontId="58" fillId="0" borderId="0" xfId="0" applyNumberFormat="1" applyFont="1" applyAlignment="1">
      <alignment horizontal="center"/>
    </xf>
    <xf numFmtId="2" fontId="58" fillId="0" borderId="0" xfId="10" applyNumberFormat="1" applyFont="1" applyFill="1" applyAlignment="1">
      <alignment horizontal="center"/>
    </xf>
    <xf numFmtId="2" fontId="67" fillId="0" borderId="0" xfId="26" applyNumberFormat="1" applyFont="1" applyFill="1" applyAlignment="1">
      <alignment horizontal="center"/>
    </xf>
    <xf numFmtId="166" fontId="58" fillId="0" borderId="0" xfId="10" applyFont="1" applyFill="1" applyAlignment="1"/>
    <xf numFmtId="166" fontId="58" fillId="0" borderId="0" xfId="10" applyFont="1" applyFill="1" applyAlignment="1">
      <alignment horizontal="center"/>
    </xf>
    <xf numFmtId="2" fontId="61" fillId="0" borderId="0" xfId="19" applyNumberFormat="1" applyFont="1"/>
    <xf numFmtId="2" fontId="62" fillId="0" borderId="0" xfId="0" applyNumberFormat="1" applyFont="1" applyAlignment="1">
      <alignment horizontal="center"/>
    </xf>
    <xf numFmtId="0" fontId="60" fillId="0" borderId="0" xfId="0" applyFont="1"/>
    <xf numFmtId="2" fontId="57" fillId="0" borderId="0" xfId="0" applyNumberFormat="1" applyFont="1"/>
    <xf numFmtId="1" fontId="58" fillId="0" borderId="0" xfId="0" applyNumberFormat="1" applyFont="1" applyAlignment="1">
      <alignment horizontal="left"/>
    </xf>
    <xf numFmtId="2" fontId="58" fillId="0" borderId="0" xfId="0" applyNumberFormat="1" applyFont="1" applyAlignment="1">
      <alignment horizontal="right"/>
    </xf>
    <xf numFmtId="0" fontId="90" fillId="0" borderId="0" xfId="0" applyFont="1"/>
    <xf numFmtId="181" fontId="67" fillId="0" borderId="0" xfId="0" applyNumberFormat="1" applyFont="1" applyAlignment="1">
      <alignment horizontal="center"/>
    </xf>
    <xf numFmtId="181" fontId="57" fillId="0" borderId="0" xfId="0" applyNumberFormat="1" applyFont="1" applyAlignment="1">
      <alignment horizontal="center"/>
    </xf>
    <xf numFmtId="178" fontId="57" fillId="0" borderId="0" xfId="0" applyNumberFormat="1" applyFont="1" applyAlignment="1">
      <alignment horizontal="center"/>
    </xf>
    <xf numFmtId="2" fontId="57" fillId="0" borderId="0" xfId="0" applyNumberFormat="1" applyFont="1" applyAlignment="1">
      <alignment horizontal="center"/>
    </xf>
    <xf numFmtId="192" fontId="107" fillId="0" borderId="0" xfId="19" applyNumberFormat="1" applyFont="1" applyAlignment="1">
      <alignment horizontal="left"/>
    </xf>
    <xf numFmtId="2" fontId="57" fillId="0" borderId="0" xfId="10" applyNumberFormat="1" applyFont="1" applyFill="1" applyBorder="1" applyAlignment="1">
      <alignment horizontal="center" vertical="center"/>
    </xf>
    <xf numFmtId="192" fontId="108" fillId="0" borderId="0" xfId="19" applyNumberFormat="1" applyFont="1"/>
    <xf numFmtId="0" fontId="90" fillId="0" borderId="51" xfId="0" applyFont="1" applyBorder="1" applyAlignment="1">
      <alignment vertical="center"/>
    </xf>
    <xf numFmtId="0" fontId="90" fillId="0" borderId="51" xfId="0" applyFont="1" applyBorder="1" applyAlignment="1">
      <alignment horizontal="center" vertical="center"/>
    </xf>
    <xf numFmtId="199" fontId="90" fillId="0" borderId="51" xfId="0" applyNumberFormat="1" applyFont="1" applyBorder="1" applyAlignment="1">
      <alignment horizontal="center" vertical="center"/>
    </xf>
    <xf numFmtId="0" fontId="90" fillId="0" borderId="51" xfId="10" applyNumberFormat="1" applyFont="1" applyFill="1" applyBorder="1" applyAlignment="1">
      <alignment vertical="center"/>
    </xf>
    <xf numFmtId="181" fontId="90" fillId="0" borderId="51" xfId="0" applyNumberFormat="1" applyFont="1" applyBorder="1" applyAlignment="1">
      <alignment horizontal="center" vertical="center"/>
    </xf>
    <xf numFmtId="178" fontId="90" fillId="0" borderId="51" xfId="0" applyNumberFormat="1" applyFont="1" applyBorder="1" applyAlignment="1">
      <alignment horizontal="center" vertical="center"/>
    </xf>
    <xf numFmtId="1" fontId="90" fillId="0" borderId="51" xfId="0" applyNumberFormat="1" applyFont="1" applyBorder="1" applyAlignment="1">
      <alignment horizontal="center" vertical="center"/>
    </xf>
    <xf numFmtId="176" fontId="57" fillId="0" borderId="52" xfId="10" applyNumberFormat="1" applyFont="1" applyFill="1" applyBorder="1" applyAlignment="1">
      <alignment horizontal="center" vertical="center"/>
    </xf>
    <xf numFmtId="2" fontId="57" fillId="0" borderId="51" xfId="10" applyNumberFormat="1" applyFont="1" applyFill="1" applyBorder="1" applyAlignment="1">
      <alignment horizontal="center" vertical="center"/>
    </xf>
    <xf numFmtId="0" fontId="57" fillId="0" borderId="18" xfId="10" applyNumberFormat="1" applyFont="1" applyFill="1" applyBorder="1" applyAlignment="1">
      <alignment horizontal="left" vertical="center"/>
    </xf>
    <xf numFmtId="185" fontId="57" fillId="0" borderId="53" xfId="0" applyNumberFormat="1" applyFont="1" applyBorder="1" applyAlignment="1">
      <alignment horizontal="center" vertical="center"/>
    </xf>
    <xf numFmtId="193" fontId="57" fillId="0" borderId="0" xfId="0" applyNumberFormat="1" applyFont="1"/>
    <xf numFmtId="0" fontId="67" fillId="0" borderId="0" xfId="0" applyFont="1"/>
    <xf numFmtId="199" fontId="57" fillId="0" borderId="0" xfId="0" applyNumberFormat="1" applyFont="1" applyAlignment="1">
      <alignment horizontal="center"/>
    </xf>
    <xf numFmtId="1" fontId="57" fillId="0" borderId="0" xfId="0" applyNumberFormat="1" applyFont="1" applyAlignment="1">
      <alignment horizontal="left"/>
    </xf>
    <xf numFmtId="0" fontId="80" fillId="0" borderId="0" xfId="0" applyFont="1" applyAlignment="1">
      <alignment horizontal="center" vertical="center"/>
    </xf>
    <xf numFmtId="193" fontId="81" fillId="35" borderId="0" xfId="0" applyNumberFormat="1" applyFont="1" applyFill="1" applyAlignment="1">
      <alignment horizontal="center" vertical="center" wrapText="1"/>
    </xf>
    <xf numFmtId="199" fontId="81" fillId="35" borderId="0" xfId="0" applyNumberFormat="1" applyFont="1" applyFill="1" applyAlignment="1">
      <alignment horizontal="center" vertical="center" wrapText="1"/>
    </xf>
    <xf numFmtId="0" fontId="81" fillId="35" borderId="0" xfId="0" applyFont="1" applyFill="1" applyAlignment="1">
      <alignment vertical="center" wrapText="1"/>
    </xf>
    <xf numFmtId="178" fontId="81" fillId="35" borderId="0" xfId="0" applyNumberFormat="1" applyFont="1" applyFill="1" applyAlignment="1">
      <alignment horizontal="center" vertical="center" wrapText="1"/>
    </xf>
    <xf numFmtId="166" fontId="81" fillId="35" borderId="0" xfId="10" applyFont="1" applyFill="1" applyBorder="1" applyAlignment="1">
      <alignment horizontal="center" vertical="center" wrapText="1"/>
    </xf>
    <xf numFmtId="2" fontId="81" fillId="35" borderId="0" xfId="10" applyNumberFormat="1" applyFont="1" applyFill="1" applyBorder="1" applyAlignment="1">
      <alignment horizontal="center" vertical="center" wrapText="1"/>
    </xf>
    <xf numFmtId="182" fontId="81" fillId="35" borderId="0" xfId="10" applyNumberFormat="1" applyFont="1" applyFill="1" applyBorder="1" applyAlignment="1">
      <alignment horizontal="center" vertical="center" wrapText="1"/>
    </xf>
    <xf numFmtId="1" fontId="81" fillId="35" borderId="0" xfId="0" applyNumberFormat="1" applyFont="1" applyFill="1" applyAlignment="1">
      <alignment horizontal="left" vertical="center" wrapText="1"/>
    </xf>
    <xf numFmtId="0" fontId="80" fillId="0" borderId="0" xfId="0" applyFont="1" applyAlignment="1">
      <alignment vertical="center"/>
    </xf>
    <xf numFmtId="199" fontId="81" fillId="0" borderId="0" xfId="0" applyNumberFormat="1" applyFont="1" applyAlignment="1">
      <alignment horizontal="center" vertical="center" wrapText="1"/>
    </xf>
    <xf numFmtId="0" fontId="81" fillId="0" borderId="0" xfId="0" applyFont="1" applyAlignment="1">
      <alignment vertical="center" wrapText="1"/>
    </xf>
    <xf numFmtId="181" fontId="81" fillId="0" borderId="0" xfId="0" applyNumberFormat="1" applyFont="1" applyAlignment="1">
      <alignment horizontal="center" vertical="center" wrapText="1"/>
    </xf>
    <xf numFmtId="178" fontId="81" fillId="0" borderId="0" xfId="0" applyNumberFormat="1" applyFont="1" applyAlignment="1">
      <alignment horizontal="center" vertical="center" wrapText="1"/>
    </xf>
    <xf numFmtId="166" fontId="81" fillId="0" borderId="0" xfId="10" applyFont="1" applyFill="1" applyBorder="1" applyAlignment="1">
      <alignment horizontal="center" vertical="center" wrapText="1"/>
    </xf>
    <xf numFmtId="2" fontId="81" fillId="0" borderId="0" xfId="10" applyNumberFormat="1" applyFont="1" applyFill="1" applyBorder="1" applyAlignment="1">
      <alignment horizontal="center" vertical="center" wrapText="1"/>
    </xf>
    <xf numFmtId="182" fontId="81" fillId="0" borderId="0" xfId="10" applyNumberFormat="1" applyFont="1" applyFill="1" applyBorder="1" applyAlignment="1">
      <alignment horizontal="center" vertical="center" wrapText="1"/>
    </xf>
    <xf numFmtId="1" fontId="81" fillId="0" borderId="0" xfId="0" applyNumberFormat="1" applyFont="1" applyAlignment="1">
      <alignment horizontal="left" vertical="center" wrapText="1"/>
    </xf>
    <xf numFmtId="0" fontId="81" fillId="36" borderId="0" xfId="0" applyFont="1" applyFill="1" applyAlignment="1">
      <alignment horizontal="center" vertical="center" wrapText="1"/>
    </xf>
    <xf numFmtId="193" fontId="81" fillId="36" borderId="0" xfId="0" applyNumberFormat="1" applyFont="1" applyFill="1" applyAlignment="1">
      <alignment horizontal="center" vertical="center" wrapText="1"/>
    </xf>
    <xf numFmtId="2" fontId="81" fillId="36" borderId="0" xfId="0" applyNumberFormat="1" applyFont="1" applyFill="1" applyAlignment="1">
      <alignment vertical="center" wrapText="1"/>
    </xf>
    <xf numFmtId="0" fontId="57" fillId="0" borderId="58" xfId="0" applyFont="1" applyBorder="1" applyAlignment="1">
      <alignment horizontal="center" vertical="center"/>
    </xf>
    <xf numFmtId="193" fontId="57" fillId="0" borderId="58" xfId="0" applyNumberFormat="1" applyFont="1" applyBorder="1" applyAlignment="1">
      <alignment horizontal="center" vertical="center"/>
    </xf>
    <xf numFmtId="2" fontId="64" fillId="0" borderId="0" xfId="19" applyNumberFormat="1" applyFont="1" applyAlignment="1">
      <alignment horizontal="left"/>
    </xf>
    <xf numFmtId="0" fontId="98" fillId="0" borderId="0" xfId="19" applyFont="1" applyAlignment="1">
      <alignment horizontal="left"/>
    </xf>
    <xf numFmtId="2" fontId="104" fillId="0" borderId="0" xfId="19" applyNumberFormat="1" applyFont="1" applyAlignment="1">
      <alignment horizontal="left"/>
    </xf>
    <xf numFmtId="0" fontId="57" fillId="0" borderId="0" xfId="3327" applyFont="1" applyAlignment="1">
      <alignment vertical="center"/>
    </xf>
    <xf numFmtId="0" fontId="58" fillId="0" borderId="0" xfId="3327" applyFont="1" applyAlignment="1">
      <alignment horizontal="right" vertical="center"/>
    </xf>
    <xf numFmtId="0" fontId="58" fillId="0" borderId="0" xfId="3327" applyFont="1" applyAlignment="1">
      <alignment vertical="center"/>
    </xf>
    <xf numFmtId="49" fontId="61" fillId="0" borderId="0" xfId="19" applyNumberFormat="1" applyFont="1" applyAlignment="1">
      <alignment vertical="center"/>
    </xf>
    <xf numFmtId="0" fontId="57" fillId="0" borderId="0" xfId="20" applyFont="1" applyAlignment="1">
      <alignment vertical="center"/>
    </xf>
    <xf numFmtId="0" fontId="57" fillId="0" borderId="0" xfId="23" applyFont="1" applyAlignment="1" applyProtection="1">
      <alignment vertical="center"/>
      <protection hidden="1"/>
    </xf>
    <xf numFmtId="200" fontId="109" fillId="0" borderId="0" xfId="19" applyNumberFormat="1" applyFont="1" applyAlignment="1">
      <alignment vertical="center" wrapText="1"/>
    </xf>
    <xf numFmtId="0" fontId="57" fillId="0" borderId="0" xfId="3327" applyFont="1" applyAlignment="1">
      <alignment vertical="center" wrapText="1"/>
    </xf>
    <xf numFmtId="0" fontId="57" fillId="0" borderId="0" xfId="3327" applyFont="1" applyAlignment="1">
      <alignment horizontal="center" vertical="center" wrapText="1"/>
    </xf>
    <xf numFmtId="0" fontId="58" fillId="0" borderId="0" xfId="20" applyFont="1" applyAlignment="1">
      <alignment horizontal="center" vertical="center"/>
    </xf>
    <xf numFmtId="2" fontId="57" fillId="0" borderId="0" xfId="3327" applyNumberFormat="1" applyFont="1" applyAlignment="1">
      <alignment vertical="center"/>
    </xf>
    <xf numFmtId="2" fontId="57" fillId="0" borderId="0" xfId="23" applyNumberFormat="1" applyFont="1" applyAlignment="1" applyProtection="1">
      <alignment vertical="center"/>
      <protection hidden="1"/>
    </xf>
    <xf numFmtId="0" fontId="58" fillId="0" borderId="0" xfId="23" applyFont="1" applyAlignment="1" applyProtection="1">
      <alignment horizontal="center" vertical="center"/>
      <protection hidden="1"/>
    </xf>
    <xf numFmtId="2" fontId="58" fillId="0" borderId="0" xfId="20" applyNumberFormat="1" applyFont="1" applyAlignment="1">
      <alignment horizontal="center" vertical="center"/>
    </xf>
    <xf numFmtId="2" fontId="58" fillId="0" borderId="0" xfId="3327" applyNumberFormat="1" applyFont="1" applyAlignment="1">
      <alignment horizontal="center" vertical="center"/>
    </xf>
    <xf numFmtId="2" fontId="110" fillId="0" borderId="0" xfId="19" applyNumberFormat="1" applyFont="1" applyAlignment="1">
      <alignment horizontal="center" vertical="center"/>
    </xf>
    <xf numFmtId="15" fontId="61" fillId="0" borderId="0" xfId="19" applyNumberFormat="1" applyFont="1" applyAlignment="1">
      <alignment horizontal="left" vertical="center"/>
    </xf>
    <xf numFmtId="2" fontId="74" fillId="0" borderId="0" xfId="18" applyNumberFormat="1" applyFont="1" applyAlignment="1" applyProtection="1">
      <alignment vertical="center"/>
      <protection hidden="1"/>
    </xf>
    <xf numFmtId="0" fontId="109" fillId="0" borderId="0" xfId="0" applyFont="1" applyAlignment="1">
      <alignment horizontal="center" vertical="center"/>
    </xf>
    <xf numFmtId="2" fontId="74" fillId="0" borderId="0" xfId="18" applyNumberFormat="1" applyFont="1" applyAlignment="1" applyProtection="1">
      <alignment vertical="center" wrapText="1"/>
      <protection hidden="1"/>
    </xf>
    <xf numFmtId="0" fontId="58" fillId="0" borderId="0" xfId="23" applyFont="1" applyAlignment="1" applyProtection="1">
      <alignment horizontal="center" vertical="center" wrapText="1"/>
      <protection hidden="1"/>
    </xf>
    <xf numFmtId="0" fontId="109" fillId="0" borderId="0" xfId="0" applyFont="1" applyAlignment="1">
      <alignment horizontal="center" vertical="center" wrapText="1"/>
    </xf>
    <xf numFmtId="0" fontId="67" fillId="0" borderId="0" xfId="0" applyFont="1" applyAlignment="1">
      <alignment horizontal="center" vertical="center" wrapText="1"/>
    </xf>
    <xf numFmtId="0" fontId="93" fillId="0" borderId="0" xfId="3327" applyFont="1" applyAlignment="1">
      <alignment vertical="center" wrapText="1"/>
    </xf>
    <xf numFmtId="0" fontId="112" fillId="0" borderId="0" xfId="23" applyFont="1" applyAlignment="1" applyProtection="1">
      <alignment vertical="center"/>
      <protection hidden="1"/>
    </xf>
    <xf numFmtId="0" fontId="113" fillId="0" borderId="0" xfId="0" applyFont="1" applyAlignment="1">
      <alignment horizontal="center" vertical="center"/>
    </xf>
    <xf numFmtId="0" fontId="112" fillId="0" borderId="0" xfId="3327" applyFont="1" applyAlignment="1">
      <alignment vertical="center"/>
    </xf>
    <xf numFmtId="0" fontId="72" fillId="0" borderId="0" xfId="0" applyFont="1" applyAlignment="1">
      <alignment horizontal="center" vertical="center"/>
    </xf>
    <xf numFmtId="0" fontId="114" fillId="32" borderId="0" xfId="0" applyFont="1" applyFill="1" applyAlignment="1">
      <alignment horizontal="center" vertical="center"/>
    </xf>
    <xf numFmtId="0" fontId="93" fillId="0" borderId="0" xfId="3327" applyFont="1" applyAlignment="1">
      <alignment vertical="center"/>
    </xf>
    <xf numFmtId="2" fontId="68" fillId="0" borderId="0" xfId="23" applyNumberFormat="1" applyFont="1" applyAlignment="1" applyProtection="1">
      <alignment horizontal="left" vertical="center"/>
      <protection hidden="1"/>
    </xf>
    <xf numFmtId="2" fontId="58" fillId="0" borderId="0" xfId="18" applyNumberFormat="1" applyFont="1" applyAlignment="1" applyProtection="1">
      <alignment horizontal="center" vertical="center"/>
      <protection hidden="1"/>
    </xf>
    <xf numFmtId="2" fontId="57" fillId="0" borderId="0" xfId="18" applyNumberFormat="1" applyFont="1" applyAlignment="1" applyProtection="1">
      <alignment vertical="center"/>
      <protection hidden="1"/>
    </xf>
    <xf numFmtId="0" fontId="58" fillId="0" borderId="0" xfId="23" applyFont="1" applyAlignment="1" applyProtection="1">
      <alignment horizontal="right" vertical="center"/>
      <protection hidden="1"/>
    </xf>
    <xf numFmtId="2" fontId="67" fillId="0" borderId="0" xfId="23" applyNumberFormat="1" applyFont="1" applyAlignment="1" applyProtection="1">
      <alignment horizontal="right" vertical="center"/>
      <protection hidden="1"/>
    </xf>
    <xf numFmtId="183" fontId="57" fillId="0" borderId="0" xfId="18" applyNumberFormat="1" applyFont="1" applyAlignment="1" applyProtection="1">
      <alignment vertical="center"/>
      <protection hidden="1"/>
    </xf>
    <xf numFmtId="2" fontId="82" fillId="0" borderId="0" xfId="23" applyNumberFormat="1" applyFont="1" applyAlignment="1" applyProtection="1">
      <alignment horizontal="right" vertical="center"/>
      <protection hidden="1"/>
    </xf>
    <xf numFmtId="2" fontId="89" fillId="0" borderId="0" xfId="18" applyNumberFormat="1" applyFont="1" applyAlignment="1" applyProtection="1">
      <alignment vertical="center"/>
      <protection hidden="1"/>
    </xf>
    <xf numFmtId="0" fontId="57" fillId="0" borderId="0" xfId="18" applyFont="1" applyAlignment="1" applyProtection="1">
      <alignment vertical="center"/>
      <protection hidden="1"/>
    </xf>
    <xf numFmtId="0" fontId="115" fillId="0" borderId="0" xfId="0" applyFont="1" applyAlignment="1">
      <alignment horizontal="center" vertical="center"/>
    </xf>
    <xf numFmtId="0" fontId="106" fillId="0" borderId="0" xfId="0" applyFont="1" applyAlignment="1">
      <alignment horizontal="center" vertical="center"/>
    </xf>
    <xf numFmtId="2" fontId="57" fillId="0" borderId="0" xfId="23" applyNumberFormat="1" applyFont="1" applyAlignment="1" applyProtection="1">
      <alignment horizontal="right" vertical="center"/>
      <protection hidden="1"/>
    </xf>
    <xf numFmtId="0" fontId="58" fillId="0" borderId="0" xfId="18" applyFont="1" applyAlignment="1" applyProtection="1">
      <alignment vertical="center"/>
      <protection hidden="1"/>
    </xf>
    <xf numFmtId="0" fontId="57" fillId="0" borderId="0" xfId="23" applyFont="1" applyAlignment="1" applyProtection="1">
      <alignment horizontal="right" vertical="center"/>
      <protection hidden="1"/>
    </xf>
    <xf numFmtId="183" fontId="67" fillId="0" borderId="0" xfId="0" applyNumberFormat="1" applyFont="1" applyAlignment="1">
      <alignment horizontal="center" vertical="center"/>
    </xf>
    <xf numFmtId="4" fontId="57" fillId="0" borderId="0" xfId="3" applyNumberFormat="1" applyFont="1" applyAlignment="1" applyProtection="1">
      <alignment horizontal="center" vertical="center"/>
      <protection locked="0"/>
    </xf>
    <xf numFmtId="0" fontId="57" fillId="0" borderId="0" xfId="3327" applyFont="1"/>
    <xf numFmtId="0" fontId="116" fillId="0" borderId="0" xfId="23" applyFont="1" applyAlignment="1" applyProtection="1">
      <alignment horizontal="right" vertical="center"/>
      <protection hidden="1"/>
    </xf>
    <xf numFmtId="4" fontId="89" fillId="0" borderId="0" xfId="3" applyNumberFormat="1" applyFont="1" applyAlignment="1" applyProtection="1">
      <alignment horizontal="center" vertical="center"/>
      <protection locked="0"/>
    </xf>
    <xf numFmtId="4" fontId="58" fillId="0" borderId="0" xfId="3" applyNumberFormat="1" applyFont="1" applyAlignment="1" applyProtection="1">
      <alignment horizontal="center" vertical="center"/>
      <protection hidden="1"/>
    </xf>
    <xf numFmtId="0" fontId="117" fillId="0" borderId="0" xfId="0" applyFont="1" applyAlignment="1">
      <alignment horizontal="center" vertical="center"/>
    </xf>
    <xf numFmtId="183" fontId="57" fillId="0" borderId="0" xfId="18" applyNumberFormat="1" applyFont="1" applyAlignment="1" applyProtection="1">
      <alignment horizontal="center" vertical="center"/>
      <protection hidden="1"/>
    </xf>
    <xf numFmtId="0" fontId="86" fillId="0" borderId="0" xfId="23" applyFont="1" applyAlignment="1" applyProtection="1">
      <alignment horizontal="right" vertical="center"/>
      <protection hidden="1"/>
    </xf>
    <xf numFmtId="4" fontId="86" fillId="0" borderId="0" xfId="3" applyNumberFormat="1" applyFont="1" applyAlignment="1" applyProtection="1">
      <alignment horizontal="center" vertical="center"/>
      <protection locked="0"/>
    </xf>
    <xf numFmtId="2" fontId="74" fillId="0" borderId="0" xfId="18" applyNumberFormat="1" applyFont="1" applyAlignment="1" applyProtection="1">
      <alignment horizontal="center" vertical="center"/>
      <protection hidden="1"/>
    </xf>
    <xf numFmtId="183" fontId="117" fillId="0" borderId="0" xfId="0" applyNumberFormat="1" applyFont="1" applyAlignment="1">
      <alignment horizontal="center" vertical="center"/>
    </xf>
    <xf numFmtId="2" fontId="57" fillId="0" borderId="0" xfId="18" applyNumberFormat="1" applyFont="1" applyAlignment="1" applyProtection="1">
      <alignment horizontal="center" vertical="center"/>
      <protection hidden="1"/>
    </xf>
    <xf numFmtId="183" fontId="115" fillId="0" borderId="0" xfId="0" applyNumberFormat="1" applyFont="1" applyAlignment="1">
      <alignment horizontal="center" vertical="center"/>
    </xf>
    <xf numFmtId="0" fontId="106" fillId="0" borderId="0" xfId="3327" applyFont="1" applyAlignment="1">
      <alignment horizontal="right" vertical="center"/>
    </xf>
    <xf numFmtId="0" fontId="89" fillId="0" borderId="0" xfId="23" applyFont="1" applyAlignment="1" applyProtection="1">
      <alignment horizontal="left" vertical="center"/>
      <protection hidden="1"/>
    </xf>
    <xf numFmtId="10" fontId="58" fillId="0" borderId="0" xfId="2517" applyNumberFormat="1" applyFont="1" applyAlignment="1" applyProtection="1">
      <alignment horizontal="right" vertical="center"/>
      <protection hidden="1"/>
    </xf>
    <xf numFmtId="183" fontId="58" fillId="0" borderId="0" xfId="2517" applyNumberFormat="1" applyFont="1" applyAlignment="1">
      <alignment vertical="center"/>
    </xf>
    <xf numFmtId="0" fontId="58" fillId="0" borderId="0" xfId="23" applyFont="1" applyAlignment="1" applyProtection="1">
      <alignment vertical="center"/>
      <protection hidden="1"/>
    </xf>
    <xf numFmtId="10" fontId="58" fillId="0" borderId="0" xfId="2517" applyNumberFormat="1" applyFont="1" applyAlignment="1">
      <alignment vertical="center"/>
    </xf>
    <xf numFmtId="0" fontId="68" fillId="0" borderId="0" xfId="23" applyFont="1" applyAlignment="1" applyProtection="1">
      <alignment horizontal="center" vertical="center"/>
      <protection hidden="1"/>
    </xf>
    <xf numFmtId="9" fontId="74" fillId="0" borderId="0" xfId="23" applyNumberFormat="1" applyFont="1" applyAlignment="1" applyProtection="1">
      <alignment vertical="center"/>
      <protection hidden="1"/>
    </xf>
    <xf numFmtId="10" fontId="115" fillId="0" borderId="0" xfId="2517" applyNumberFormat="1" applyFont="1" applyAlignment="1">
      <alignment horizontal="center" vertical="center"/>
    </xf>
    <xf numFmtId="0" fontId="58" fillId="0" borderId="0" xfId="23" applyFont="1" applyAlignment="1" applyProtection="1">
      <alignment horizontal="left" vertical="center"/>
      <protection hidden="1"/>
    </xf>
    <xf numFmtId="0" fontId="57" fillId="0" borderId="0" xfId="23" applyFont="1" applyAlignment="1" applyProtection="1">
      <alignment horizontal="left" vertical="center"/>
      <protection hidden="1"/>
    </xf>
    <xf numFmtId="1" fontId="58" fillId="0" borderId="0" xfId="23" applyNumberFormat="1" applyFont="1" applyAlignment="1" applyProtection="1">
      <alignment horizontal="left" vertical="center"/>
      <protection hidden="1"/>
    </xf>
    <xf numFmtId="1" fontId="57" fillId="0" borderId="0" xfId="23" applyNumberFormat="1" applyFont="1" applyAlignment="1" applyProtection="1">
      <alignment vertical="center"/>
      <protection hidden="1"/>
    </xf>
    <xf numFmtId="180" fontId="57" fillId="0" borderId="0" xfId="3327" applyNumberFormat="1" applyFont="1" applyAlignment="1">
      <alignment vertical="center"/>
    </xf>
    <xf numFmtId="180" fontId="57" fillId="0" borderId="0" xfId="23" applyNumberFormat="1" applyFont="1" applyAlignment="1" applyProtection="1">
      <alignment vertical="center"/>
      <protection hidden="1"/>
    </xf>
    <xf numFmtId="180" fontId="57" fillId="0" borderId="0" xfId="3327" applyNumberFormat="1" applyFont="1" applyAlignment="1">
      <alignment horizontal="center" vertical="center"/>
    </xf>
    <xf numFmtId="180" fontId="58" fillId="0" borderId="0" xfId="23" applyNumberFormat="1" applyFont="1" applyAlignment="1" applyProtection="1">
      <alignment horizontal="left" vertical="center"/>
      <protection hidden="1"/>
    </xf>
    <xf numFmtId="180" fontId="57" fillId="0" borderId="0" xfId="3327" applyNumberFormat="1" applyFont="1" applyAlignment="1">
      <alignment horizontal="left" vertical="center"/>
    </xf>
    <xf numFmtId="0" fontId="89" fillId="0" borderId="0" xfId="0" applyFont="1" applyAlignment="1">
      <alignment horizontal="center" vertical="center"/>
    </xf>
    <xf numFmtId="180" fontId="89" fillId="0" borderId="0" xfId="3327" applyNumberFormat="1" applyFont="1" applyAlignment="1">
      <alignment horizontal="left" vertical="center"/>
    </xf>
    <xf numFmtId="180" fontId="57" fillId="0" borderId="0" xfId="23" applyNumberFormat="1" applyFont="1" applyAlignment="1" applyProtection="1">
      <alignment horizontal="center" vertical="center"/>
      <protection hidden="1"/>
    </xf>
    <xf numFmtId="4" fontId="57" fillId="0" borderId="0" xfId="2517" applyNumberFormat="1" applyFont="1" applyAlignment="1" applyProtection="1">
      <alignment horizontal="center" vertical="center"/>
      <protection hidden="1"/>
    </xf>
    <xf numFmtId="0" fontId="57" fillId="0" borderId="0" xfId="3327" applyFont="1" applyAlignment="1">
      <alignment horizontal="center" vertical="center"/>
    </xf>
    <xf numFmtId="0" fontId="118" fillId="0" borderId="0" xfId="0" applyFont="1" applyAlignment="1">
      <alignment horizontal="center" vertical="center"/>
    </xf>
    <xf numFmtId="0" fontId="57" fillId="0" borderId="0" xfId="3327" applyFont="1" applyAlignment="1">
      <alignment horizontal="left" vertical="center"/>
    </xf>
    <xf numFmtId="4" fontId="58" fillId="0" borderId="0" xfId="4" applyNumberFormat="1" applyFont="1" applyAlignment="1" applyProtection="1">
      <alignment horizontal="center" vertical="center"/>
      <protection hidden="1"/>
    </xf>
    <xf numFmtId="10" fontId="57" fillId="0" borderId="0" xfId="2517" applyNumberFormat="1" applyFont="1" applyAlignment="1" applyProtection="1">
      <alignment vertical="center"/>
      <protection hidden="1"/>
    </xf>
    <xf numFmtId="0" fontId="57" fillId="0" borderId="0" xfId="3327" applyFont="1" applyAlignment="1">
      <alignment horizontal="right" vertical="center"/>
    </xf>
    <xf numFmtId="0" fontId="67" fillId="0" borderId="0" xfId="0" applyFont="1" applyAlignment="1">
      <alignment horizontal="left" vertical="center"/>
    </xf>
    <xf numFmtId="10" fontId="57" fillId="0" borderId="0" xfId="3327" applyNumberFormat="1" applyFont="1" applyAlignment="1">
      <alignment vertical="center"/>
    </xf>
    <xf numFmtId="0" fontId="58" fillId="0" borderId="0" xfId="3327" applyFont="1" applyAlignment="1">
      <alignment horizontal="left" vertical="center"/>
    </xf>
    <xf numFmtId="0" fontId="119" fillId="35" borderId="7" xfId="0" applyFont="1" applyFill="1" applyBorder="1" applyAlignment="1">
      <alignment horizontal="center" vertical="center" wrapText="1"/>
    </xf>
    <xf numFmtId="0" fontId="72" fillId="35" borderId="7" xfId="2517" applyNumberFormat="1" applyFont="1" applyFill="1" applyBorder="1" applyAlignment="1" applyProtection="1">
      <alignment horizontal="center" vertical="center" wrapText="1"/>
      <protection hidden="1"/>
    </xf>
    <xf numFmtId="0" fontId="58" fillId="0" borderId="0" xfId="23" applyFont="1" applyAlignment="1" applyProtection="1">
      <alignment horizontal="right" vertical="center" indent="1"/>
      <protection hidden="1"/>
    </xf>
    <xf numFmtId="0" fontId="57" fillId="0" borderId="55" xfId="3327" applyFont="1" applyBorder="1" applyAlignment="1">
      <alignment vertical="center"/>
    </xf>
    <xf numFmtId="0" fontId="117" fillId="0" borderId="55" xfId="0" applyFont="1" applyBorder="1" applyAlignment="1">
      <alignment horizontal="left" vertical="center"/>
    </xf>
    <xf numFmtId="0" fontId="109" fillId="0" borderId="55" xfId="0" applyFont="1" applyBorder="1" applyAlignment="1">
      <alignment horizontal="center" vertical="center"/>
    </xf>
    <xf numFmtId="0" fontId="67" fillId="0" borderId="55" xfId="0" applyFont="1" applyBorder="1" applyAlignment="1">
      <alignment horizontal="center" vertical="center"/>
    </xf>
    <xf numFmtId="2" fontId="68" fillId="0" borderId="0" xfId="16" applyNumberFormat="1" applyFont="1" applyAlignment="1" applyProtection="1">
      <alignment horizontal="left"/>
      <protection hidden="1"/>
    </xf>
    <xf numFmtId="2" fontId="57" fillId="0" borderId="0" xfId="16" applyNumberFormat="1" applyFont="1" applyAlignment="1" applyProtection="1">
      <alignment horizontal="center"/>
      <protection hidden="1"/>
    </xf>
    <xf numFmtId="2" fontId="60" fillId="0" borderId="0" xfId="19" applyNumberFormat="1" applyFont="1" applyAlignment="1">
      <alignment horizontal="left" vertical="top"/>
    </xf>
    <xf numFmtId="192" fontId="75" fillId="0" borderId="0" xfId="0" applyNumberFormat="1" applyFont="1" applyAlignment="1">
      <alignment horizontal="left"/>
    </xf>
    <xf numFmtId="2" fontId="68" fillId="0" borderId="0" xfId="16" applyNumberFormat="1" applyFont="1" applyProtection="1">
      <protection hidden="1"/>
    </xf>
    <xf numFmtId="0" fontId="57" fillId="0" borderId="0" xfId="16" applyFont="1" applyProtection="1">
      <protection hidden="1"/>
    </xf>
    <xf numFmtId="0" fontId="58" fillId="0" borderId="0" xfId="16" applyFont="1" applyAlignment="1" applyProtection="1">
      <alignment horizontal="left"/>
      <protection hidden="1"/>
    </xf>
    <xf numFmtId="0" fontId="57" fillId="0" borderId="0" xfId="16" applyFont="1" applyAlignment="1" applyProtection="1">
      <alignment horizontal="left"/>
      <protection hidden="1"/>
    </xf>
    <xf numFmtId="0" fontId="57" fillId="0" borderId="0" xfId="16" applyFont="1" applyAlignment="1" applyProtection="1">
      <alignment horizontal="center"/>
      <protection hidden="1"/>
    </xf>
    <xf numFmtId="0" fontId="60" fillId="0" borderId="0" xfId="21" applyFont="1" applyProtection="1">
      <protection hidden="1"/>
    </xf>
    <xf numFmtId="167" fontId="58" fillId="0" borderId="0" xfId="6" applyFont="1" applyFill="1" applyBorder="1" applyAlignment="1" applyProtection="1">
      <alignment horizontal="right"/>
      <protection hidden="1"/>
    </xf>
    <xf numFmtId="0" fontId="57" fillId="0" borderId="0" xfId="16" applyFont="1" applyAlignment="1" applyProtection="1">
      <alignment horizontal="right"/>
      <protection hidden="1"/>
    </xf>
    <xf numFmtId="4" fontId="57" fillId="0" borderId="0" xfId="16" applyNumberFormat="1" applyFont="1" applyAlignment="1" applyProtection="1">
      <alignment horizontal="right"/>
      <protection hidden="1"/>
    </xf>
    <xf numFmtId="2" fontId="57" fillId="0" borderId="0" xfId="16" applyNumberFormat="1" applyFont="1" applyProtection="1">
      <protection hidden="1"/>
    </xf>
    <xf numFmtId="185" fontId="57" fillId="0" borderId="0" xfId="16" applyNumberFormat="1" applyFont="1" applyAlignment="1" applyProtection="1">
      <alignment horizontal="center"/>
      <protection hidden="1"/>
    </xf>
    <xf numFmtId="4" fontId="57" fillId="0" borderId="0" xfId="16" applyNumberFormat="1" applyFont="1" applyProtection="1">
      <protection hidden="1"/>
    </xf>
    <xf numFmtId="185" fontId="58" fillId="0" borderId="0" xfId="0" applyNumberFormat="1" applyFont="1"/>
    <xf numFmtId="0" fontId="86" fillId="0" borderId="0" xfId="0" applyFont="1" applyAlignment="1">
      <alignment horizontal="left" indent="4"/>
    </xf>
    <xf numFmtId="185" fontId="57" fillId="0" borderId="0" xfId="0" applyNumberFormat="1" applyFont="1"/>
    <xf numFmtId="0" fontId="58" fillId="0" borderId="0" xfId="0" applyFont="1" applyAlignment="1">
      <alignment horizontal="right" vertical="center"/>
    </xf>
    <xf numFmtId="0" fontId="58" fillId="0" borderId="0" xfId="0" applyFont="1" applyAlignment="1">
      <alignment horizontal="center" vertical="center" wrapText="1"/>
    </xf>
    <xf numFmtId="0" fontId="58" fillId="0" borderId="0" xfId="0" applyFont="1" applyAlignment="1">
      <alignment horizontal="center" vertical="center"/>
    </xf>
    <xf numFmtId="179" fontId="58" fillId="0" borderId="0" xfId="0" applyNumberFormat="1" applyFont="1" applyAlignment="1">
      <alignment horizontal="center"/>
    </xf>
    <xf numFmtId="0" fontId="57" fillId="0" borderId="0" xfId="0" applyFont="1" applyAlignment="1">
      <alignment horizontal="right"/>
    </xf>
    <xf numFmtId="179" fontId="58" fillId="0" borderId="41" xfId="16" applyNumberFormat="1" applyFont="1" applyBorder="1" applyAlignment="1" applyProtection="1">
      <alignment horizontal="center"/>
      <protection hidden="1"/>
    </xf>
    <xf numFmtId="9" fontId="58" fillId="0" borderId="0" xfId="0" applyNumberFormat="1" applyFont="1" applyAlignment="1">
      <alignment horizontal="center"/>
    </xf>
    <xf numFmtId="4" fontId="57" fillId="0" borderId="0" xfId="0" applyNumberFormat="1" applyFont="1"/>
    <xf numFmtId="49" fontId="76" fillId="0" borderId="0" xfId="19" applyNumberFormat="1" applyFont="1"/>
    <xf numFmtId="2" fontId="79" fillId="0" borderId="0" xfId="16" applyNumberFormat="1" applyFont="1" applyAlignment="1" applyProtection="1">
      <alignment horizontal="left"/>
      <protection hidden="1"/>
    </xf>
    <xf numFmtId="189" fontId="95" fillId="0" borderId="61" xfId="22" applyNumberFormat="1" applyFont="1" applyBorder="1" applyAlignment="1">
      <alignment horizontal="center" vertical="center"/>
    </xf>
    <xf numFmtId="0" fontId="95" fillId="0" borderId="61" xfId="22" applyFont="1" applyBorder="1" applyAlignment="1">
      <alignment horizontal="center" vertical="center"/>
    </xf>
    <xf numFmtId="183" fontId="71" fillId="0" borderId="61" xfId="22" applyNumberFormat="1" applyFont="1" applyBorder="1" applyAlignment="1" applyProtection="1">
      <alignment horizontal="center" vertical="center"/>
      <protection locked="0" hidden="1"/>
    </xf>
    <xf numFmtId="0" fontId="81" fillId="36" borderId="7" xfId="22" applyFont="1" applyFill="1" applyBorder="1" applyAlignment="1">
      <alignment horizontal="center" vertical="center"/>
    </xf>
    <xf numFmtId="0" fontId="122" fillId="35" borderId="7" xfId="22" applyFont="1" applyFill="1" applyBorder="1" applyAlignment="1">
      <alignment horizontal="center" vertical="center"/>
    </xf>
    <xf numFmtId="178" fontId="90" fillId="0" borderId="62" xfId="0" applyNumberFormat="1" applyFont="1" applyBorder="1" applyAlignment="1">
      <alignment horizontal="center" vertical="center"/>
    </xf>
    <xf numFmtId="176" fontId="57" fillId="0" borderId="62" xfId="0" applyNumberFormat="1" applyFont="1" applyBorder="1" applyAlignment="1">
      <alignment horizontal="center" vertical="center"/>
    </xf>
    <xf numFmtId="1" fontId="57" fillId="0" borderId="62" xfId="0" applyNumberFormat="1" applyFont="1" applyBorder="1" applyAlignment="1">
      <alignment horizontal="center" vertical="center"/>
    </xf>
    <xf numFmtId="2" fontId="90" fillId="0" borderId="62" xfId="0" applyNumberFormat="1" applyFont="1" applyBorder="1" applyAlignment="1">
      <alignment vertical="center"/>
    </xf>
    <xf numFmtId="0" fontId="90" fillId="0" borderId="62" xfId="0" applyFont="1" applyBorder="1" applyAlignment="1">
      <alignment horizontal="center" vertical="center" wrapText="1"/>
    </xf>
    <xf numFmtId="3" fontId="90" fillId="0" borderId="62" xfId="0" applyNumberFormat="1" applyFont="1" applyBorder="1" applyAlignment="1">
      <alignment horizontal="center" vertical="center"/>
    </xf>
    <xf numFmtId="181" fontId="90" fillId="0" borderId="62" xfId="10" applyNumberFormat="1" applyFont="1" applyFill="1" applyBorder="1" applyAlignment="1">
      <alignment horizontal="center" vertical="center"/>
    </xf>
    <xf numFmtId="181" fontId="90" fillId="0" borderId="62" xfId="10" applyNumberFormat="1" applyFont="1" applyFill="1" applyBorder="1" applyAlignment="1">
      <alignment horizontal="right" vertical="center"/>
    </xf>
    <xf numFmtId="10" fontId="90" fillId="0" borderId="62" xfId="0" applyNumberFormat="1" applyFont="1" applyBorder="1" applyAlignment="1">
      <alignment horizontal="center" vertical="center"/>
    </xf>
    <xf numFmtId="175" fontId="90" fillId="0" borderId="62" xfId="0" applyNumberFormat="1" applyFont="1" applyBorder="1" applyAlignment="1">
      <alignment horizontal="left" vertical="center" wrapText="1"/>
    </xf>
    <xf numFmtId="181" fontId="92" fillId="11" borderId="41" xfId="0" applyNumberFormat="1" applyFont="1" applyFill="1" applyBorder="1" applyAlignment="1">
      <alignment horizontal="center" vertical="center"/>
    </xf>
    <xf numFmtId="181" fontId="58" fillId="0" borderId="0" xfId="10" applyNumberFormat="1" applyFont="1" applyFill="1" applyAlignment="1">
      <alignment horizontal="center"/>
    </xf>
    <xf numFmtId="0" fontId="90" fillId="34" borderId="0" xfId="3327" applyFont="1" applyFill="1" applyAlignment="1">
      <alignment vertical="center"/>
    </xf>
    <xf numFmtId="0" fontId="124" fillId="34" borderId="0" xfId="0" applyFont="1" applyFill="1" applyAlignment="1">
      <alignment horizontal="center" vertical="center"/>
    </xf>
    <xf numFmtId="0" fontId="123" fillId="34" borderId="0" xfId="0" applyFont="1" applyFill="1" applyAlignment="1">
      <alignment horizontal="right" vertical="center"/>
    </xf>
    <xf numFmtId="0" fontId="123" fillId="34" borderId="0" xfId="0" applyFont="1" applyFill="1" applyAlignment="1">
      <alignment horizontal="center" vertical="center" wrapText="1"/>
    </xf>
    <xf numFmtId="0" fontId="90" fillId="34" borderId="0" xfId="0" applyFont="1" applyFill="1" applyAlignment="1">
      <alignment horizontal="center" vertical="center"/>
    </xf>
    <xf numFmtId="2" fontId="90" fillId="34" borderId="0" xfId="0" applyNumberFormat="1" applyFont="1" applyFill="1" applyAlignment="1">
      <alignment horizontal="right" vertical="center"/>
    </xf>
    <xf numFmtId="2" fontId="90" fillId="34" borderId="0" xfId="0" applyNumberFormat="1" applyFont="1" applyFill="1" applyAlignment="1">
      <alignment horizontal="center" vertical="center"/>
    </xf>
    <xf numFmtId="198" fontId="90" fillId="34" borderId="0" xfId="0" applyNumberFormat="1" applyFont="1" applyFill="1" applyAlignment="1">
      <alignment horizontal="center" vertical="center"/>
    </xf>
    <xf numFmtId="2" fontId="90" fillId="34" borderId="0" xfId="18" applyNumberFormat="1" applyFont="1" applyFill="1" applyAlignment="1" applyProtection="1">
      <alignment vertical="center"/>
      <protection hidden="1"/>
    </xf>
    <xf numFmtId="0" fontId="90" fillId="34" borderId="0" xfId="23" applyFont="1" applyFill="1" applyAlignment="1" applyProtection="1">
      <alignment vertical="center"/>
      <protection hidden="1"/>
    </xf>
    <xf numFmtId="0" fontId="90" fillId="34" borderId="0" xfId="3327" applyFont="1" applyFill="1" applyAlignment="1">
      <alignment horizontal="center" vertical="center"/>
    </xf>
    <xf numFmtId="2" fontId="90" fillId="34" borderId="59" xfId="0" applyNumberFormat="1" applyFont="1" applyFill="1" applyBorder="1" applyAlignment="1">
      <alignment horizontal="center" vertical="center"/>
    </xf>
    <xf numFmtId="198" fontId="90" fillId="34" borderId="59" xfId="0" applyNumberFormat="1" applyFont="1" applyFill="1" applyBorder="1" applyAlignment="1">
      <alignment horizontal="center" vertical="center"/>
    </xf>
    <xf numFmtId="0" fontId="92" fillId="34" borderId="0" xfId="0" applyFont="1" applyFill="1" applyAlignment="1">
      <alignment horizontal="center" vertical="center"/>
    </xf>
    <xf numFmtId="0" fontId="92" fillId="34" borderId="0" xfId="0" applyFont="1" applyFill="1" applyAlignment="1">
      <alignment horizontal="right" vertical="center"/>
    </xf>
    <xf numFmtId="198" fontId="92" fillId="34" borderId="0" xfId="0" applyNumberFormat="1" applyFont="1" applyFill="1" applyAlignment="1">
      <alignment horizontal="center" vertical="center"/>
    </xf>
    <xf numFmtId="10" fontId="57" fillId="39" borderId="7" xfId="26" applyNumberFormat="1" applyFont="1" applyFill="1" applyBorder="1" applyAlignment="1" applyProtection="1">
      <alignment horizontal="center" vertical="center"/>
      <protection hidden="1"/>
    </xf>
    <xf numFmtId="2" fontId="57" fillId="39" borderId="56" xfId="26" applyNumberFormat="1" applyFont="1" applyFill="1" applyBorder="1" applyAlignment="1" applyProtection="1">
      <alignment horizontal="center" vertical="center"/>
      <protection hidden="1"/>
    </xf>
    <xf numFmtId="198" fontId="57" fillId="39" borderId="56" xfId="26" applyNumberFormat="1" applyFont="1" applyFill="1" applyBorder="1" applyAlignment="1" applyProtection="1">
      <alignment horizontal="center" vertical="center"/>
      <protection hidden="1"/>
    </xf>
    <xf numFmtId="2" fontId="90" fillId="41" borderId="0" xfId="19" applyNumberFormat="1" applyFont="1" applyFill="1" applyAlignment="1">
      <alignment horizontal="left" vertical="center" wrapText="1" indent="1"/>
    </xf>
    <xf numFmtId="2" fontId="90" fillId="39" borderId="51" xfId="0" applyNumberFormat="1" applyFont="1" applyFill="1" applyBorder="1" applyAlignment="1">
      <alignment horizontal="center" vertical="center"/>
    </xf>
    <xf numFmtId="0" fontId="0" fillId="41" borderId="64" xfId="0" applyFill="1" applyBorder="1"/>
    <xf numFmtId="2" fontId="57" fillId="39" borderId="56" xfId="2517" applyNumberFormat="1" applyFont="1" applyFill="1" applyBorder="1" applyAlignment="1" applyProtection="1">
      <alignment horizontal="center" vertical="center"/>
      <protection hidden="1"/>
    </xf>
    <xf numFmtId="0" fontId="90" fillId="41" borderId="0" xfId="3327" applyFont="1" applyFill="1" applyAlignment="1">
      <alignment vertical="center"/>
    </xf>
    <xf numFmtId="183" fontId="72" fillId="39" borderId="56" xfId="2517" applyNumberFormat="1" applyFont="1" applyFill="1" applyBorder="1" applyAlignment="1" applyProtection="1">
      <alignment horizontal="center" vertical="center"/>
      <protection hidden="1"/>
    </xf>
    <xf numFmtId="183" fontId="57" fillId="39" borderId="56" xfId="2517" applyNumberFormat="1" applyFont="1" applyFill="1" applyBorder="1" applyAlignment="1" applyProtection="1">
      <alignment horizontal="center" vertical="center"/>
      <protection hidden="1"/>
    </xf>
    <xf numFmtId="179" fontId="121" fillId="39" borderId="7" xfId="26" applyNumberFormat="1" applyFont="1" applyFill="1" applyBorder="1" applyAlignment="1" applyProtection="1">
      <alignment horizontal="center" vertical="center"/>
      <protection hidden="1"/>
    </xf>
    <xf numFmtId="0" fontId="100" fillId="43" borderId="0" xfId="0" applyFont="1" applyFill="1" applyAlignment="1">
      <alignment vertical="center"/>
    </xf>
    <xf numFmtId="0" fontId="88" fillId="43" borderId="0" xfId="0" applyFont="1" applyFill="1" applyAlignment="1">
      <alignment horizontal="center" vertical="center"/>
    </xf>
    <xf numFmtId="0" fontId="91" fillId="43" borderId="0" xfId="0" applyFont="1" applyFill="1" applyAlignment="1">
      <alignment vertical="center"/>
    </xf>
    <xf numFmtId="0" fontId="102" fillId="43" borderId="0" xfId="0" applyFont="1" applyFill="1" applyAlignment="1">
      <alignment vertical="center"/>
    </xf>
    <xf numFmtId="190" fontId="57" fillId="39" borderId="56" xfId="26" applyNumberFormat="1" applyFont="1" applyFill="1" applyBorder="1" applyAlignment="1" applyProtection="1">
      <alignment horizontal="center" vertical="center"/>
      <protection hidden="1"/>
    </xf>
    <xf numFmtId="1" fontId="57" fillId="39" borderId="56" xfId="26" applyNumberFormat="1" applyFont="1" applyFill="1" applyBorder="1" applyAlignment="1" applyProtection="1">
      <alignment horizontal="center" vertical="center"/>
      <protection hidden="1"/>
    </xf>
    <xf numFmtId="10" fontId="57" fillId="39" borderId="56" xfId="26" applyNumberFormat="1" applyFont="1" applyFill="1" applyBorder="1" applyAlignment="1" applyProtection="1">
      <alignment horizontal="center" vertical="center"/>
      <protection hidden="1"/>
    </xf>
    <xf numFmtId="0" fontId="57" fillId="0" borderId="0" xfId="0" applyFont="1" applyAlignment="1">
      <alignment vertical="center"/>
    </xf>
    <xf numFmtId="0" fontId="127" fillId="0" borderId="0" xfId="17" applyFont="1" applyAlignment="1">
      <alignment vertical="center"/>
    </xf>
    <xf numFmtId="0" fontId="57" fillId="0" borderId="0" xfId="0" applyFont="1" applyAlignment="1">
      <alignment horizontal="center" vertical="center"/>
    </xf>
    <xf numFmtId="0" fontId="58" fillId="0" borderId="0" xfId="17" applyFont="1" applyAlignment="1">
      <alignment horizontal="center" vertical="center"/>
    </xf>
    <xf numFmtId="2" fontId="127" fillId="0" borderId="0" xfId="17" applyNumberFormat="1" applyFont="1" applyAlignment="1">
      <alignment vertical="center"/>
    </xf>
    <xf numFmtId="2" fontId="62" fillId="0" borderId="0" xfId="17" applyNumberFormat="1" applyFont="1" applyAlignment="1">
      <alignment vertical="center"/>
    </xf>
    <xf numFmtId="1" fontId="64" fillId="0" borderId="0" xfId="19" applyNumberFormat="1" applyFont="1" applyAlignment="1">
      <alignment horizontal="left" vertical="center"/>
    </xf>
    <xf numFmtId="2" fontId="60" fillId="0" borderId="0" xfId="19" applyNumberFormat="1" applyFont="1" applyAlignment="1">
      <alignment horizontal="left" vertical="center"/>
    </xf>
    <xf numFmtId="2" fontId="60" fillId="0" borderId="0" xfId="17" applyNumberFormat="1" applyFont="1" applyAlignment="1">
      <alignment vertical="center"/>
    </xf>
    <xf numFmtId="0" fontId="57" fillId="0" borderId="0" xfId="24" applyFont="1" applyAlignment="1">
      <alignment vertical="center"/>
    </xf>
    <xf numFmtId="2" fontId="57" fillId="0" borderId="0" xfId="24" applyNumberFormat="1" applyFont="1" applyAlignment="1">
      <alignment vertical="center"/>
    </xf>
    <xf numFmtId="0" fontId="57" fillId="0" borderId="0" xfId="17" applyFont="1" applyAlignment="1">
      <alignment vertical="center"/>
    </xf>
    <xf numFmtId="0" fontId="57" fillId="0" borderId="0" xfId="17" applyFont="1" applyAlignment="1">
      <alignment horizontal="left" vertical="center"/>
    </xf>
    <xf numFmtId="2" fontId="104" fillId="0" borderId="0" xfId="19" applyNumberFormat="1" applyFont="1" applyAlignment="1">
      <alignment vertical="center"/>
    </xf>
    <xf numFmtId="0" fontId="57" fillId="0" borderId="0" xfId="17" applyFont="1" applyAlignment="1">
      <alignment vertical="center" wrapText="1"/>
    </xf>
    <xf numFmtId="0" fontId="60" fillId="0" borderId="0" xfId="0" applyFont="1" applyAlignment="1">
      <alignment vertical="center"/>
    </xf>
    <xf numFmtId="0" fontId="127" fillId="36" borderId="0" xfId="17" applyFont="1" applyFill="1" applyAlignment="1">
      <alignment vertical="center"/>
    </xf>
    <xf numFmtId="190" fontId="57" fillId="39" borderId="65" xfId="26" applyNumberFormat="1" applyFont="1" applyFill="1" applyBorder="1" applyAlignment="1" applyProtection="1">
      <alignment vertical="center"/>
      <protection hidden="1"/>
    </xf>
    <xf numFmtId="0" fontId="82" fillId="0" borderId="0" xfId="0" quotePrefix="1" applyFont="1" applyAlignment="1">
      <alignment vertical="center"/>
    </xf>
    <xf numFmtId="2" fontId="123" fillId="11" borderId="0" xfId="26" applyNumberFormat="1" applyFont="1" applyFill="1" applyBorder="1" applyAlignment="1" applyProtection="1">
      <alignment horizontal="center" vertical="center"/>
      <protection hidden="1"/>
    </xf>
    <xf numFmtId="0" fontId="85" fillId="0" borderId="0" xfId="0" quotePrefix="1" applyFont="1" applyAlignment="1">
      <alignment vertical="center"/>
    </xf>
    <xf numFmtId="0" fontId="100" fillId="41" borderId="64" xfId="0" applyFont="1" applyFill="1" applyBorder="1"/>
    <xf numFmtId="2" fontId="78" fillId="11" borderId="0" xfId="26" applyNumberFormat="1" applyFont="1" applyFill="1" applyBorder="1" applyAlignment="1" applyProtection="1">
      <alignment horizontal="center" vertical="center"/>
      <protection hidden="1"/>
    </xf>
    <xf numFmtId="0" fontId="123" fillId="0" borderId="0" xfId="0" quotePrefix="1" applyFont="1" applyAlignment="1">
      <alignment vertical="center"/>
    </xf>
    <xf numFmtId="178" fontId="78" fillId="0" borderId="0" xfId="0" applyNumberFormat="1" applyFont="1" applyAlignment="1">
      <alignment horizontal="center"/>
    </xf>
    <xf numFmtId="2" fontId="123" fillId="11" borderId="0" xfId="26" applyNumberFormat="1" applyFont="1" applyFill="1" applyBorder="1" applyAlignment="1" applyProtection="1">
      <alignment horizontal="center"/>
      <protection hidden="1"/>
    </xf>
    <xf numFmtId="0" fontId="84" fillId="0" borderId="0" xfId="0" applyFont="1" applyAlignment="1">
      <alignment horizontal="center" vertical="center"/>
    </xf>
    <xf numFmtId="190" fontId="84" fillId="39" borderId="65" xfId="26" applyNumberFormat="1" applyFont="1" applyFill="1" applyBorder="1" applyAlignment="1" applyProtection="1">
      <alignment vertical="center"/>
      <protection hidden="1"/>
    </xf>
    <xf numFmtId="198" fontId="58" fillId="0" borderId="0" xfId="26" applyNumberFormat="1" applyFont="1" applyFill="1" applyBorder="1"/>
    <xf numFmtId="0" fontId="81" fillId="42" borderId="0" xfId="16" applyFont="1" applyFill="1" applyAlignment="1" applyProtection="1">
      <alignment horizontal="left"/>
      <protection hidden="1"/>
    </xf>
    <xf numFmtId="0" fontId="81" fillId="42" borderId="0" xfId="16" applyFont="1" applyFill="1" applyAlignment="1" applyProtection="1">
      <alignment horizontal="left" vertical="top"/>
      <protection hidden="1"/>
    </xf>
    <xf numFmtId="0" fontId="67" fillId="0" borderId="0" xfId="0" applyFont="1" applyAlignment="1">
      <alignment horizontal="center"/>
    </xf>
    <xf numFmtId="0" fontId="89" fillId="0" borderId="0" xfId="0" applyFont="1" applyAlignment="1">
      <alignment vertical="center" wrapText="1"/>
    </xf>
    <xf numFmtId="0" fontId="67" fillId="36" borderId="0" xfId="0" applyFont="1" applyFill="1"/>
    <xf numFmtId="181" fontId="67" fillId="0" borderId="54" xfId="0" applyNumberFormat="1" applyFont="1" applyBorder="1" applyAlignment="1">
      <alignment horizontal="center" vertical="center"/>
    </xf>
    <xf numFmtId="181" fontId="67" fillId="0" borderId="0" xfId="0" applyNumberFormat="1" applyFont="1" applyAlignment="1">
      <alignment vertical="center"/>
    </xf>
    <xf numFmtId="201" fontId="67" fillId="0" borderId="54" xfId="0" applyNumberFormat="1" applyFont="1" applyBorder="1" applyAlignment="1">
      <alignment horizontal="center" vertical="center"/>
    </xf>
    <xf numFmtId="198" fontId="90" fillId="39" borderId="1" xfId="0" applyNumberFormat="1" applyFont="1" applyFill="1" applyBorder="1" applyAlignment="1">
      <alignment horizontal="center" vertical="center"/>
    </xf>
    <xf numFmtId="201" fontId="90" fillId="0" borderId="1" xfId="0" applyNumberFormat="1" applyFont="1" applyBorder="1" applyAlignment="1">
      <alignment horizontal="center" vertical="center"/>
    </xf>
    <xf numFmtId="181" fontId="67" fillId="0" borderId="0" xfId="0" applyNumberFormat="1" applyFont="1"/>
    <xf numFmtId="0" fontId="82" fillId="0" borderId="0" xfId="0" applyFont="1" applyAlignment="1">
      <alignment horizontal="left"/>
    </xf>
    <xf numFmtId="0" fontId="67" fillId="0" borderId="0" xfId="0" applyFont="1" applyAlignment="1">
      <alignment horizontal="left" indent="4"/>
    </xf>
    <xf numFmtId="0" fontId="67" fillId="0" borderId="0" xfId="0" applyFont="1" applyAlignment="1">
      <alignment horizontal="left" indent="1"/>
    </xf>
    <xf numFmtId="0" fontId="67" fillId="40" borderId="64" xfId="0" applyFont="1" applyFill="1" applyBorder="1"/>
    <xf numFmtId="0" fontId="67" fillId="41" borderId="64" xfId="0" applyFont="1" applyFill="1" applyBorder="1"/>
    <xf numFmtId="0" fontId="61" fillId="0" borderId="0" xfId="0" applyFont="1" applyAlignment="1">
      <alignment horizontal="left" indent="1"/>
    </xf>
    <xf numFmtId="0" fontId="64" fillId="0" borderId="0" xfId="0" applyFont="1" applyAlignment="1">
      <alignment horizontal="left" indent="1"/>
    </xf>
    <xf numFmtId="1" fontId="57" fillId="39" borderId="56" xfId="2517" applyNumberFormat="1" applyFont="1" applyFill="1" applyBorder="1" applyAlignment="1" applyProtection="1">
      <alignment horizontal="center" vertical="center"/>
      <protection hidden="1"/>
    </xf>
    <xf numFmtId="0" fontId="90" fillId="0" borderId="0" xfId="0" applyFont="1" applyAlignment="1">
      <alignment vertical="center"/>
    </xf>
    <xf numFmtId="0" fontId="0" fillId="39" borderId="65" xfId="0" applyFill="1" applyBorder="1"/>
    <xf numFmtId="0" fontId="57" fillId="0" borderId="0" xfId="19" applyFont="1" applyAlignment="1">
      <alignment horizontal="center" vertical="center"/>
    </xf>
    <xf numFmtId="0" fontId="57" fillId="0" borderId="55" xfId="19" applyFont="1" applyBorder="1" applyAlignment="1">
      <alignment horizontal="center" vertical="center"/>
    </xf>
    <xf numFmtId="0" fontId="0" fillId="39" borderId="65" xfId="0" applyFill="1" applyBorder="1" applyAlignment="1">
      <alignment horizontal="center"/>
    </xf>
    <xf numFmtId="198" fontId="57" fillId="0" borderId="0" xfId="28" applyNumberFormat="1" applyFont="1" applyAlignment="1">
      <alignment horizontal="center"/>
    </xf>
    <xf numFmtId="198" fontId="90" fillId="0" borderId="0" xfId="0" applyNumberFormat="1" applyFont="1" applyAlignment="1">
      <alignment horizontal="center"/>
    </xf>
    <xf numFmtId="198" fontId="66" fillId="0" borderId="0" xfId="19" applyNumberFormat="1" applyFont="1" applyAlignment="1">
      <alignment horizontal="center"/>
    </xf>
    <xf numFmtId="49" fontId="57" fillId="0" borderId="0" xfId="19" applyNumberFormat="1" applyFont="1" applyAlignment="1">
      <alignment horizontal="center" vertical="center"/>
    </xf>
    <xf numFmtId="49" fontId="57" fillId="0" borderId="55" xfId="19" applyNumberFormat="1" applyFont="1" applyBorder="1" applyAlignment="1">
      <alignment horizontal="center" vertical="center"/>
    </xf>
    <xf numFmtId="2" fontId="81" fillId="36" borderId="0" xfId="0" applyNumberFormat="1" applyFont="1" applyFill="1" applyAlignment="1">
      <alignment horizontal="center" vertical="center" wrapText="1"/>
    </xf>
    <xf numFmtId="183" fontId="86" fillId="45" borderId="64" xfId="2517" applyNumberFormat="1" applyFont="1" applyFill="1" applyBorder="1" applyAlignment="1" applyProtection="1">
      <alignment horizontal="center" vertical="center"/>
      <protection hidden="1"/>
    </xf>
    <xf numFmtId="183" fontId="90" fillId="44" borderId="63" xfId="0" applyNumberFormat="1" applyFont="1" applyFill="1" applyBorder="1" applyAlignment="1" applyProtection="1">
      <alignment horizontal="center" vertical="center"/>
      <protection hidden="1"/>
    </xf>
    <xf numFmtId="185" fontId="90" fillId="45" borderId="0" xfId="23" applyNumberFormat="1" applyFont="1" applyFill="1" applyAlignment="1" applyProtection="1">
      <alignment horizontal="center" vertical="center"/>
      <protection hidden="1"/>
    </xf>
    <xf numFmtId="183" fontId="90" fillId="45" borderId="60" xfId="2517" applyNumberFormat="1" applyFont="1" applyFill="1" applyBorder="1" applyAlignment="1" applyProtection="1">
      <alignment horizontal="center" vertical="center"/>
      <protection hidden="1"/>
    </xf>
    <xf numFmtId="183" fontId="57" fillId="39" borderId="66" xfId="2517" applyNumberFormat="1" applyFont="1" applyFill="1" applyBorder="1" applyAlignment="1" applyProtection="1">
      <alignment horizontal="center" vertical="center"/>
      <protection hidden="1"/>
    </xf>
    <xf numFmtId="198" fontId="57" fillId="39" borderId="66" xfId="2517" applyNumberFormat="1" applyFont="1" applyFill="1" applyBorder="1" applyAlignment="1" applyProtection="1">
      <alignment horizontal="center" vertical="center"/>
      <protection hidden="1"/>
    </xf>
    <xf numFmtId="183" fontId="90" fillId="44" borderId="67" xfId="0" applyNumberFormat="1" applyFont="1" applyFill="1" applyBorder="1" applyAlignment="1" applyProtection="1">
      <alignment horizontal="center" vertical="center"/>
      <protection hidden="1"/>
    </xf>
    <xf numFmtId="185" fontId="90" fillId="45" borderId="41" xfId="23" applyNumberFormat="1" applyFont="1" applyFill="1" applyBorder="1" applyAlignment="1" applyProtection="1">
      <alignment horizontal="center" vertical="center"/>
      <protection hidden="1"/>
    </xf>
    <xf numFmtId="183" fontId="57" fillId="39" borderId="0" xfId="2517" applyNumberFormat="1" applyFont="1" applyFill="1" applyBorder="1" applyAlignment="1" applyProtection="1">
      <alignment horizontal="center" vertical="center"/>
      <protection hidden="1"/>
    </xf>
    <xf numFmtId="183" fontId="92" fillId="38" borderId="67" xfId="0" applyNumberFormat="1" applyFont="1" applyFill="1" applyBorder="1" applyAlignment="1" applyProtection="1">
      <alignment horizontal="center" vertical="center"/>
      <protection hidden="1"/>
    </xf>
    <xf numFmtId="0" fontId="89" fillId="0" borderId="0" xfId="23" quotePrefix="1" applyFont="1" applyAlignment="1" applyProtection="1">
      <alignment horizontal="left" vertical="center"/>
      <protection hidden="1"/>
    </xf>
    <xf numFmtId="1" fontId="57" fillId="39" borderId="68" xfId="2517" applyNumberFormat="1" applyFont="1" applyFill="1" applyBorder="1" applyAlignment="1" applyProtection="1">
      <alignment horizontal="center" vertical="center"/>
      <protection hidden="1"/>
    </xf>
    <xf numFmtId="180" fontId="57" fillId="0" borderId="69" xfId="3327" applyNumberFormat="1" applyFont="1" applyBorder="1" applyAlignment="1">
      <alignment horizontal="center" vertical="center"/>
    </xf>
    <xf numFmtId="9" fontId="67" fillId="0" borderId="0" xfId="0" applyNumberFormat="1" applyFont="1"/>
    <xf numFmtId="185" fontId="92" fillId="45" borderId="0" xfId="16" applyNumberFormat="1" applyFont="1" applyFill="1" applyAlignment="1" applyProtection="1">
      <alignment horizontal="right"/>
      <protection hidden="1"/>
    </xf>
    <xf numFmtId="185" fontId="90" fillId="45" borderId="0" xfId="16" applyNumberFormat="1" applyFont="1" applyFill="1" applyAlignment="1" applyProtection="1">
      <alignment horizontal="right"/>
      <protection locked="0"/>
    </xf>
    <xf numFmtId="185" fontId="90" fillId="45" borderId="0" xfId="16" applyNumberFormat="1" applyFont="1" applyFill="1" applyAlignment="1" applyProtection="1">
      <alignment horizontal="right"/>
      <protection hidden="1"/>
    </xf>
    <xf numFmtId="185" fontId="129" fillId="45" borderId="0" xfId="0" applyNumberFormat="1" applyFont="1" applyFill="1"/>
    <xf numFmtId="181" fontId="85" fillId="0" borderId="0" xfId="0" quotePrefix="1" applyNumberFormat="1" applyFont="1" applyAlignment="1">
      <alignment horizontal="left"/>
    </xf>
    <xf numFmtId="3" fontId="130" fillId="0" borderId="0" xfId="0" applyNumberFormat="1" applyFont="1" applyAlignment="1">
      <alignment horizontal="center" vertical="center"/>
    </xf>
    <xf numFmtId="0" fontId="131" fillId="0" borderId="0" xfId="17" applyFont="1" applyAlignment="1">
      <alignment vertical="center"/>
    </xf>
    <xf numFmtId="0" fontId="131" fillId="0" borderId="0" xfId="17" applyFont="1" applyAlignment="1">
      <alignment horizontal="left" vertical="center"/>
    </xf>
    <xf numFmtId="0" fontId="131" fillId="0" borderId="0" xfId="0" applyFont="1" applyAlignment="1">
      <alignment vertical="center"/>
    </xf>
    <xf numFmtId="0" fontId="132" fillId="0" borderId="0" xfId="0" applyFont="1" applyAlignment="1">
      <alignment vertical="center"/>
    </xf>
    <xf numFmtId="0" fontId="133" fillId="0" borderId="0" xfId="0" applyFont="1" applyAlignment="1">
      <alignment vertical="center"/>
    </xf>
    <xf numFmtId="0" fontId="131" fillId="0" borderId="0" xfId="0" applyFont="1" applyAlignment="1">
      <alignment horizontal="left" vertical="center"/>
    </xf>
    <xf numFmtId="0" fontId="134" fillId="0" borderId="0" xfId="0" applyFont="1" applyAlignment="1">
      <alignment vertical="center"/>
    </xf>
    <xf numFmtId="0" fontId="131" fillId="0" borderId="0" xfId="0" applyFont="1" applyAlignment="1">
      <alignment vertical="center" wrapText="1"/>
    </xf>
    <xf numFmtId="190" fontId="131" fillId="39" borderId="64" xfId="26" applyNumberFormat="1" applyFont="1" applyFill="1" applyBorder="1" applyAlignment="1" applyProtection="1">
      <alignment vertical="center"/>
      <protection hidden="1"/>
    </xf>
    <xf numFmtId="0" fontId="131" fillId="0" borderId="0" xfId="0" applyFont="1" applyAlignment="1">
      <alignment horizontal="left" vertical="center" wrapText="1"/>
    </xf>
    <xf numFmtId="0" fontId="134" fillId="0" borderId="0" xfId="16" applyFont="1" applyAlignment="1" applyProtection="1">
      <alignment horizontal="left" vertical="center"/>
      <protection hidden="1"/>
    </xf>
    <xf numFmtId="0" fontId="131" fillId="0" borderId="0" xfId="17" applyFont="1" applyAlignment="1">
      <alignment horizontal="center" vertical="center"/>
    </xf>
    <xf numFmtId="0" fontId="131" fillId="0" borderId="0" xfId="0" applyFont="1" applyAlignment="1">
      <alignment horizontal="center" vertical="center"/>
    </xf>
    <xf numFmtId="0" fontId="131" fillId="0" borderId="0" xfId="19" applyFont="1" applyAlignment="1">
      <alignment vertical="center"/>
    </xf>
    <xf numFmtId="0" fontId="131" fillId="36" borderId="0" xfId="19" applyFont="1" applyFill="1" applyAlignment="1">
      <alignment vertical="center"/>
    </xf>
    <xf numFmtId="0" fontId="131" fillId="0" borderId="55" xfId="19" applyFont="1" applyBorder="1" applyAlignment="1">
      <alignment vertical="center"/>
    </xf>
    <xf numFmtId="0" fontId="96" fillId="0" borderId="0" xfId="0" applyFont="1" applyAlignment="1">
      <alignment vertical="center"/>
    </xf>
    <xf numFmtId="192" fontId="135" fillId="0" borderId="0" xfId="0" applyNumberFormat="1" applyFont="1" applyAlignment="1">
      <alignment horizontal="left" vertical="center"/>
    </xf>
    <xf numFmtId="2" fontId="134" fillId="0" borderId="0" xfId="17" applyNumberFormat="1" applyFont="1" applyAlignment="1">
      <alignment horizontal="center" vertical="center"/>
    </xf>
    <xf numFmtId="2" fontId="131" fillId="0" borderId="0" xfId="24" applyNumberFormat="1" applyFont="1" applyAlignment="1">
      <alignment horizontal="center" vertical="center"/>
    </xf>
    <xf numFmtId="0" fontId="134" fillId="0" borderId="0" xfId="17" applyFont="1" applyAlignment="1">
      <alignment horizontal="center" vertical="center"/>
    </xf>
    <xf numFmtId="0" fontId="134" fillId="0" borderId="0" xfId="0" applyFont="1" applyAlignment="1">
      <alignment horizontal="center" vertical="center"/>
    </xf>
    <xf numFmtId="0" fontId="67" fillId="0" borderId="0" xfId="0" applyFont="1" applyAlignment="1">
      <alignment vertical="center" wrapText="1"/>
    </xf>
    <xf numFmtId="2" fontId="66" fillId="0" borderId="0" xfId="19" applyNumberFormat="1" applyFont="1" applyAlignment="1">
      <alignment vertical="center"/>
    </xf>
    <xf numFmtId="2" fontId="83" fillId="35" borderId="0" xfId="0" applyNumberFormat="1" applyFont="1" applyFill="1" applyAlignment="1">
      <alignment vertical="center" wrapText="1"/>
    </xf>
    <xf numFmtId="2" fontId="83" fillId="35" borderId="0" xfId="0" applyNumberFormat="1" applyFont="1" applyFill="1" applyAlignment="1">
      <alignment horizontal="center" vertical="center" wrapText="1"/>
    </xf>
    <xf numFmtId="2" fontId="92" fillId="11" borderId="0" xfId="26" applyNumberFormat="1" applyFont="1" applyFill="1" applyBorder="1" applyAlignment="1" applyProtection="1">
      <alignment horizontal="center" vertical="center"/>
      <protection hidden="1"/>
    </xf>
    <xf numFmtId="0" fontId="137" fillId="43" borderId="0" xfId="0" applyFont="1" applyFill="1" applyAlignment="1">
      <alignment horizontal="center" vertical="center"/>
    </xf>
    <xf numFmtId="0" fontId="137" fillId="43" borderId="0" xfId="0" applyFont="1" applyFill="1" applyAlignment="1">
      <alignment vertical="center"/>
    </xf>
    <xf numFmtId="0" fontId="138" fillId="43" borderId="0" xfId="0" applyFont="1" applyFill="1" applyAlignment="1">
      <alignment vertical="center"/>
    </xf>
    <xf numFmtId="0" fontId="138" fillId="0" borderId="0" xfId="0" applyFont="1" applyAlignment="1">
      <alignment vertical="center"/>
    </xf>
    <xf numFmtId="176" fontId="90" fillId="39" borderId="57" xfId="0" applyNumberFormat="1" applyFont="1" applyFill="1" applyBorder="1" applyAlignment="1">
      <alignment horizontal="center" vertical="center"/>
    </xf>
    <xf numFmtId="10" fontId="121" fillId="39" borderId="7" xfId="26" applyNumberFormat="1" applyFont="1" applyFill="1" applyBorder="1" applyAlignment="1" applyProtection="1">
      <alignment horizontal="center" vertical="center"/>
      <protection hidden="1"/>
    </xf>
    <xf numFmtId="0" fontId="89" fillId="0" borderId="0" xfId="0" applyFont="1"/>
    <xf numFmtId="178" fontId="89" fillId="0" borderId="0" xfId="0" applyNumberFormat="1" applyFont="1" applyAlignment="1">
      <alignment horizontal="left"/>
    </xf>
    <xf numFmtId="181" fontId="89" fillId="0" borderId="0" xfId="0" applyNumberFormat="1" applyFont="1" applyAlignment="1">
      <alignment horizontal="left"/>
    </xf>
    <xf numFmtId="0" fontId="67" fillId="0" borderId="19" xfId="0" applyFont="1" applyBorder="1"/>
    <xf numFmtId="0" fontId="67" fillId="0" borderId="20" xfId="0" applyFont="1" applyBorder="1"/>
    <xf numFmtId="0" fontId="139" fillId="0" borderId="20" xfId="0" applyFont="1" applyBorder="1" applyAlignment="1">
      <alignment horizontal="center"/>
    </xf>
    <xf numFmtId="0" fontId="67" fillId="0" borderId="21" xfId="0" applyFont="1" applyBorder="1"/>
    <xf numFmtId="0" fontId="67" fillId="0" borderId="22" xfId="0" applyFont="1" applyBorder="1"/>
    <xf numFmtId="0" fontId="139" fillId="0" borderId="0" xfId="0" applyFont="1" applyAlignment="1">
      <alignment horizontal="center"/>
    </xf>
    <xf numFmtId="0" fontId="67" fillId="0" borderId="23" xfId="0" applyFont="1" applyBorder="1"/>
    <xf numFmtId="0" fontId="139" fillId="0" borderId="0" xfId="0" quotePrefix="1" applyFont="1" applyAlignment="1">
      <alignment horizontal="center"/>
    </xf>
    <xf numFmtId="0" fontId="64" fillId="0" borderId="0" xfId="0" applyFont="1" applyAlignment="1">
      <alignment horizontal="right"/>
    </xf>
    <xf numFmtId="15" fontId="64" fillId="0" borderId="0" xfId="0" applyNumberFormat="1" applyFont="1" applyAlignment="1">
      <alignment horizontal="left"/>
    </xf>
    <xf numFmtId="0" fontId="67" fillId="0" borderId="0" xfId="0" applyFont="1" applyAlignment="1">
      <alignment horizontal="left"/>
    </xf>
    <xf numFmtId="0" fontId="64" fillId="0" borderId="0" xfId="0" applyFont="1" applyAlignment="1">
      <alignment horizontal="left"/>
    </xf>
    <xf numFmtId="0" fontId="64" fillId="0" borderId="0" xfId="0" applyFont="1" applyAlignment="1">
      <alignment horizontal="right" vertical="center"/>
    </xf>
    <xf numFmtId="0" fontId="140" fillId="0" borderId="0" xfId="0" applyFont="1"/>
    <xf numFmtId="0" fontId="67" fillId="0" borderId="24" xfId="0" applyFont="1" applyBorder="1"/>
    <xf numFmtId="0" fontId="67" fillId="0" borderId="25" xfId="0" applyFont="1" applyBorder="1"/>
    <xf numFmtId="0" fontId="67" fillId="0" borderId="26" xfId="0" applyFont="1" applyBorder="1"/>
    <xf numFmtId="0" fontId="67" fillId="0" borderId="42" xfId="0" applyFont="1" applyBorder="1"/>
    <xf numFmtId="0" fontId="67" fillId="0" borderId="43" xfId="0" applyFont="1" applyBorder="1"/>
    <xf numFmtId="0" fontId="67" fillId="0" borderId="44" xfId="0" applyFont="1" applyBorder="1"/>
    <xf numFmtId="0" fontId="67" fillId="0" borderId="46" xfId="0" applyFont="1" applyBorder="1"/>
    <xf numFmtId="0" fontId="67" fillId="0" borderId="45" xfId="0" applyFont="1" applyBorder="1"/>
    <xf numFmtId="0" fontId="67" fillId="0" borderId="47" xfId="0" applyFont="1" applyBorder="1"/>
    <xf numFmtId="0" fontId="67" fillId="0" borderId="48" xfId="0" applyFont="1" applyBorder="1"/>
    <xf numFmtId="0" fontId="67" fillId="0" borderId="49" xfId="0" applyFont="1" applyBorder="1"/>
    <xf numFmtId="0" fontId="61" fillId="0" borderId="45" xfId="0" applyFont="1" applyBorder="1"/>
    <xf numFmtId="0" fontId="141" fillId="0" borderId="46" xfId="0" applyFont="1" applyBorder="1" applyAlignment="1">
      <alignment horizontal="center" wrapText="1"/>
    </xf>
    <xf numFmtId="0" fontId="57" fillId="46" borderId="0" xfId="0" applyFont="1" applyFill="1" applyAlignment="1">
      <alignment horizontal="center"/>
    </xf>
    <xf numFmtId="193" fontId="57" fillId="46" borderId="0" xfId="0" applyNumberFormat="1" applyFont="1" applyFill="1"/>
    <xf numFmtId="0" fontId="67" fillId="46" borderId="0" xfId="0" applyFont="1" applyFill="1"/>
    <xf numFmtId="199" fontId="57" fillId="46" borderId="0" xfId="0" applyNumberFormat="1" applyFont="1" applyFill="1" applyAlignment="1">
      <alignment horizontal="center"/>
    </xf>
    <xf numFmtId="0" fontId="57" fillId="46" borderId="0" xfId="0" applyFont="1" applyFill="1"/>
    <xf numFmtId="0" fontId="90" fillId="46" borderId="0" xfId="0" applyFont="1" applyFill="1"/>
    <xf numFmtId="181" fontId="57" fillId="46" borderId="0" xfId="0" applyNumberFormat="1" applyFont="1" applyFill="1" applyAlignment="1">
      <alignment horizontal="center"/>
    </xf>
    <xf numFmtId="178" fontId="57" fillId="46" borderId="0" xfId="0" applyNumberFormat="1" applyFont="1" applyFill="1" applyAlignment="1">
      <alignment horizontal="center"/>
    </xf>
    <xf numFmtId="2" fontId="57" fillId="46" borderId="0" xfId="0" applyNumberFormat="1" applyFont="1" applyFill="1" applyAlignment="1">
      <alignment horizontal="center"/>
    </xf>
    <xf numFmtId="1" fontId="57" fillId="46" borderId="0" xfId="0" applyNumberFormat="1" applyFont="1" applyFill="1" applyAlignment="1">
      <alignment horizontal="left"/>
    </xf>
    <xf numFmtId="200" fontId="57" fillId="46" borderId="0" xfId="0" applyNumberFormat="1" applyFont="1" applyFill="1" applyAlignment="1">
      <alignment horizontal="center"/>
    </xf>
    <xf numFmtId="0" fontId="143" fillId="0" borderId="78" xfId="0" applyFont="1" applyBorder="1" applyAlignment="1">
      <alignment horizontal="left" vertical="center"/>
    </xf>
    <xf numFmtId="2" fontId="90" fillId="0" borderId="51" xfId="0" applyNumberFormat="1" applyFont="1" applyBorder="1" applyAlignment="1">
      <alignment horizontal="center" vertical="center"/>
    </xf>
    <xf numFmtId="198" fontId="90" fillId="36" borderId="1" xfId="0" applyNumberFormat="1" applyFont="1" applyFill="1" applyBorder="1" applyAlignment="1">
      <alignment horizontal="center" vertical="center"/>
    </xf>
    <xf numFmtId="198" fontId="72" fillId="37" borderId="0" xfId="0" applyNumberFormat="1" applyFont="1" applyFill="1" applyAlignment="1">
      <alignment vertical="center"/>
    </xf>
    <xf numFmtId="0" fontId="133" fillId="0" borderId="0" xfId="0" applyFont="1" applyAlignment="1">
      <alignment horizontal="center" vertical="center"/>
    </xf>
    <xf numFmtId="2" fontId="57" fillId="0" borderId="0" xfId="24" applyNumberFormat="1" applyFont="1" applyAlignment="1">
      <alignment horizontal="center" vertical="center"/>
    </xf>
    <xf numFmtId="0" fontId="57" fillId="0" borderId="0" xfId="24" applyFont="1" applyAlignment="1">
      <alignment horizontal="center" vertical="center"/>
    </xf>
    <xf numFmtId="1" fontId="131" fillId="0" borderId="0" xfId="24" applyNumberFormat="1" applyFont="1" applyAlignment="1">
      <alignment horizontal="center" vertical="center"/>
    </xf>
    <xf numFmtId="2" fontId="134" fillId="0" borderId="0" xfId="24" applyNumberFormat="1" applyFont="1" applyAlignment="1">
      <alignment horizontal="center" vertical="center"/>
    </xf>
    <xf numFmtId="198" fontId="131" fillId="0" borderId="0" xfId="0" applyNumberFormat="1" applyFont="1" applyAlignment="1">
      <alignment horizontal="center" vertical="center"/>
    </xf>
    <xf numFmtId="198" fontId="134" fillId="0" borderId="41" xfId="0" applyNumberFormat="1" applyFont="1" applyBorder="1" applyAlignment="1">
      <alignment horizontal="center" vertical="center"/>
    </xf>
    <xf numFmtId="198" fontId="134" fillId="0" borderId="0" xfId="0" applyNumberFormat="1" applyFont="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vertical="center" wrapText="1"/>
    </xf>
    <xf numFmtId="0" fontId="144" fillId="0" borderId="0" xfId="17" applyFont="1" applyAlignment="1">
      <alignment horizontal="center" vertical="center"/>
    </xf>
    <xf numFmtId="0" fontId="14" fillId="0" borderId="0" xfId="0" applyFont="1" applyAlignment="1">
      <alignment horizontal="center" vertical="center"/>
    </xf>
    <xf numFmtId="2" fontId="58" fillId="0" borderId="0" xfId="24" applyNumberFormat="1" applyFont="1" applyAlignment="1">
      <alignment horizontal="center" vertical="center"/>
    </xf>
    <xf numFmtId="0" fontId="145" fillId="0" borderId="0" xfId="0" applyFont="1" applyAlignment="1">
      <alignment horizontal="right" vertical="center"/>
    </xf>
    <xf numFmtId="49" fontId="58" fillId="0" borderId="0" xfId="24" applyNumberFormat="1" applyFont="1" applyAlignment="1">
      <alignment vertical="center"/>
    </xf>
    <xf numFmtId="178" fontId="57" fillId="0" borderId="0" xfId="19" applyNumberFormat="1" applyFont="1" applyAlignment="1">
      <alignment vertical="center"/>
    </xf>
    <xf numFmtId="178" fontId="57" fillId="0" borderId="55" xfId="19" applyNumberFormat="1" applyFont="1" applyBorder="1" applyAlignment="1">
      <alignment vertical="center"/>
    </xf>
    <xf numFmtId="178" fontId="57" fillId="0" borderId="0" xfId="10" applyNumberFormat="1" applyFont="1" applyAlignment="1">
      <alignment horizontal="right" wrapText="1"/>
    </xf>
    <xf numFmtId="183" fontId="83" fillId="45" borderId="7" xfId="2517" applyNumberFormat="1" applyFont="1" applyFill="1" applyBorder="1" applyAlignment="1" applyProtection="1">
      <alignment horizontal="center" vertical="center"/>
      <protection hidden="1"/>
    </xf>
    <xf numFmtId="183" fontId="125" fillId="45" borderId="7" xfId="2517" applyNumberFormat="1" applyFont="1" applyFill="1" applyBorder="1" applyAlignment="1" applyProtection="1">
      <alignment horizontal="center" vertical="center"/>
      <protection hidden="1"/>
    </xf>
    <xf numFmtId="4" fontId="92" fillId="45" borderId="0" xfId="3" applyNumberFormat="1" applyFont="1" applyFill="1" applyAlignment="1" applyProtection="1">
      <alignment horizontal="center" vertical="center"/>
      <protection hidden="1"/>
    </xf>
    <xf numFmtId="183" fontId="90" fillId="45" borderId="56" xfId="2517" applyNumberFormat="1" applyFont="1" applyFill="1" applyBorder="1" applyAlignment="1" applyProtection="1">
      <alignment horizontal="center" vertical="center"/>
      <protection hidden="1"/>
    </xf>
    <xf numFmtId="183" fontId="92" fillId="45" borderId="0" xfId="2517" applyNumberFormat="1" applyFont="1" applyFill="1" applyAlignment="1" applyProtection="1">
      <alignment horizontal="center" vertical="center"/>
      <protection hidden="1"/>
    </xf>
    <xf numFmtId="198" fontId="90" fillId="47" borderId="1" xfId="0" applyNumberFormat="1" applyFont="1" applyFill="1" applyBorder="1" applyAlignment="1">
      <alignment horizontal="center" vertical="center"/>
    </xf>
    <xf numFmtId="198" fontId="90" fillId="47" borderId="81" xfId="0" applyNumberFormat="1" applyFont="1" applyFill="1" applyBorder="1" applyAlignment="1">
      <alignment horizontal="center" vertical="center"/>
    </xf>
    <xf numFmtId="198" fontId="90" fillId="39" borderId="81" xfId="0" applyNumberFormat="1" applyFont="1" applyFill="1" applyBorder="1" applyAlignment="1">
      <alignment horizontal="center" vertical="center"/>
    </xf>
    <xf numFmtId="201" fontId="90" fillId="0" borderId="81" xfId="0" applyNumberFormat="1" applyFont="1" applyBorder="1" applyAlignment="1">
      <alignment horizontal="center" vertical="center"/>
    </xf>
    <xf numFmtId="2" fontId="57" fillId="47" borderId="7" xfId="26" applyNumberFormat="1" applyFont="1" applyFill="1" applyBorder="1" applyAlignment="1" applyProtection="1">
      <alignment horizontal="center" vertical="center"/>
      <protection hidden="1"/>
    </xf>
    <xf numFmtId="0" fontId="111" fillId="47" borderId="0" xfId="0" applyFont="1" applyFill="1" applyAlignment="1">
      <alignment horizontal="center"/>
    </xf>
    <xf numFmtId="0" fontId="147" fillId="0" borderId="0" xfId="0" applyFont="1" applyAlignment="1">
      <alignment horizontal="left"/>
    </xf>
    <xf numFmtId="0" fontId="148" fillId="0" borderId="0" xfId="0" applyFont="1"/>
    <xf numFmtId="198" fontId="58" fillId="34" borderId="50" xfId="19" applyNumberFormat="1" applyFont="1" applyFill="1" applyBorder="1" applyAlignment="1">
      <alignment vertical="center"/>
    </xf>
    <xf numFmtId="49" fontId="57" fillId="34" borderId="84" xfId="19" applyNumberFormat="1" applyFont="1" applyFill="1" applyBorder="1" applyAlignment="1">
      <alignment horizontal="left" vertical="center" indent="1"/>
    </xf>
    <xf numFmtId="1" fontId="66" fillId="0" borderId="0" xfId="0" applyNumberFormat="1" applyFont="1" applyAlignment="1">
      <alignment horizontal="left"/>
    </xf>
    <xf numFmtId="198" fontId="131" fillId="39" borderId="56" xfId="0" applyNumberFormat="1" applyFont="1" applyFill="1" applyBorder="1" applyAlignment="1">
      <alignment horizontal="center" vertical="center"/>
    </xf>
    <xf numFmtId="3" fontId="90" fillId="0" borderId="85" xfId="0" applyNumberFormat="1" applyFont="1" applyBorder="1" applyAlignment="1">
      <alignment horizontal="center" vertical="center"/>
    </xf>
    <xf numFmtId="0" fontId="149" fillId="0" borderId="0" xfId="0" applyFont="1" applyAlignment="1">
      <alignment vertical="center"/>
    </xf>
    <xf numFmtId="0" fontId="149" fillId="0" borderId="40" xfId="0" applyFont="1" applyBorder="1" applyAlignment="1">
      <alignment vertical="center"/>
    </xf>
    <xf numFmtId="0" fontId="111" fillId="0" borderId="70" xfId="0" applyFont="1" applyBorder="1" applyAlignment="1">
      <alignment horizontal="center" vertical="center" wrapText="1"/>
    </xf>
    <xf numFmtId="0" fontId="111" fillId="0" borderId="71" xfId="0" applyFont="1" applyBorder="1" applyAlignment="1">
      <alignment horizontal="center" vertical="center" wrapText="1"/>
    </xf>
    <xf numFmtId="0" fontId="111" fillId="0" borderId="72" xfId="0" applyFont="1" applyBorder="1" applyAlignment="1">
      <alignment horizontal="center" vertical="center" wrapText="1"/>
    </xf>
    <xf numFmtId="0" fontId="111" fillId="0" borderId="73" xfId="0" applyFont="1" applyBorder="1" applyAlignment="1">
      <alignment horizontal="center" vertical="center" wrapText="1"/>
    </xf>
    <xf numFmtId="0" fontId="111" fillId="0" borderId="0" xfId="0" applyFont="1" applyAlignment="1">
      <alignment horizontal="center" vertical="center" wrapText="1"/>
    </xf>
    <xf numFmtId="0" fontId="111" fillId="0" borderId="74" xfId="0" applyFont="1" applyBorder="1" applyAlignment="1">
      <alignment horizontal="center" vertical="center" wrapText="1"/>
    </xf>
    <xf numFmtId="0" fontId="111" fillId="0" borderId="75" xfId="0" applyFont="1" applyBorder="1" applyAlignment="1">
      <alignment horizontal="center" vertical="center" wrapText="1"/>
    </xf>
    <xf numFmtId="0" fontId="111" fillId="0" borderId="76" xfId="0" applyFont="1" applyBorder="1" applyAlignment="1">
      <alignment horizontal="center" vertical="center" wrapText="1"/>
    </xf>
    <xf numFmtId="0" fontId="111" fillId="0" borderId="77" xfId="0" applyFont="1" applyBorder="1" applyAlignment="1">
      <alignment horizontal="center" vertical="center" wrapText="1"/>
    </xf>
    <xf numFmtId="0" fontId="64" fillId="0" borderId="13" xfId="0" applyFont="1" applyBorder="1" applyAlignment="1">
      <alignment horizontal="center" vertical="center" wrapText="1"/>
    </xf>
    <xf numFmtId="0" fontId="64" fillId="0" borderId="14" xfId="0" applyFont="1" applyBorder="1" applyAlignment="1">
      <alignment horizontal="center" vertical="center" wrapText="1"/>
    </xf>
    <xf numFmtId="0" fontId="64" fillId="0" borderId="15" xfId="0" applyFont="1" applyBorder="1" applyAlignment="1">
      <alignment horizontal="center" vertical="center" wrapText="1"/>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146" fillId="34" borderId="13" xfId="0" applyFont="1" applyFill="1" applyBorder="1" applyAlignment="1">
      <alignment horizontal="center" vertical="center" wrapText="1"/>
    </xf>
    <xf numFmtId="0" fontId="146" fillId="34" borderId="14" xfId="0" applyFont="1" applyFill="1" applyBorder="1" applyAlignment="1">
      <alignment horizontal="center" vertical="center" wrapText="1"/>
    </xf>
    <xf numFmtId="0" fontId="146" fillId="34" borderId="15" xfId="0" applyFont="1" applyFill="1" applyBorder="1" applyAlignment="1">
      <alignment horizontal="center" vertical="center" wrapText="1"/>
    </xf>
    <xf numFmtId="0" fontId="146" fillId="34" borderId="16" xfId="0" applyFont="1" applyFill="1" applyBorder="1" applyAlignment="1">
      <alignment horizontal="center" vertical="center" wrapText="1"/>
    </xf>
    <xf numFmtId="0" fontId="146" fillId="34" borderId="17" xfId="0" applyFont="1" applyFill="1" applyBorder="1" applyAlignment="1">
      <alignment horizontal="center" vertical="center" wrapText="1"/>
    </xf>
    <xf numFmtId="0" fontId="146" fillId="34" borderId="18" xfId="0" applyFont="1" applyFill="1" applyBorder="1" applyAlignment="1">
      <alignment horizontal="center" vertical="center" wrapText="1"/>
    </xf>
    <xf numFmtId="0" fontId="66" fillId="0" borderId="13" xfId="0" applyFont="1" applyBorder="1" applyAlignment="1">
      <alignment horizontal="center" vertical="center" wrapText="1"/>
    </xf>
    <xf numFmtId="0" fontId="66" fillId="0" borderId="14" xfId="0" applyFont="1" applyBorder="1" applyAlignment="1">
      <alignment horizontal="center" vertical="center" wrapText="1"/>
    </xf>
    <xf numFmtId="0" fontId="66" fillId="0" borderId="15" xfId="0" applyFont="1" applyBorder="1" applyAlignment="1">
      <alignment horizontal="center" vertical="center" wrapText="1"/>
    </xf>
    <xf numFmtId="0" fontId="66" fillId="0" borderId="16" xfId="0" applyFont="1" applyBorder="1" applyAlignment="1">
      <alignment horizontal="center" vertical="center" wrapText="1"/>
    </xf>
    <xf numFmtId="0" fontId="66" fillId="0" borderId="17" xfId="0" applyFont="1" applyBorder="1" applyAlignment="1">
      <alignment horizontal="center" vertical="center" wrapText="1"/>
    </xf>
    <xf numFmtId="0" fontId="66" fillId="0" borderId="18" xfId="0" applyFont="1" applyBorder="1" applyAlignment="1">
      <alignment horizontal="center" vertical="center" wrapText="1"/>
    </xf>
    <xf numFmtId="15" fontId="64" fillId="0" borderId="0" xfId="19" applyNumberFormat="1" applyFont="1" applyAlignment="1">
      <alignment horizontal="left"/>
    </xf>
    <xf numFmtId="0" fontId="120" fillId="0" borderId="0" xfId="0" applyFont="1" applyAlignment="1">
      <alignment horizontal="center" vertical="center"/>
    </xf>
    <xf numFmtId="15" fontId="61" fillId="0" borderId="0" xfId="19" applyNumberFormat="1" applyFont="1" applyAlignment="1">
      <alignment horizontal="left"/>
    </xf>
    <xf numFmtId="3" fontId="58" fillId="11" borderId="27" xfId="16" applyNumberFormat="1" applyFont="1" applyFill="1" applyBorder="1" applyAlignment="1" applyProtection="1">
      <alignment horizontal="left" vertical="top" wrapText="1"/>
      <protection hidden="1"/>
    </xf>
    <xf numFmtId="3" fontId="58" fillId="11" borderId="28" xfId="16" applyNumberFormat="1" applyFont="1" applyFill="1" applyBorder="1" applyAlignment="1" applyProtection="1">
      <alignment horizontal="left" vertical="top" wrapText="1"/>
      <protection hidden="1"/>
    </xf>
    <xf numFmtId="3" fontId="58" fillId="11" borderId="29" xfId="16" applyNumberFormat="1" applyFont="1" applyFill="1" applyBorder="1" applyAlignment="1" applyProtection="1">
      <alignment horizontal="left" vertical="top" wrapText="1"/>
      <protection hidden="1"/>
    </xf>
    <xf numFmtId="0" fontId="15" fillId="0" borderId="0" xfId="0" applyFont="1" applyAlignment="1">
      <alignment horizontal="left" vertical="center" wrapText="1"/>
    </xf>
    <xf numFmtId="0" fontId="126" fillId="35" borderId="0" xfId="16" applyFont="1" applyFill="1" applyAlignment="1" applyProtection="1">
      <alignment horizontal="left" vertical="center"/>
      <protection hidden="1"/>
    </xf>
    <xf numFmtId="0" fontId="57" fillId="0" borderId="0" xfId="24" applyFont="1" applyAlignment="1">
      <alignment horizontal="left" vertical="center" wrapText="1"/>
    </xf>
    <xf numFmtId="0" fontId="133" fillId="0" borderId="0" xfId="0" applyFont="1" applyAlignment="1">
      <alignment horizontal="center" vertical="center"/>
    </xf>
    <xf numFmtId="0" fontId="126" fillId="42" borderId="0" xfId="0" applyFont="1" applyFill="1" applyAlignment="1">
      <alignment horizontal="left" vertical="center" wrapText="1"/>
    </xf>
    <xf numFmtId="0" fontId="131" fillId="0" borderId="0" xfId="0" applyFont="1" applyAlignment="1">
      <alignment horizontal="left" vertical="center" wrapText="1"/>
    </xf>
    <xf numFmtId="0" fontId="128" fillId="35" borderId="0" xfId="16" applyFont="1" applyFill="1" applyAlignment="1" applyProtection="1">
      <alignment horizontal="left" vertical="center"/>
      <protection hidden="1"/>
    </xf>
    <xf numFmtId="198" fontId="90" fillId="11" borderId="82" xfId="0" applyNumberFormat="1" applyFont="1" applyFill="1" applyBorder="1" applyAlignment="1">
      <alignment horizontal="center" vertical="center"/>
    </xf>
    <xf numFmtId="198" fontId="90" fillId="11" borderId="83" xfId="0" applyNumberFormat="1" applyFont="1" applyFill="1" applyBorder="1" applyAlignment="1">
      <alignment horizontal="center" vertical="center"/>
    </xf>
    <xf numFmtId="198" fontId="90" fillId="36" borderId="79" xfId="0" applyNumberFormat="1" applyFont="1" applyFill="1" applyBorder="1" applyAlignment="1">
      <alignment horizontal="center" vertical="center"/>
    </xf>
    <xf numFmtId="198" fontId="90" fillId="36" borderId="80" xfId="0" applyNumberFormat="1" applyFont="1" applyFill="1" applyBorder="1" applyAlignment="1">
      <alignment horizontal="center" vertical="center"/>
    </xf>
  </cellXfs>
  <cellStyles count="3332">
    <cellStyle name="20% - Accent1 2" xfId="2518" xr:uid="{00000000-0005-0000-0000-000000000000}"/>
    <cellStyle name="20% - Accent2 2" xfId="2519" xr:uid="{00000000-0005-0000-0000-000001000000}"/>
    <cellStyle name="20% - Accent3 2" xfId="2520" xr:uid="{00000000-0005-0000-0000-000002000000}"/>
    <cellStyle name="20% - Accent4 2" xfId="2521" xr:uid="{00000000-0005-0000-0000-000003000000}"/>
    <cellStyle name="20% - Accent5 2" xfId="2522" xr:uid="{00000000-0005-0000-0000-000004000000}"/>
    <cellStyle name="20% - Accent6 2" xfId="2523" xr:uid="{00000000-0005-0000-0000-000005000000}"/>
    <cellStyle name="40% - Accent1 2" xfId="2524" xr:uid="{00000000-0005-0000-0000-000006000000}"/>
    <cellStyle name="40% - Accent2 2" xfId="2525" xr:uid="{00000000-0005-0000-0000-000007000000}"/>
    <cellStyle name="40% - Accent3 2" xfId="2526" xr:uid="{00000000-0005-0000-0000-000008000000}"/>
    <cellStyle name="40% - Accent4 2" xfId="2527" xr:uid="{00000000-0005-0000-0000-000009000000}"/>
    <cellStyle name="40% - Accent5 2" xfId="2528" xr:uid="{00000000-0005-0000-0000-00000A000000}"/>
    <cellStyle name="40% - Accent6 2" xfId="2529" xr:uid="{00000000-0005-0000-0000-00000B000000}"/>
    <cellStyle name="60% - Accent1 2" xfId="2530" xr:uid="{00000000-0005-0000-0000-00000C000000}"/>
    <cellStyle name="60% - Accent2 2" xfId="2531" xr:uid="{00000000-0005-0000-0000-00000D000000}"/>
    <cellStyle name="60% - Accent3 2" xfId="2532" xr:uid="{00000000-0005-0000-0000-00000E000000}"/>
    <cellStyle name="60% - Accent4 2" xfId="2533" xr:uid="{00000000-0005-0000-0000-00000F000000}"/>
    <cellStyle name="60% - Accent5 2" xfId="2534" xr:uid="{00000000-0005-0000-0000-000010000000}"/>
    <cellStyle name="60% - Accent6 2" xfId="2535" xr:uid="{00000000-0005-0000-0000-000011000000}"/>
    <cellStyle name="Accent1 2" xfId="2536" xr:uid="{00000000-0005-0000-0000-000012000000}"/>
    <cellStyle name="Accent2 2" xfId="2537" xr:uid="{00000000-0005-0000-0000-000013000000}"/>
    <cellStyle name="Accent3 2" xfId="2538" xr:uid="{00000000-0005-0000-0000-000014000000}"/>
    <cellStyle name="Accent4 2" xfId="2539" xr:uid="{00000000-0005-0000-0000-000015000000}"/>
    <cellStyle name="Accent5 2" xfId="2540" xr:uid="{00000000-0005-0000-0000-000016000000}"/>
    <cellStyle name="Accent6 2" xfId="2541" xr:uid="{00000000-0005-0000-0000-000017000000}"/>
    <cellStyle name="Bad" xfId="2542" xr:uid="{00000000-0005-0000-0000-000018000000}"/>
    <cellStyle name="Berekening" xfId="1" xr:uid="{00000000-0005-0000-0000-000019000000}"/>
    <cellStyle name="Berekening 2" xfId="2543" xr:uid="{00000000-0005-0000-0000-00001A000000}"/>
    <cellStyle name="Calculation" xfId="2544" xr:uid="{00000000-0005-0000-0000-00001B000000}"/>
    <cellStyle name="Check Cell" xfId="2545" xr:uid="{00000000-0005-0000-0000-00001C000000}"/>
    <cellStyle name="Comma [0]" xfId="2546" xr:uid="{00000000-0005-0000-0000-00001D000000}"/>
    <cellStyle name="Comma_AA BCR/ Basis ruimtestaat 13.0" xfId="2547" xr:uid="{00000000-0005-0000-0000-00001E000000}"/>
    <cellStyle name="Comma_CALCULATIEBLAD.XLS" xfId="2" xr:uid="{00000000-0005-0000-0000-00001F000000}"/>
    <cellStyle name="Comma_Uurtarieven 2000 LEVERANCIER" xfId="3" xr:uid="{00000000-0005-0000-0000-000020000000}"/>
    <cellStyle name="Controlecel 2" xfId="2548" xr:uid="{00000000-0005-0000-0000-000021000000}"/>
    <cellStyle name="Currency [0]" xfId="2549" xr:uid="{00000000-0005-0000-0000-000022000000}"/>
    <cellStyle name="Currency_2.objekten aanbestedi#B9BC8.xls" xfId="2550" xr:uid="{00000000-0005-0000-0000-000023000000}"/>
    <cellStyle name="Currency_ATIR-Calc-Uurtarief 2001" xfId="4" xr:uid="{00000000-0005-0000-0000-000024000000}"/>
    <cellStyle name="Currency_CALCULATIEBLAD.XLS" xfId="5" xr:uid="{00000000-0005-0000-0000-000025000000}"/>
    <cellStyle name="Currency_MACHINEKST.xls" xfId="6" xr:uid="{00000000-0005-0000-0000-000026000000}"/>
    <cellStyle name="euro" xfId="7" xr:uid="{00000000-0005-0000-0000-000027000000}"/>
    <cellStyle name="Euro 2" xfId="2551" xr:uid="{00000000-0005-0000-0000-000028000000}"/>
    <cellStyle name="Euro 3" xfId="2552" xr:uid="{00000000-0005-0000-0000-000029000000}"/>
    <cellStyle name="Euro 4" xfId="2553" xr:uid="{00000000-0005-0000-0000-00002A000000}"/>
    <cellStyle name="Euro_Calculatie Lenger Seafoods Yerseke 090106-1" xfId="2554" xr:uid="{00000000-0005-0000-0000-00002B000000}"/>
    <cellStyle name="Explanatory Text" xfId="2555" xr:uid="{00000000-0005-0000-0000-00002C000000}"/>
    <cellStyle name="Followed Hyperlink_Aantal groepen per school.xls" xfId="2556" xr:uid="{00000000-0005-0000-0000-00002D000000}"/>
    <cellStyle name="Gekoppelde cel" xfId="8" xr:uid="{00000000-0005-0000-0000-00002E000000}"/>
    <cellStyle name="Gekoppelde cel 2" xfId="2557" xr:uid="{00000000-0005-0000-0000-00002F000000}"/>
    <cellStyle name="Gevolgde hyperlink" xfId="484" builtinId="9" hidden="1"/>
    <cellStyle name="Gevolgde hyperlink" xfId="492" builtinId="9" hidden="1"/>
    <cellStyle name="Gevolgde hyperlink" xfId="500" builtinId="9" hidden="1"/>
    <cellStyle name="Gevolgde hyperlink" xfId="508" builtinId="9" hidden="1"/>
    <cellStyle name="Gevolgde hyperlink" xfId="516" builtinId="9" hidden="1"/>
    <cellStyle name="Gevolgde hyperlink" xfId="524" builtinId="9" hidden="1"/>
    <cellStyle name="Gevolgde hyperlink" xfId="532" builtinId="9" hidden="1"/>
    <cellStyle name="Gevolgde hyperlink" xfId="540" builtinId="9" hidden="1"/>
    <cellStyle name="Gevolgde hyperlink" xfId="548" builtinId="9" hidden="1"/>
    <cellStyle name="Gevolgde hyperlink" xfId="556" builtinId="9" hidden="1"/>
    <cellStyle name="Gevolgde hyperlink" xfId="564" builtinId="9" hidden="1"/>
    <cellStyle name="Gevolgde hyperlink" xfId="572" builtinId="9" hidden="1"/>
    <cellStyle name="Gevolgde hyperlink" xfId="580" builtinId="9" hidden="1"/>
    <cellStyle name="Gevolgde hyperlink" xfId="588" builtinId="9" hidden="1"/>
    <cellStyle name="Gevolgde hyperlink" xfId="596" builtinId="9" hidden="1"/>
    <cellStyle name="Gevolgde hyperlink" xfId="604" builtinId="9" hidden="1"/>
    <cellStyle name="Gevolgde hyperlink" xfId="612" builtinId="9" hidden="1"/>
    <cellStyle name="Gevolgde hyperlink" xfId="620" builtinId="9" hidden="1"/>
    <cellStyle name="Gevolgde hyperlink" xfId="628" builtinId="9" hidden="1"/>
    <cellStyle name="Gevolgde hyperlink" xfId="636" builtinId="9" hidden="1"/>
    <cellStyle name="Gevolgde hyperlink" xfId="644" builtinId="9" hidden="1"/>
    <cellStyle name="Gevolgde hyperlink" xfId="652" builtinId="9" hidden="1"/>
    <cellStyle name="Gevolgde hyperlink" xfId="660" builtinId="9" hidden="1"/>
    <cellStyle name="Gevolgde hyperlink" xfId="668" builtinId="9" hidden="1"/>
    <cellStyle name="Gevolgde hyperlink" xfId="676" builtinId="9" hidden="1"/>
    <cellStyle name="Gevolgde hyperlink" xfId="684" builtinId="9" hidden="1"/>
    <cellStyle name="Gevolgde hyperlink" xfId="692" builtinId="9" hidden="1"/>
    <cellStyle name="Gevolgde hyperlink" xfId="700" builtinId="9" hidden="1"/>
    <cellStyle name="Gevolgde hyperlink" xfId="708" builtinId="9" hidden="1"/>
    <cellStyle name="Gevolgde hyperlink" xfId="716" builtinId="9" hidden="1"/>
    <cellStyle name="Gevolgde hyperlink" xfId="724" builtinId="9" hidden="1"/>
    <cellStyle name="Gevolgde hyperlink" xfId="732" builtinId="9" hidden="1"/>
    <cellStyle name="Gevolgde hyperlink" xfId="740" builtinId="9" hidden="1"/>
    <cellStyle name="Gevolgde hyperlink" xfId="748" builtinId="9" hidden="1"/>
    <cellStyle name="Gevolgde hyperlink" xfId="756" builtinId="9" hidden="1"/>
    <cellStyle name="Gevolgde hyperlink" xfId="764" builtinId="9" hidden="1"/>
    <cellStyle name="Gevolgde hyperlink" xfId="772" builtinId="9" hidden="1"/>
    <cellStyle name="Gevolgde hyperlink" xfId="780" builtinId="9" hidden="1"/>
    <cellStyle name="Gevolgde hyperlink" xfId="788" builtinId="9" hidden="1"/>
    <cellStyle name="Gevolgde hyperlink" xfId="796" builtinId="9" hidden="1"/>
    <cellStyle name="Gevolgde hyperlink" xfId="804" builtinId="9" hidden="1"/>
    <cellStyle name="Gevolgde hyperlink" xfId="812" builtinId="9" hidden="1"/>
    <cellStyle name="Gevolgde hyperlink" xfId="820" builtinId="9" hidden="1"/>
    <cellStyle name="Gevolgde hyperlink" xfId="828" builtinId="9" hidden="1"/>
    <cellStyle name="Gevolgde hyperlink" xfId="836" builtinId="9" hidden="1"/>
    <cellStyle name="Gevolgde hyperlink" xfId="844" builtinId="9" hidden="1"/>
    <cellStyle name="Gevolgde hyperlink" xfId="852" builtinId="9" hidden="1"/>
    <cellStyle name="Gevolgde hyperlink" xfId="860" builtinId="9" hidden="1"/>
    <cellStyle name="Gevolgde hyperlink" xfId="868" builtinId="9" hidden="1"/>
    <cellStyle name="Gevolgde hyperlink" xfId="876" builtinId="9" hidden="1"/>
    <cellStyle name="Gevolgde hyperlink" xfId="884" builtinId="9" hidden="1"/>
    <cellStyle name="Gevolgde hyperlink" xfId="892" builtinId="9" hidden="1"/>
    <cellStyle name="Gevolgde hyperlink" xfId="900" builtinId="9" hidden="1"/>
    <cellStyle name="Gevolgde hyperlink" xfId="908" builtinId="9" hidden="1"/>
    <cellStyle name="Gevolgde hyperlink" xfId="916" builtinId="9" hidden="1"/>
    <cellStyle name="Gevolgde hyperlink" xfId="924" builtinId="9" hidden="1"/>
    <cellStyle name="Gevolgde hyperlink" xfId="932" builtinId="9" hidden="1"/>
    <cellStyle name="Gevolgde hyperlink" xfId="940" builtinId="9" hidden="1"/>
    <cellStyle name="Gevolgde hyperlink" xfId="948" builtinId="9" hidden="1"/>
    <cellStyle name="Gevolgde hyperlink" xfId="956" builtinId="9" hidden="1"/>
    <cellStyle name="Gevolgde hyperlink" xfId="964" builtinId="9" hidden="1"/>
    <cellStyle name="Gevolgde hyperlink" xfId="972" builtinId="9" hidden="1"/>
    <cellStyle name="Gevolgde hyperlink" xfId="980" builtinId="9" hidden="1"/>
    <cellStyle name="Gevolgde hyperlink" xfId="988" builtinId="9" hidden="1"/>
    <cellStyle name="Gevolgde hyperlink" xfId="996" builtinId="9" hidden="1"/>
    <cellStyle name="Gevolgde hyperlink" xfId="1004" builtinId="9" hidden="1"/>
    <cellStyle name="Gevolgde hyperlink" xfId="1012" builtinId="9" hidden="1"/>
    <cellStyle name="Gevolgde hyperlink" xfId="1020" builtinId="9" hidden="1"/>
    <cellStyle name="Gevolgde hyperlink" xfId="1028" builtinId="9" hidden="1"/>
    <cellStyle name="Gevolgde hyperlink" xfId="1036" builtinId="9" hidden="1"/>
    <cellStyle name="Gevolgde hyperlink" xfId="1044" builtinId="9" hidden="1"/>
    <cellStyle name="Gevolgde hyperlink" xfId="1052" builtinId="9" hidden="1"/>
    <cellStyle name="Gevolgde hyperlink" xfId="1060" builtinId="9" hidden="1"/>
    <cellStyle name="Gevolgde hyperlink" xfId="1068" builtinId="9" hidden="1"/>
    <cellStyle name="Gevolgde hyperlink" xfId="1076" builtinId="9" hidden="1"/>
    <cellStyle name="Gevolgde hyperlink" xfId="1084" builtinId="9" hidden="1"/>
    <cellStyle name="Gevolgde hyperlink" xfId="1092" builtinId="9" hidden="1"/>
    <cellStyle name="Gevolgde hyperlink" xfId="1100" builtinId="9" hidden="1"/>
    <cellStyle name="Gevolgde hyperlink" xfId="1108" builtinId="9" hidden="1"/>
    <cellStyle name="Gevolgde hyperlink" xfId="1116" builtinId="9" hidden="1"/>
    <cellStyle name="Gevolgde hyperlink" xfId="1124" builtinId="9" hidden="1"/>
    <cellStyle name="Gevolgde hyperlink" xfId="1132" builtinId="9" hidden="1"/>
    <cellStyle name="Gevolgde hyperlink" xfId="1140" builtinId="9" hidden="1"/>
    <cellStyle name="Gevolgde hyperlink" xfId="1148" builtinId="9" hidden="1"/>
    <cellStyle name="Gevolgde hyperlink" xfId="1156" builtinId="9" hidden="1"/>
    <cellStyle name="Gevolgde hyperlink" xfId="1164" builtinId="9" hidden="1"/>
    <cellStyle name="Gevolgde hyperlink" xfId="1172" builtinId="9" hidden="1"/>
    <cellStyle name="Gevolgde hyperlink" xfId="1180" builtinId="9" hidden="1"/>
    <cellStyle name="Gevolgde hyperlink" xfId="1188" builtinId="9" hidden="1"/>
    <cellStyle name="Gevolgde hyperlink" xfId="1196" builtinId="9" hidden="1"/>
    <cellStyle name="Gevolgde hyperlink" xfId="1204" builtinId="9" hidden="1"/>
    <cellStyle name="Gevolgde hyperlink" xfId="1212" builtinId="9" hidden="1"/>
    <cellStyle name="Gevolgde hyperlink" xfId="1220" builtinId="9" hidden="1"/>
    <cellStyle name="Gevolgde hyperlink" xfId="1228" builtinId="9" hidden="1"/>
    <cellStyle name="Gevolgde hyperlink" xfId="1236" builtinId="9" hidden="1"/>
    <cellStyle name="Gevolgde hyperlink" xfId="1244" builtinId="9" hidden="1"/>
    <cellStyle name="Gevolgde hyperlink" xfId="1252" builtinId="9" hidden="1"/>
    <cellStyle name="Gevolgde hyperlink" xfId="1260" builtinId="9" hidden="1"/>
    <cellStyle name="Gevolgde hyperlink" xfId="1268" builtinId="9" hidden="1"/>
    <cellStyle name="Gevolgde hyperlink" xfId="1276" builtinId="9" hidden="1"/>
    <cellStyle name="Gevolgde hyperlink" xfId="1284" builtinId="9" hidden="1"/>
    <cellStyle name="Gevolgde hyperlink" xfId="1292" builtinId="9" hidden="1"/>
    <cellStyle name="Gevolgde hyperlink" xfId="1300" builtinId="9" hidden="1"/>
    <cellStyle name="Gevolgde hyperlink" xfId="1308" builtinId="9" hidden="1"/>
    <cellStyle name="Gevolgde hyperlink" xfId="1316" builtinId="9" hidden="1"/>
    <cellStyle name="Gevolgde hyperlink" xfId="1324" builtinId="9" hidden="1"/>
    <cellStyle name="Gevolgde hyperlink" xfId="1332" builtinId="9" hidden="1"/>
    <cellStyle name="Gevolgde hyperlink" xfId="1340" builtinId="9" hidden="1"/>
    <cellStyle name="Gevolgde hyperlink" xfId="1348" builtinId="9" hidden="1"/>
    <cellStyle name="Gevolgde hyperlink" xfId="1356" builtinId="9" hidden="1"/>
    <cellStyle name="Gevolgde hyperlink" xfId="1364" builtinId="9" hidden="1"/>
    <cellStyle name="Gevolgde hyperlink" xfId="1372" builtinId="9" hidden="1"/>
    <cellStyle name="Gevolgde hyperlink" xfId="1380" builtinId="9" hidden="1"/>
    <cellStyle name="Gevolgde hyperlink" xfId="1388" builtinId="9" hidden="1"/>
    <cellStyle name="Gevolgde hyperlink" xfId="1396" builtinId="9" hidden="1"/>
    <cellStyle name="Gevolgde hyperlink" xfId="1404" builtinId="9" hidden="1"/>
    <cellStyle name="Gevolgde hyperlink" xfId="1412" builtinId="9" hidden="1"/>
    <cellStyle name="Gevolgde hyperlink" xfId="1420" builtinId="9" hidden="1"/>
    <cellStyle name="Gevolgde hyperlink" xfId="1428" builtinId="9" hidden="1"/>
    <cellStyle name="Gevolgde hyperlink" xfId="1436" builtinId="9" hidden="1"/>
    <cellStyle name="Gevolgde hyperlink" xfId="1444" builtinId="9" hidden="1"/>
    <cellStyle name="Gevolgde hyperlink" xfId="1452" builtinId="9" hidden="1"/>
    <cellStyle name="Gevolgde hyperlink" xfId="1460" builtinId="9" hidden="1"/>
    <cellStyle name="Gevolgde hyperlink" xfId="1468" builtinId="9" hidden="1"/>
    <cellStyle name="Gevolgde hyperlink" xfId="1476" builtinId="9" hidden="1"/>
    <cellStyle name="Gevolgde hyperlink" xfId="1484" builtinId="9" hidden="1"/>
    <cellStyle name="Gevolgde hyperlink" xfId="1492" builtinId="9" hidden="1"/>
    <cellStyle name="Gevolgde hyperlink" xfId="1500" builtinId="9" hidden="1"/>
    <cellStyle name="Gevolgde hyperlink" xfId="1508" builtinId="9" hidden="1"/>
    <cellStyle name="Gevolgde hyperlink" xfId="1516" builtinId="9" hidden="1"/>
    <cellStyle name="Gevolgde hyperlink" xfId="1524" builtinId="9" hidden="1"/>
    <cellStyle name="Gevolgde hyperlink" xfId="1532" builtinId="9" hidden="1"/>
    <cellStyle name="Gevolgde hyperlink" xfId="1540" builtinId="9" hidden="1"/>
    <cellStyle name="Gevolgde hyperlink" xfId="1548" builtinId="9" hidden="1"/>
    <cellStyle name="Gevolgde hyperlink" xfId="1556" builtinId="9" hidden="1"/>
    <cellStyle name="Gevolgde hyperlink" xfId="1564" builtinId="9" hidden="1"/>
    <cellStyle name="Gevolgde hyperlink" xfId="1572" builtinId="9" hidden="1"/>
    <cellStyle name="Gevolgde hyperlink" xfId="1580" builtinId="9" hidden="1"/>
    <cellStyle name="Gevolgde hyperlink" xfId="1588" builtinId="9" hidden="1"/>
    <cellStyle name="Gevolgde hyperlink" xfId="1596" builtinId="9" hidden="1"/>
    <cellStyle name="Gevolgde hyperlink" xfId="1604" builtinId="9" hidden="1"/>
    <cellStyle name="Gevolgde hyperlink" xfId="1612" builtinId="9" hidden="1"/>
    <cellStyle name="Gevolgde hyperlink" xfId="1620" builtinId="9" hidden="1"/>
    <cellStyle name="Gevolgde hyperlink" xfId="1628" builtinId="9" hidden="1"/>
    <cellStyle name="Gevolgde hyperlink" xfId="1636" builtinId="9" hidden="1"/>
    <cellStyle name="Gevolgde hyperlink" xfId="1644" builtinId="9" hidden="1"/>
    <cellStyle name="Gevolgde hyperlink" xfId="1652" builtinId="9" hidden="1"/>
    <cellStyle name="Gevolgde hyperlink" xfId="1660" builtinId="9" hidden="1"/>
    <cellStyle name="Gevolgde hyperlink" xfId="1668" builtinId="9" hidden="1"/>
    <cellStyle name="Gevolgde hyperlink" xfId="1676" builtinId="9" hidden="1"/>
    <cellStyle name="Gevolgde hyperlink" xfId="1684" builtinId="9" hidden="1"/>
    <cellStyle name="Gevolgde hyperlink" xfId="1692" builtinId="9" hidden="1"/>
    <cellStyle name="Gevolgde hyperlink" xfId="1700" builtinId="9" hidden="1"/>
    <cellStyle name="Gevolgde hyperlink" xfId="1708" builtinId="9" hidden="1"/>
    <cellStyle name="Gevolgde hyperlink" xfId="1716" builtinId="9" hidden="1"/>
    <cellStyle name="Gevolgde hyperlink" xfId="1724" builtinId="9" hidden="1"/>
    <cellStyle name="Gevolgde hyperlink" xfId="1732" builtinId="9" hidden="1"/>
    <cellStyle name="Gevolgde hyperlink" xfId="1740" builtinId="9" hidden="1"/>
    <cellStyle name="Gevolgde hyperlink" xfId="1748" builtinId="9" hidden="1"/>
    <cellStyle name="Gevolgde hyperlink" xfId="1756" builtinId="9" hidden="1"/>
    <cellStyle name="Gevolgde hyperlink" xfId="1764" builtinId="9" hidden="1"/>
    <cellStyle name="Gevolgde hyperlink" xfId="1772" builtinId="9" hidden="1"/>
    <cellStyle name="Gevolgde hyperlink" xfId="1780" builtinId="9" hidden="1"/>
    <cellStyle name="Gevolgde hyperlink" xfId="1788" builtinId="9" hidden="1"/>
    <cellStyle name="Gevolgde hyperlink" xfId="1796" builtinId="9" hidden="1"/>
    <cellStyle name="Gevolgde hyperlink" xfId="1804" builtinId="9" hidden="1"/>
    <cellStyle name="Gevolgde hyperlink" xfId="1812" builtinId="9" hidden="1"/>
    <cellStyle name="Gevolgde hyperlink" xfId="1820" builtinId="9" hidden="1"/>
    <cellStyle name="Gevolgde hyperlink" xfId="1828" builtinId="9" hidden="1"/>
    <cellStyle name="Gevolgde hyperlink" xfId="1836" builtinId="9" hidden="1"/>
    <cellStyle name="Gevolgde hyperlink" xfId="1844" builtinId="9" hidden="1"/>
    <cellStyle name="Gevolgde hyperlink" xfId="1852" builtinId="9" hidden="1"/>
    <cellStyle name="Gevolgde hyperlink" xfId="1860" builtinId="9" hidden="1"/>
    <cellStyle name="Gevolgde hyperlink" xfId="1868" builtinId="9" hidden="1"/>
    <cellStyle name="Gevolgde hyperlink" xfId="1876" builtinId="9" hidden="1"/>
    <cellStyle name="Gevolgde hyperlink" xfId="1884" builtinId="9" hidden="1"/>
    <cellStyle name="Gevolgde hyperlink" xfId="1892" builtinId="9" hidden="1"/>
    <cellStyle name="Gevolgde hyperlink" xfId="1900" builtinId="9" hidden="1"/>
    <cellStyle name="Gevolgde hyperlink" xfId="1908" builtinId="9" hidden="1"/>
    <cellStyle name="Gevolgde hyperlink" xfId="1916" builtinId="9" hidden="1"/>
    <cellStyle name="Gevolgde hyperlink" xfId="1924" builtinId="9" hidden="1"/>
    <cellStyle name="Gevolgde hyperlink" xfId="1932" builtinId="9" hidden="1"/>
    <cellStyle name="Gevolgde hyperlink" xfId="1940" builtinId="9" hidden="1"/>
    <cellStyle name="Gevolgde hyperlink" xfId="1948" builtinId="9" hidden="1"/>
    <cellStyle name="Gevolgde hyperlink" xfId="1956" builtinId="9" hidden="1"/>
    <cellStyle name="Gevolgde hyperlink" xfId="1964" builtinId="9" hidden="1"/>
    <cellStyle name="Gevolgde hyperlink" xfId="1972" builtinId="9" hidden="1"/>
    <cellStyle name="Gevolgde hyperlink" xfId="1980" builtinId="9" hidden="1"/>
    <cellStyle name="Gevolgde hyperlink" xfId="1988" builtinId="9" hidden="1"/>
    <cellStyle name="Gevolgde hyperlink" xfId="1996" builtinId="9" hidden="1"/>
    <cellStyle name="Gevolgde hyperlink" xfId="2004" builtinId="9" hidden="1"/>
    <cellStyle name="Gevolgde hyperlink" xfId="2012" builtinId="9" hidden="1"/>
    <cellStyle name="Gevolgde hyperlink" xfId="2020" builtinId="9" hidden="1"/>
    <cellStyle name="Gevolgde hyperlink" xfId="2028" builtinId="9" hidden="1"/>
    <cellStyle name="Gevolgde hyperlink" xfId="2036" builtinId="9" hidden="1"/>
    <cellStyle name="Gevolgde hyperlink" xfId="2044" builtinId="9" hidden="1"/>
    <cellStyle name="Gevolgde hyperlink" xfId="2052" builtinId="9" hidden="1"/>
    <cellStyle name="Gevolgde hyperlink" xfId="2060" builtinId="9" hidden="1"/>
    <cellStyle name="Gevolgde hyperlink" xfId="2068" builtinId="9" hidden="1"/>
    <cellStyle name="Gevolgde hyperlink" xfId="2076" builtinId="9" hidden="1"/>
    <cellStyle name="Gevolgde hyperlink" xfId="2084" builtinId="9" hidden="1"/>
    <cellStyle name="Gevolgde hyperlink" xfId="2092" builtinId="9" hidden="1"/>
    <cellStyle name="Gevolgde hyperlink" xfId="2100" builtinId="9" hidden="1"/>
    <cellStyle name="Gevolgde hyperlink" xfId="2108" builtinId="9" hidden="1"/>
    <cellStyle name="Gevolgde hyperlink" xfId="2116" builtinId="9" hidden="1"/>
    <cellStyle name="Gevolgde hyperlink" xfId="2124" builtinId="9" hidden="1"/>
    <cellStyle name="Gevolgde hyperlink" xfId="2132" builtinId="9" hidden="1"/>
    <cellStyle name="Gevolgde hyperlink" xfId="2140" builtinId="9" hidden="1"/>
    <cellStyle name="Gevolgde hyperlink" xfId="2148" builtinId="9" hidden="1"/>
    <cellStyle name="Gevolgde hyperlink" xfId="2156" builtinId="9" hidden="1"/>
    <cellStyle name="Gevolgde hyperlink" xfId="2164" builtinId="9" hidden="1"/>
    <cellStyle name="Gevolgde hyperlink" xfId="2172" builtinId="9" hidden="1"/>
    <cellStyle name="Gevolgde hyperlink" xfId="2180" builtinId="9" hidden="1"/>
    <cellStyle name="Gevolgde hyperlink" xfId="2188" builtinId="9" hidden="1"/>
    <cellStyle name="Gevolgde hyperlink" xfId="2196" builtinId="9" hidden="1"/>
    <cellStyle name="Gevolgde hyperlink" xfId="2204" builtinId="9" hidden="1"/>
    <cellStyle name="Gevolgde hyperlink" xfId="2212" builtinId="9" hidden="1"/>
    <cellStyle name="Gevolgde hyperlink" xfId="2220" builtinId="9" hidden="1"/>
    <cellStyle name="Gevolgde hyperlink" xfId="2228" builtinId="9" hidden="1"/>
    <cellStyle name="Gevolgde hyperlink" xfId="2236" builtinId="9" hidden="1"/>
    <cellStyle name="Gevolgde hyperlink" xfId="2244" builtinId="9" hidden="1"/>
    <cellStyle name="Gevolgde hyperlink" xfId="2252" builtinId="9" hidden="1"/>
    <cellStyle name="Gevolgde hyperlink" xfId="2260" builtinId="9" hidden="1"/>
    <cellStyle name="Gevolgde hyperlink" xfId="2268" builtinId="9" hidden="1"/>
    <cellStyle name="Gevolgde hyperlink" xfId="2276" builtinId="9" hidden="1"/>
    <cellStyle name="Gevolgde hyperlink" xfId="2284" builtinId="9" hidden="1"/>
    <cellStyle name="Gevolgde hyperlink" xfId="2292" builtinId="9" hidden="1"/>
    <cellStyle name="Gevolgde hyperlink" xfId="2300" builtinId="9" hidden="1"/>
    <cellStyle name="Gevolgde hyperlink" xfId="2308" builtinId="9" hidden="1"/>
    <cellStyle name="Gevolgde hyperlink" xfId="2316" builtinId="9" hidden="1"/>
    <cellStyle name="Gevolgde hyperlink" xfId="2324" builtinId="9" hidden="1"/>
    <cellStyle name="Gevolgde hyperlink" xfId="2332" builtinId="9" hidden="1"/>
    <cellStyle name="Gevolgde hyperlink" xfId="2340" builtinId="9" hidden="1"/>
    <cellStyle name="Gevolgde hyperlink" xfId="2348" builtinId="9" hidden="1"/>
    <cellStyle name="Gevolgde hyperlink" xfId="2356" builtinId="9" hidden="1"/>
    <cellStyle name="Gevolgde hyperlink" xfId="2364" builtinId="9" hidden="1"/>
    <cellStyle name="Gevolgde hyperlink" xfId="2372" builtinId="9" hidden="1"/>
    <cellStyle name="Gevolgde hyperlink" xfId="2380" builtinId="9" hidden="1"/>
    <cellStyle name="Gevolgde hyperlink" xfId="2388" builtinId="9" hidden="1"/>
    <cellStyle name="Gevolgde hyperlink" xfId="2396" builtinId="9" hidden="1"/>
    <cellStyle name="Gevolgde hyperlink" xfId="2404" builtinId="9" hidden="1"/>
    <cellStyle name="Gevolgde hyperlink" xfId="2412" builtinId="9" hidden="1"/>
    <cellStyle name="Gevolgde hyperlink" xfId="2420" builtinId="9" hidden="1"/>
    <cellStyle name="Gevolgde hyperlink" xfId="2428" builtinId="9" hidden="1"/>
    <cellStyle name="Gevolgde hyperlink" xfId="2436" builtinId="9" hidden="1"/>
    <cellStyle name="Gevolgde hyperlink" xfId="2444" builtinId="9" hidden="1"/>
    <cellStyle name="Gevolgde hyperlink" xfId="2452" builtinId="9" hidden="1"/>
    <cellStyle name="Gevolgde hyperlink" xfId="2460" builtinId="9" hidden="1"/>
    <cellStyle name="Gevolgde hyperlink" xfId="2468" builtinId="9" hidden="1"/>
    <cellStyle name="Gevolgde hyperlink" xfId="2476" builtinId="9" hidden="1"/>
    <cellStyle name="Gevolgde hyperlink" xfId="2484" builtinId="9" hidden="1"/>
    <cellStyle name="Gevolgde hyperlink" xfId="2492" builtinId="9" hidden="1"/>
    <cellStyle name="Gevolgde hyperlink" xfId="2500" builtinId="9" hidden="1"/>
    <cellStyle name="Gevolgde hyperlink" xfId="2508" builtinId="9" hidden="1"/>
    <cellStyle name="Gevolgde hyperlink" xfId="2625" builtinId="9" hidden="1"/>
    <cellStyle name="Gevolgde hyperlink" xfId="2633" builtinId="9" hidden="1"/>
    <cellStyle name="Gevolgde hyperlink" xfId="2641" builtinId="9" hidden="1"/>
    <cellStyle name="Gevolgde hyperlink" xfId="2649" builtinId="9" hidden="1"/>
    <cellStyle name="Gevolgde hyperlink" xfId="2657" builtinId="9" hidden="1"/>
    <cellStyle name="Gevolgde hyperlink" xfId="2665" builtinId="9" hidden="1"/>
    <cellStyle name="Gevolgde hyperlink" xfId="2673" builtinId="9" hidden="1"/>
    <cellStyle name="Gevolgde hyperlink" xfId="2681" builtinId="9" hidden="1"/>
    <cellStyle name="Gevolgde hyperlink" xfId="2689" builtinId="9" hidden="1"/>
    <cellStyle name="Gevolgde hyperlink" xfId="2697" builtinId="9" hidden="1"/>
    <cellStyle name="Gevolgde hyperlink" xfId="2705" builtinId="9" hidden="1"/>
    <cellStyle name="Gevolgde hyperlink" xfId="2713" builtinId="9" hidden="1"/>
    <cellStyle name="Gevolgde hyperlink" xfId="2721" builtinId="9" hidden="1"/>
    <cellStyle name="Gevolgde hyperlink" xfId="2729" builtinId="9" hidden="1"/>
    <cellStyle name="Gevolgde hyperlink" xfId="2737" builtinId="9" hidden="1"/>
    <cellStyle name="Gevolgde hyperlink" xfId="2745" builtinId="9" hidden="1"/>
    <cellStyle name="Gevolgde hyperlink" xfId="2753" builtinId="9" hidden="1"/>
    <cellStyle name="Gevolgde hyperlink" xfId="2761" builtinId="9" hidden="1"/>
    <cellStyle name="Gevolgde hyperlink" xfId="2769" builtinId="9" hidden="1"/>
    <cellStyle name="Gevolgde hyperlink" xfId="2777" builtinId="9" hidden="1"/>
    <cellStyle name="Gevolgde hyperlink" xfId="2785" builtinId="9" hidden="1"/>
    <cellStyle name="Gevolgde hyperlink" xfId="2793" builtinId="9" hidden="1"/>
    <cellStyle name="Gevolgde hyperlink" xfId="2801" builtinId="9" hidden="1"/>
    <cellStyle name="Gevolgde hyperlink" xfId="2809" builtinId="9" hidden="1"/>
    <cellStyle name="Gevolgde hyperlink" xfId="2817" builtinId="9" hidden="1"/>
    <cellStyle name="Gevolgde hyperlink" xfId="2825" builtinId="9" hidden="1"/>
    <cellStyle name="Gevolgde hyperlink" xfId="2833" builtinId="9" hidden="1"/>
    <cellStyle name="Gevolgde hyperlink" xfId="2841" builtinId="9" hidden="1"/>
    <cellStyle name="Gevolgde hyperlink" xfId="2849" builtinId="9" hidden="1"/>
    <cellStyle name="Gevolgde hyperlink" xfId="2857" builtinId="9" hidden="1"/>
    <cellStyle name="Gevolgde hyperlink" xfId="2865" builtinId="9" hidden="1"/>
    <cellStyle name="Gevolgde hyperlink" xfId="2873" builtinId="9" hidden="1"/>
    <cellStyle name="Gevolgde hyperlink" xfId="2881" builtinId="9" hidden="1"/>
    <cellStyle name="Gevolgde hyperlink" xfId="2889" builtinId="9" hidden="1"/>
    <cellStyle name="Gevolgde hyperlink" xfId="2897" builtinId="9" hidden="1"/>
    <cellStyle name="Gevolgde hyperlink" xfId="2905" builtinId="9" hidden="1"/>
    <cellStyle name="Gevolgde hyperlink" xfId="2913" builtinId="9" hidden="1"/>
    <cellStyle name="Gevolgde hyperlink" xfId="2921" builtinId="9" hidden="1"/>
    <cellStyle name="Gevolgde hyperlink" xfId="2929" builtinId="9" hidden="1"/>
    <cellStyle name="Gevolgde hyperlink" xfId="2937" builtinId="9" hidden="1"/>
    <cellStyle name="Gevolgde hyperlink" xfId="2945" builtinId="9" hidden="1"/>
    <cellStyle name="Gevolgde hyperlink" xfId="2953" builtinId="9" hidden="1"/>
    <cellStyle name="Gevolgde hyperlink" xfId="2961" builtinId="9" hidden="1"/>
    <cellStyle name="Gevolgde hyperlink" xfId="2969" builtinId="9" hidden="1"/>
    <cellStyle name="Gevolgde hyperlink" xfId="2977" builtinId="9" hidden="1"/>
    <cellStyle name="Gevolgde hyperlink" xfId="2985" builtinId="9" hidden="1"/>
    <cellStyle name="Gevolgde hyperlink" xfId="2993" builtinId="9" hidden="1"/>
    <cellStyle name="Gevolgde hyperlink" xfId="3001" builtinId="9" hidden="1"/>
    <cellStyle name="Gevolgde hyperlink" xfId="3009" builtinId="9" hidden="1"/>
    <cellStyle name="Gevolgde hyperlink" xfId="3017" builtinId="9" hidden="1"/>
    <cellStyle name="Gevolgde hyperlink" xfId="3025" builtinId="9" hidden="1"/>
    <cellStyle name="Gevolgde hyperlink" xfId="3033" builtinId="9" hidden="1"/>
    <cellStyle name="Gevolgde hyperlink" xfId="3041" builtinId="9" hidden="1"/>
    <cellStyle name="Gevolgde hyperlink" xfId="3049" builtinId="9" hidden="1"/>
    <cellStyle name="Gevolgde hyperlink" xfId="3057" builtinId="9" hidden="1"/>
    <cellStyle name="Gevolgde hyperlink" xfId="3065" builtinId="9" hidden="1"/>
    <cellStyle name="Gevolgde hyperlink" xfId="3073" builtinId="9" hidden="1"/>
    <cellStyle name="Gevolgde hyperlink" xfId="3081" builtinId="9" hidden="1"/>
    <cellStyle name="Gevolgde hyperlink" xfId="3089" builtinId="9" hidden="1"/>
    <cellStyle name="Gevolgde hyperlink" xfId="3097" builtinId="9" hidden="1"/>
    <cellStyle name="Gevolgde hyperlink" xfId="3105" builtinId="9" hidden="1"/>
    <cellStyle name="Gevolgde hyperlink" xfId="3113" builtinId="9" hidden="1"/>
    <cellStyle name="Gevolgde hyperlink" xfId="3121" builtinId="9" hidden="1"/>
    <cellStyle name="Gevolgde hyperlink" xfId="3129" builtinId="9" hidden="1"/>
    <cellStyle name="Gevolgde hyperlink" xfId="3137" builtinId="9" hidden="1"/>
    <cellStyle name="Gevolgde hyperlink" xfId="3145" builtinId="9" hidden="1"/>
    <cellStyle name="Gevolgde hyperlink" xfId="3153" builtinId="9" hidden="1"/>
    <cellStyle name="Gevolgde hyperlink" xfId="3161" builtinId="9" hidden="1"/>
    <cellStyle name="Gevolgde hyperlink" xfId="3169" builtinId="9" hidden="1"/>
    <cellStyle name="Gevolgde hyperlink" xfId="3177" builtinId="9" hidden="1"/>
    <cellStyle name="Gevolgde hyperlink" xfId="3185" builtinId="9" hidden="1"/>
    <cellStyle name="Gevolgde hyperlink" xfId="3193" builtinId="9" hidden="1"/>
    <cellStyle name="Gevolgde hyperlink" xfId="3201" builtinId="9" hidden="1"/>
    <cellStyle name="Gevolgde hyperlink" xfId="3209" builtinId="9" hidden="1"/>
    <cellStyle name="Gevolgde hyperlink" xfId="3217" builtinId="9" hidden="1"/>
    <cellStyle name="Gevolgde hyperlink" xfId="3225" builtinId="9" hidden="1"/>
    <cellStyle name="Gevolgde hyperlink" xfId="3233" builtinId="9" hidden="1"/>
    <cellStyle name="Gevolgde hyperlink" xfId="3241" builtinId="9" hidden="1"/>
    <cellStyle name="Gevolgde hyperlink" xfId="3249" builtinId="9" hidden="1"/>
    <cellStyle name="Gevolgde hyperlink" xfId="3257" builtinId="9" hidden="1"/>
    <cellStyle name="Gevolgde hyperlink" xfId="3265" builtinId="9" hidden="1"/>
    <cellStyle name="Gevolgde hyperlink" xfId="3273" builtinId="9" hidden="1"/>
    <cellStyle name="Gevolgde hyperlink" xfId="3281" builtinId="9" hidden="1"/>
    <cellStyle name="Gevolgde hyperlink" xfId="3289" builtinId="9" hidden="1"/>
    <cellStyle name="Gevolgde hyperlink" xfId="3297" builtinId="9" hidden="1"/>
    <cellStyle name="Gevolgde hyperlink" xfId="3305" builtinId="9" hidden="1"/>
    <cellStyle name="Gevolgde hyperlink" xfId="3313" builtinId="9" hidden="1"/>
    <cellStyle name="Gevolgde hyperlink" xfId="3321" builtinId="9" hidden="1"/>
    <cellStyle name="Gevolgde hyperlink" xfId="3323" builtinId="9" hidden="1"/>
    <cellStyle name="Gevolgde hyperlink" xfId="3315" builtinId="9" hidden="1"/>
    <cellStyle name="Gevolgde hyperlink" xfId="3307" builtinId="9" hidden="1"/>
    <cellStyle name="Gevolgde hyperlink" xfId="3299" builtinId="9" hidden="1"/>
    <cellStyle name="Gevolgde hyperlink" xfId="3291" builtinId="9" hidden="1"/>
    <cellStyle name="Gevolgde hyperlink" xfId="3283" builtinId="9" hidden="1"/>
    <cellStyle name="Gevolgde hyperlink" xfId="3275" builtinId="9" hidden="1"/>
    <cellStyle name="Gevolgde hyperlink" xfId="3267" builtinId="9" hidden="1"/>
    <cellStyle name="Gevolgde hyperlink" xfId="3259" builtinId="9" hidden="1"/>
    <cellStyle name="Gevolgde hyperlink" xfId="3251" builtinId="9" hidden="1"/>
    <cellStyle name="Gevolgde hyperlink" xfId="3243" builtinId="9" hidden="1"/>
    <cellStyle name="Gevolgde hyperlink" xfId="3235" builtinId="9" hidden="1"/>
    <cellStyle name="Gevolgde hyperlink" xfId="3227" builtinId="9" hidden="1"/>
    <cellStyle name="Gevolgde hyperlink" xfId="3219" builtinId="9" hidden="1"/>
    <cellStyle name="Gevolgde hyperlink" xfId="3211" builtinId="9" hidden="1"/>
    <cellStyle name="Gevolgde hyperlink" xfId="3203" builtinId="9" hidden="1"/>
    <cellStyle name="Gevolgde hyperlink" xfId="3195" builtinId="9" hidden="1"/>
    <cellStyle name="Gevolgde hyperlink" xfId="3187" builtinId="9" hidden="1"/>
    <cellStyle name="Gevolgde hyperlink" xfId="3179" builtinId="9" hidden="1"/>
    <cellStyle name="Gevolgde hyperlink" xfId="3171" builtinId="9" hidden="1"/>
    <cellStyle name="Gevolgde hyperlink" xfId="3163" builtinId="9" hidden="1"/>
    <cellStyle name="Gevolgde hyperlink" xfId="3155" builtinId="9" hidden="1"/>
    <cellStyle name="Gevolgde hyperlink" xfId="3147" builtinId="9" hidden="1"/>
    <cellStyle name="Gevolgde hyperlink" xfId="3139" builtinId="9" hidden="1"/>
    <cellStyle name="Gevolgde hyperlink" xfId="3131" builtinId="9" hidden="1"/>
    <cellStyle name="Gevolgde hyperlink" xfId="3123" builtinId="9" hidden="1"/>
    <cellStyle name="Gevolgde hyperlink" xfId="3115" builtinId="9" hidden="1"/>
    <cellStyle name="Gevolgde hyperlink" xfId="3107" builtinId="9" hidden="1"/>
    <cellStyle name="Gevolgde hyperlink" xfId="3099" builtinId="9" hidden="1"/>
    <cellStyle name="Gevolgde hyperlink" xfId="3091" builtinId="9" hidden="1"/>
    <cellStyle name="Gevolgde hyperlink" xfId="3083" builtinId="9" hidden="1"/>
    <cellStyle name="Gevolgde hyperlink" xfId="3075" builtinId="9" hidden="1"/>
    <cellStyle name="Gevolgde hyperlink" xfId="3067" builtinId="9" hidden="1"/>
    <cellStyle name="Gevolgde hyperlink" xfId="3059" builtinId="9" hidden="1"/>
    <cellStyle name="Gevolgde hyperlink" xfId="3051" builtinId="9" hidden="1"/>
    <cellStyle name="Gevolgde hyperlink" xfId="3043" builtinId="9" hidden="1"/>
    <cellStyle name="Gevolgde hyperlink" xfId="3035" builtinId="9" hidden="1"/>
    <cellStyle name="Gevolgde hyperlink" xfId="3027" builtinId="9" hidden="1"/>
    <cellStyle name="Gevolgde hyperlink" xfId="3019" builtinId="9" hidden="1"/>
    <cellStyle name="Gevolgde hyperlink" xfId="3011" builtinId="9" hidden="1"/>
    <cellStyle name="Gevolgde hyperlink" xfId="3003" builtinId="9" hidden="1"/>
    <cellStyle name="Gevolgde hyperlink" xfId="2995" builtinId="9" hidden="1"/>
    <cellStyle name="Gevolgde hyperlink" xfId="2987" builtinId="9" hidden="1"/>
    <cellStyle name="Gevolgde hyperlink" xfId="2979" builtinId="9" hidden="1"/>
    <cellStyle name="Gevolgde hyperlink" xfId="2971" builtinId="9" hidden="1"/>
    <cellStyle name="Gevolgde hyperlink" xfId="2963" builtinId="9" hidden="1"/>
    <cellStyle name="Gevolgde hyperlink" xfId="2955" builtinId="9" hidden="1"/>
    <cellStyle name="Gevolgde hyperlink" xfId="2947" builtinId="9" hidden="1"/>
    <cellStyle name="Gevolgde hyperlink" xfId="2939" builtinId="9" hidden="1"/>
    <cellStyle name="Gevolgde hyperlink" xfId="2931" builtinId="9" hidden="1"/>
    <cellStyle name="Gevolgde hyperlink" xfId="2923" builtinId="9" hidden="1"/>
    <cellStyle name="Gevolgde hyperlink" xfId="2915" builtinId="9" hidden="1"/>
    <cellStyle name="Gevolgde hyperlink" xfId="2907" builtinId="9" hidden="1"/>
    <cellStyle name="Gevolgde hyperlink" xfId="2899" builtinId="9" hidden="1"/>
    <cellStyle name="Gevolgde hyperlink" xfId="2891" builtinId="9" hidden="1"/>
    <cellStyle name="Gevolgde hyperlink" xfId="2883" builtinId="9" hidden="1"/>
    <cellStyle name="Gevolgde hyperlink" xfId="2875" builtinId="9" hidden="1"/>
    <cellStyle name="Gevolgde hyperlink" xfId="2867" builtinId="9" hidden="1"/>
    <cellStyle name="Gevolgde hyperlink" xfId="2859" builtinId="9" hidden="1"/>
    <cellStyle name="Gevolgde hyperlink" xfId="2851" builtinId="9" hidden="1"/>
    <cellStyle name="Gevolgde hyperlink" xfId="2843" builtinId="9" hidden="1"/>
    <cellStyle name="Gevolgde hyperlink" xfId="2835" builtinId="9" hidden="1"/>
    <cellStyle name="Gevolgde hyperlink" xfId="2827" builtinId="9" hidden="1"/>
    <cellStyle name="Gevolgde hyperlink" xfId="2819" builtinId="9" hidden="1"/>
    <cellStyle name="Gevolgde hyperlink" xfId="2811" builtinId="9" hidden="1"/>
    <cellStyle name="Gevolgde hyperlink" xfId="2803" builtinId="9" hidden="1"/>
    <cellStyle name="Gevolgde hyperlink" xfId="2795" builtinId="9" hidden="1"/>
    <cellStyle name="Gevolgde hyperlink" xfId="2787" builtinId="9" hidden="1"/>
    <cellStyle name="Gevolgde hyperlink" xfId="2779" builtinId="9" hidden="1"/>
    <cellStyle name="Gevolgde hyperlink" xfId="2771" builtinId="9" hidden="1"/>
    <cellStyle name="Gevolgde hyperlink" xfId="2763" builtinId="9" hidden="1"/>
    <cellStyle name="Gevolgde hyperlink" xfId="2755" builtinId="9" hidden="1"/>
    <cellStyle name="Gevolgde hyperlink" xfId="2747" builtinId="9" hidden="1"/>
    <cellStyle name="Gevolgde hyperlink" xfId="2739" builtinId="9" hidden="1"/>
    <cellStyle name="Gevolgde hyperlink" xfId="2731" builtinId="9" hidden="1"/>
    <cellStyle name="Gevolgde hyperlink" xfId="2723" builtinId="9" hidden="1"/>
    <cellStyle name="Gevolgde hyperlink" xfId="2715" builtinId="9" hidden="1"/>
    <cellStyle name="Gevolgde hyperlink" xfId="2707" builtinId="9" hidden="1"/>
    <cellStyle name="Gevolgde hyperlink" xfId="2699" builtinId="9" hidden="1"/>
    <cellStyle name="Gevolgde hyperlink" xfId="2691" builtinId="9" hidden="1"/>
    <cellStyle name="Gevolgde hyperlink" xfId="2683" builtinId="9" hidden="1"/>
    <cellStyle name="Gevolgde hyperlink" xfId="2675" builtinId="9" hidden="1"/>
    <cellStyle name="Gevolgde hyperlink" xfId="2667" builtinId="9" hidden="1"/>
    <cellStyle name="Gevolgde hyperlink" xfId="2659" builtinId="9" hidden="1"/>
    <cellStyle name="Gevolgde hyperlink" xfId="2651" builtinId="9" hidden="1"/>
    <cellStyle name="Gevolgde hyperlink" xfId="2643" builtinId="9" hidden="1"/>
    <cellStyle name="Gevolgde hyperlink" xfId="2635" builtinId="9" hidden="1"/>
    <cellStyle name="Gevolgde hyperlink" xfId="2627" builtinId="9" hidden="1"/>
    <cellStyle name="Gevolgde hyperlink" xfId="2510" builtinId="9" hidden="1"/>
    <cellStyle name="Gevolgde hyperlink" xfId="2502" builtinId="9" hidden="1"/>
    <cellStyle name="Gevolgde hyperlink" xfId="2494" builtinId="9" hidden="1"/>
    <cellStyle name="Gevolgde hyperlink" xfId="2486" builtinId="9" hidden="1"/>
    <cellStyle name="Gevolgde hyperlink" xfId="2478" builtinId="9" hidden="1"/>
    <cellStyle name="Gevolgde hyperlink" xfId="2470" builtinId="9" hidden="1"/>
    <cellStyle name="Gevolgde hyperlink" xfId="2462" builtinId="9" hidden="1"/>
    <cellStyle name="Gevolgde hyperlink" xfId="2454" builtinId="9" hidden="1"/>
    <cellStyle name="Gevolgde hyperlink" xfId="2446" builtinId="9" hidden="1"/>
    <cellStyle name="Gevolgde hyperlink" xfId="2438" builtinId="9" hidden="1"/>
    <cellStyle name="Gevolgde hyperlink" xfId="2430" builtinId="9" hidden="1"/>
    <cellStyle name="Gevolgde hyperlink" xfId="2422" builtinId="9" hidden="1"/>
    <cellStyle name="Gevolgde hyperlink" xfId="2414" builtinId="9" hidden="1"/>
    <cellStyle name="Gevolgde hyperlink" xfId="2406" builtinId="9" hidden="1"/>
    <cellStyle name="Gevolgde hyperlink" xfId="2398" builtinId="9" hidden="1"/>
    <cellStyle name="Gevolgde hyperlink" xfId="2390" builtinId="9" hidden="1"/>
    <cellStyle name="Gevolgde hyperlink" xfId="2382" builtinId="9" hidden="1"/>
    <cellStyle name="Gevolgde hyperlink" xfId="2374" builtinId="9" hidden="1"/>
    <cellStyle name="Gevolgde hyperlink" xfId="2366" builtinId="9" hidden="1"/>
    <cellStyle name="Gevolgde hyperlink" xfId="2358" builtinId="9" hidden="1"/>
    <cellStyle name="Gevolgde hyperlink" xfId="2350" builtinId="9" hidden="1"/>
    <cellStyle name="Gevolgde hyperlink" xfId="2342" builtinId="9" hidden="1"/>
    <cellStyle name="Gevolgde hyperlink" xfId="2334" builtinId="9" hidden="1"/>
    <cellStyle name="Gevolgde hyperlink" xfId="2326" builtinId="9" hidden="1"/>
    <cellStyle name="Gevolgde hyperlink" xfId="2318" builtinId="9" hidden="1"/>
    <cellStyle name="Gevolgde hyperlink" xfId="2310" builtinId="9" hidden="1"/>
    <cellStyle name="Gevolgde hyperlink" xfId="2302" builtinId="9" hidden="1"/>
    <cellStyle name="Gevolgde hyperlink" xfId="2294" builtinId="9" hidden="1"/>
    <cellStyle name="Gevolgde hyperlink" xfId="2286" builtinId="9" hidden="1"/>
    <cellStyle name="Gevolgde hyperlink" xfId="2278" builtinId="9" hidden="1"/>
    <cellStyle name="Gevolgde hyperlink" xfId="2270" builtinId="9" hidden="1"/>
    <cellStyle name="Gevolgde hyperlink" xfId="2262" builtinId="9" hidden="1"/>
    <cellStyle name="Gevolgde hyperlink" xfId="2254" builtinId="9" hidden="1"/>
    <cellStyle name="Gevolgde hyperlink" xfId="2246" builtinId="9" hidden="1"/>
    <cellStyle name="Gevolgde hyperlink" xfId="2238" builtinId="9" hidden="1"/>
    <cellStyle name="Gevolgde hyperlink" xfId="2230" builtinId="9" hidden="1"/>
    <cellStyle name="Gevolgde hyperlink" xfId="2222" builtinId="9" hidden="1"/>
    <cellStyle name="Gevolgde hyperlink" xfId="2214" builtinId="9" hidden="1"/>
    <cellStyle name="Gevolgde hyperlink" xfId="2206" builtinId="9" hidden="1"/>
    <cellStyle name="Gevolgde hyperlink" xfId="2198" builtinId="9" hidden="1"/>
    <cellStyle name="Gevolgde hyperlink" xfId="2190" builtinId="9" hidden="1"/>
    <cellStyle name="Gevolgde hyperlink" xfId="2182" builtinId="9" hidden="1"/>
    <cellStyle name="Gevolgde hyperlink" xfId="2174" builtinId="9" hidden="1"/>
    <cellStyle name="Gevolgde hyperlink" xfId="2166" builtinId="9" hidden="1"/>
    <cellStyle name="Gevolgde hyperlink" xfId="2158" builtinId="9" hidden="1"/>
    <cellStyle name="Gevolgde hyperlink" xfId="2150" builtinId="9" hidden="1"/>
    <cellStyle name="Gevolgde hyperlink" xfId="2142" builtinId="9" hidden="1"/>
    <cellStyle name="Gevolgde hyperlink" xfId="2134" builtinId="9" hidden="1"/>
    <cellStyle name="Gevolgde hyperlink" xfId="2126" builtinId="9" hidden="1"/>
    <cellStyle name="Gevolgde hyperlink" xfId="2118" builtinId="9" hidden="1"/>
    <cellStyle name="Gevolgde hyperlink" xfId="2110" builtinId="9" hidden="1"/>
    <cellStyle name="Gevolgde hyperlink" xfId="2102" builtinId="9" hidden="1"/>
    <cellStyle name="Gevolgde hyperlink" xfId="2094" builtinId="9" hidden="1"/>
    <cellStyle name="Gevolgde hyperlink" xfId="2086" builtinId="9" hidden="1"/>
    <cellStyle name="Gevolgde hyperlink" xfId="2078" builtinId="9" hidden="1"/>
    <cellStyle name="Gevolgde hyperlink" xfId="2070" builtinId="9" hidden="1"/>
    <cellStyle name="Gevolgde hyperlink" xfId="2062" builtinId="9" hidden="1"/>
    <cellStyle name="Gevolgde hyperlink" xfId="2054" builtinId="9" hidden="1"/>
    <cellStyle name="Gevolgde hyperlink" xfId="2046" builtinId="9" hidden="1"/>
    <cellStyle name="Gevolgde hyperlink" xfId="2038" builtinId="9" hidden="1"/>
    <cellStyle name="Gevolgde hyperlink" xfId="2030" builtinId="9" hidden="1"/>
    <cellStyle name="Gevolgde hyperlink" xfId="2022" builtinId="9" hidden="1"/>
    <cellStyle name="Gevolgde hyperlink" xfId="2014" builtinId="9" hidden="1"/>
    <cellStyle name="Gevolgde hyperlink" xfId="2006" builtinId="9" hidden="1"/>
    <cellStyle name="Gevolgde hyperlink" xfId="1998" builtinId="9" hidden="1"/>
    <cellStyle name="Gevolgde hyperlink" xfId="1990" builtinId="9" hidden="1"/>
    <cellStyle name="Gevolgde hyperlink" xfId="1982" builtinId="9" hidden="1"/>
    <cellStyle name="Gevolgde hyperlink" xfId="1974" builtinId="9" hidden="1"/>
    <cellStyle name="Gevolgde hyperlink" xfId="1966" builtinId="9" hidden="1"/>
    <cellStyle name="Gevolgde hyperlink" xfId="1958" builtinId="9" hidden="1"/>
    <cellStyle name="Gevolgde hyperlink" xfId="1950" builtinId="9" hidden="1"/>
    <cellStyle name="Gevolgde hyperlink" xfId="1942" builtinId="9" hidden="1"/>
    <cellStyle name="Gevolgde hyperlink" xfId="1934" builtinId="9" hidden="1"/>
    <cellStyle name="Gevolgde hyperlink" xfId="1926" builtinId="9" hidden="1"/>
    <cellStyle name="Gevolgde hyperlink" xfId="1918" builtinId="9" hidden="1"/>
    <cellStyle name="Gevolgde hyperlink" xfId="1910" builtinId="9" hidden="1"/>
    <cellStyle name="Gevolgde hyperlink" xfId="1902" builtinId="9" hidden="1"/>
    <cellStyle name="Gevolgde hyperlink" xfId="1894" builtinId="9" hidden="1"/>
    <cellStyle name="Gevolgde hyperlink" xfId="1886" builtinId="9" hidden="1"/>
    <cellStyle name="Gevolgde hyperlink" xfId="1878" builtinId="9" hidden="1"/>
    <cellStyle name="Gevolgde hyperlink" xfId="1870" builtinId="9" hidden="1"/>
    <cellStyle name="Gevolgde hyperlink" xfId="1862" builtinId="9" hidden="1"/>
    <cellStyle name="Gevolgde hyperlink" xfId="1854" builtinId="9" hidden="1"/>
    <cellStyle name="Gevolgde hyperlink" xfId="1846" builtinId="9" hidden="1"/>
    <cellStyle name="Gevolgde hyperlink" xfId="1838" builtinId="9" hidden="1"/>
    <cellStyle name="Gevolgde hyperlink" xfId="1830" builtinId="9" hidden="1"/>
    <cellStyle name="Gevolgde hyperlink" xfId="1822" builtinId="9" hidden="1"/>
    <cellStyle name="Gevolgde hyperlink" xfId="1814" builtinId="9" hidden="1"/>
    <cellStyle name="Gevolgde hyperlink" xfId="1806" builtinId="9" hidden="1"/>
    <cellStyle name="Gevolgde hyperlink" xfId="1798" builtinId="9" hidden="1"/>
    <cellStyle name="Gevolgde hyperlink" xfId="1790" builtinId="9" hidden="1"/>
    <cellStyle name="Gevolgde hyperlink" xfId="1782" builtinId="9" hidden="1"/>
    <cellStyle name="Gevolgde hyperlink" xfId="1774" builtinId="9" hidden="1"/>
    <cellStyle name="Gevolgde hyperlink" xfId="1766" builtinId="9" hidden="1"/>
    <cellStyle name="Gevolgde hyperlink" xfId="1758" builtinId="9" hidden="1"/>
    <cellStyle name="Gevolgde hyperlink" xfId="1750" builtinId="9" hidden="1"/>
    <cellStyle name="Gevolgde hyperlink" xfId="1742" builtinId="9" hidden="1"/>
    <cellStyle name="Gevolgde hyperlink" xfId="1734" builtinId="9" hidden="1"/>
    <cellStyle name="Gevolgde hyperlink" xfId="1726" builtinId="9" hidden="1"/>
    <cellStyle name="Gevolgde hyperlink" xfId="1718" builtinId="9" hidden="1"/>
    <cellStyle name="Gevolgde hyperlink" xfId="1710" builtinId="9" hidden="1"/>
    <cellStyle name="Gevolgde hyperlink" xfId="1702" builtinId="9" hidden="1"/>
    <cellStyle name="Gevolgde hyperlink" xfId="1694" builtinId="9" hidden="1"/>
    <cellStyle name="Gevolgde hyperlink" xfId="1686" builtinId="9" hidden="1"/>
    <cellStyle name="Gevolgde hyperlink" xfId="1678" builtinId="9" hidden="1"/>
    <cellStyle name="Gevolgde hyperlink" xfId="1670" builtinId="9" hidden="1"/>
    <cellStyle name="Gevolgde hyperlink" xfId="1662" builtinId="9" hidden="1"/>
    <cellStyle name="Gevolgde hyperlink" xfId="1654" builtinId="9" hidden="1"/>
    <cellStyle name="Gevolgde hyperlink" xfId="1646" builtinId="9" hidden="1"/>
    <cellStyle name="Gevolgde hyperlink" xfId="1638" builtinId="9" hidden="1"/>
    <cellStyle name="Gevolgde hyperlink" xfId="1630" builtinId="9" hidden="1"/>
    <cellStyle name="Gevolgde hyperlink" xfId="1622" builtinId="9" hidden="1"/>
    <cellStyle name="Gevolgde hyperlink" xfId="1614" builtinId="9" hidden="1"/>
    <cellStyle name="Gevolgde hyperlink" xfId="1606" builtinId="9" hidden="1"/>
    <cellStyle name="Gevolgde hyperlink" xfId="1598" builtinId="9" hidden="1"/>
    <cellStyle name="Gevolgde hyperlink" xfId="1590" builtinId="9" hidden="1"/>
    <cellStyle name="Gevolgde hyperlink" xfId="1582" builtinId="9" hidden="1"/>
    <cellStyle name="Gevolgde hyperlink" xfId="1574" builtinId="9" hidden="1"/>
    <cellStyle name="Gevolgde hyperlink" xfId="1566" builtinId="9" hidden="1"/>
    <cellStyle name="Gevolgde hyperlink" xfId="1558" builtinId="9" hidden="1"/>
    <cellStyle name="Gevolgde hyperlink" xfId="1550" builtinId="9" hidden="1"/>
    <cellStyle name="Gevolgde hyperlink" xfId="1542" builtinId="9" hidden="1"/>
    <cellStyle name="Gevolgde hyperlink" xfId="1534" builtinId="9" hidden="1"/>
    <cellStyle name="Gevolgde hyperlink" xfId="1526" builtinId="9" hidden="1"/>
    <cellStyle name="Gevolgde hyperlink" xfId="1518" builtinId="9" hidden="1"/>
    <cellStyle name="Gevolgde hyperlink" xfId="1510" builtinId="9" hidden="1"/>
    <cellStyle name="Gevolgde hyperlink" xfId="1502" builtinId="9" hidden="1"/>
    <cellStyle name="Gevolgde hyperlink" xfId="1494" builtinId="9" hidden="1"/>
    <cellStyle name="Gevolgde hyperlink" xfId="1486" builtinId="9" hidden="1"/>
    <cellStyle name="Gevolgde hyperlink" xfId="1478" builtinId="9" hidden="1"/>
    <cellStyle name="Gevolgde hyperlink" xfId="1470" builtinId="9" hidden="1"/>
    <cellStyle name="Gevolgde hyperlink" xfId="1462" builtinId="9" hidden="1"/>
    <cellStyle name="Gevolgde hyperlink" xfId="1454" builtinId="9" hidden="1"/>
    <cellStyle name="Gevolgde hyperlink" xfId="1446" builtinId="9" hidden="1"/>
    <cellStyle name="Gevolgde hyperlink" xfId="1438" builtinId="9" hidden="1"/>
    <cellStyle name="Gevolgde hyperlink" xfId="1430" builtinId="9" hidden="1"/>
    <cellStyle name="Gevolgde hyperlink" xfId="1422" builtinId="9" hidden="1"/>
    <cellStyle name="Gevolgde hyperlink" xfId="1414" builtinId="9" hidden="1"/>
    <cellStyle name="Gevolgde hyperlink" xfId="1406" builtinId="9" hidden="1"/>
    <cellStyle name="Gevolgde hyperlink" xfId="1398" builtinId="9" hidden="1"/>
    <cellStyle name="Gevolgde hyperlink" xfId="1390" builtinId="9" hidden="1"/>
    <cellStyle name="Gevolgde hyperlink" xfId="1382" builtinId="9" hidden="1"/>
    <cellStyle name="Gevolgde hyperlink" xfId="1374" builtinId="9" hidden="1"/>
    <cellStyle name="Gevolgde hyperlink" xfId="1366" builtinId="9" hidden="1"/>
    <cellStyle name="Gevolgde hyperlink" xfId="1358" builtinId="9" hidden="1"/>
    <cellStyle name="Gevolgde hyperlink" xfId="1350" builtinId="9" hidden="1"/>
    <cellStyle name="Gevolgde hyperlink" xfId="1342" builtinId="9" hidden="1"/>
    <cellStyle name="Gevolgde hyperlink" xfId="1334" builtinId="9" hidden="1"/>
    <cellStyle name="Gevolgde hyperlink" xfId="1326" builtinId="9" hidden="1"/>
    <cellStyle name="Gevolgde hyperlink" xfId="1318" builtinId="9" hidden="1"/>
    <cellStyle name="Gevolgde hyperlink" xfId="1310" builtinId="9" hidden="1"/>
    <cellStyle name="Gevolgde hyperlink" xfId="1302" builtinId="9" hidden="1"/>
    <cellStyle name="Gevolgde hyperlink" xfId="1294" builtinId="9" hidden="1"/>
    <cellStyle name="Gevolgde hyperlink" xfId="1286" builtinId="9" hidden="1"/>
    <cellStyle name="Gevolgde hyperlink" xfId="1278" builtinId="9" hidden="1"/>
    <cellStyle name="Gevolgde hyperlink" xfId="1270" builtinId="9" hidden="1"/>
    <cellStyle name="Gevolgde hyperlink" xfId="1262" builtinId="9" hidden="1"/>
    <cellStyle name="Gevolgde hyperlink" xfId="1254" builtinId="9" hidden="1"/>
    <cellStyle name="Gevolgde hyperlink" xfId="1246" builtinId="9" hidden="1"/>
    <cellStyle name="Gevolgde hyperlink" xfId="1238" builtinId="9" hidden="1"/>
    <cellStyle name="Gevolgde hyperlink" xfId="1230" builtinId="9" hidden="1"/>
    <cellStyle name="Gevolgde hyperlink" xfId="1222" builtinId="9" hidden="1"/>
    <cellStyle name="Gevolgde hyperlink" xfId="1214" builtinId="9" hidden="1"/>
    <cellStyle name="Gevolgde hyperlink" xfId="1206" builtinId="9" hidden="1"/>
    <cellStyle name="Gevolgde hyperlink" xfId="1198" builtinId="9" hidden="1"/>
    <cellStyle name="Gevolgde hyperlink" xfId="1190" builtinId="9" hidden="1"/>
    <cellStyle name="Gevolgde hyperlink" xfId="1182" builtinId="9" hidden="1"/>
    <cellStyle name="Gevolgde hyperlink" xfId="1174" builtinId="9" hidden="1"/>
    <cellStyle name="Gevolgde hyperlink" xfId="1166" builtinId="9" hidden="1"/>
    <cellStyle name="Gevolgde hyperlink" xfId="1158" builtinId="9" hidden="1"/>
    <cellStyle name="Gevolgde hyperlink" xfId="1150" builtinId="9" hidden="1"/>
    <cellStyle name="Gevolgde hyperlink" xfId="1142" builtinId="9" hidden="1"/>
    <cellStyle name="Gevolgde hyperlink" xfId="1134" builtinId="9" hidden="1"/>
    <cellStyle name="Gevolgde hyperlink" xfId="1126" builtinId="9" hidden="1"/>
    <cellStyle name="Gevolgde hyperlink" xfId="1118" builtinId="9" hidden="1"/>
    <cellStyle name="Gevolgde hyperlink" xfId="1110" builtinId="9" hidden="1"/>
    <cellStyle name="Gevolgde hyperlink" xfId="1102" builtinId="9" hidden="1"/>
    <cellStyle name="Gevolgde hyperlink" xfId="1094" builtinId="9" hidden="1"/>
    <cellStyle name="Gevolgde hyperlink" xfId="1086" builtinId="9" hidden="1"/>
    <cellStyle name="Gevolgde hyperlink" xfId="1078" builtinId="9" hidden="1"/>
    <cellStyle name="Gevolgde hyperlink" xfId="1070" builtinId="9" hidden="1"/>
    <cellStyle name="Gevolgde hyperlink" xfId="1062" builtinId="9" hidden="1"/>
    <cellStyle name="Gevolgde hyperlink" xfId="1054" builtinId="9" hidden="1"/>
    <cellStyle name="Gevolgde hyperlink" xfId="1046" builtinId="9" hidden="1"/>
    <cellStyle name="Gevolgde hyperlink" xfId="1038" builtinId="9" hidden="1"/>
    <cellStyle name="Gevolgde hyperlink" xfId="1030" builtinId="9" hidden="1"/>
    <cellStyle name="Gevolgde hyperlink" xfId="1022" builtinId="9" hidden="1"/>
    <cellStyle name="Gevolgde hyperlink" xfId="1014" builtinId="9" hidden="1"/>
    <cellStyle name="Gevolgde hyperlink" xfId="1006" builtinId="9" hidden="1"/>
    <cellStyle name="Gevolgde hyperlink" xfId="998" builtinId="9" hidden="1"/>
    <cellStyle name="Gevolgde hyperlink" xfId="990" builtinId="9" hidden="1"/>
    <cellStyle name="Gevolgde hyperlink" xfId="982" builtinId="9" hidden="1"/>
    <cellStyle name="Gevolgde hyperlink" xfId="974" builtinId="9" hidden="1"/>
    <cellStyle name="Gevolgde hyperlink" xfId="966" builtinId="9" hidden="1"/>
    <cellStyle name="Gevolgde hyperlink" xfId="958" builtinId="9" hidden="1"/>
    <cellStyle name="Gevolgde hyperlink" xfId="950" builtinId="9" hidden="1"/>
    <cellStyle name="Gevolgde hyperlink" xfId="942" builtinId="9" hidden="1"/>
    <cellStyle name="Gevolgde hyperlink" xfId="934" builtinId="9" hidden="1"/>
    <cellStyle name="Gevolgde hyperlink" xfId="926" builtinId="9" hidden="1"/>
    <cellStyle name="Gevolgde hyperlink" xfId="918" builtinId="9" hidden="1"/>
    <cellStyle name="Gevolgde hyperlink" xfId="910" builtinId="9" hidden="1"/>
    <cellStyle name="Gevolgde hyperlink" xfId="902" builtinId="9" hidden="1"/>
    <cellStyle name="Gevolgde hyperlink" xfId="894" builtinId="9" hidden="1"/>
    <cellStyle name="Gevolgde hyperlink" xfId="886" builtinId="9" hidden="1"/>
    <cellStyle name="Gevolgde hyperlink" xfId="878" builtinId="9" hidden="1"/>
    <cellStyle name="Gevolgde hyperlink" xfId="870" builtinId="9" hidden="1"/>
    <cellStyle name="Gevolgde hyperlink" xfId="862" builtinId="9" hidden="1"/>
    <cellStyle name="Gevolgde hyperlink" xfId="854" builtinId="9" hidden="1"/>
    <cellStyle name="Gevolgde hyperlink" xfId="846" builtinId="9" hidden="1"/>
    <cellStyle name="Gevolgde hyperlink" xfId="838" builtinId="9" hidden="1"/>
    <cellStyle name="Gevolgde hyperlink" xfId="830" builtinId="9" hidden="1"/>
    <cellStyle name="Gevolgde hyperlink" xfId="822" builtinId="9" hidden="1"/>
    <cellStyle name="Gevolgde hyperlink" xfId="814" builtinId="9" hidden="1"/>
    <cellStyle name="Gevolgde hyperlink" xfId="806" builtinId="9" hidden="1"/>
    <cellStyle name="Gevolgde hyperlink" xfId="798" builtinId="9" hidden="1"/>
    <cellStyle name="Gevolgde hyperlink" xfId="790" builtinId="9" hidden="1"/>
    <cellStyle name="Gevolgde hyperlink" xfId="782" builtinId="9" hidden="1"/>
    <cellStyle name="Gevolgde hyperlink" xfId="774" builtinId="9" hidden="1"/>
    <cellStyle name="Gevolgde hyperlink" xfId="766" builtinId="9" hidden="1"/>
    <cellStyle name="Gevolgde hyperlink" xfId="758" builtinId="9" hidden="1"/>
    <cellStyle name="Gevolgde hyperlink" xfId="750" builtinId="9" hidden="1"/>
    <cellStyle name="Gevolgde hyperlink" xfId="742" builtinId="9" hidden="1"/>
    <cellStyle name="Gevolgde hyperlink" xfId="734" builtinId="9" hidden="1"/>
    <cellStyle name="Gevolgde hyperlink" xfId="726" builtinId="9" hidden="1"/>
    <cellStyle name="Gevolgde hyperlink" xfId="718" builtinId="9" hidden="1"/>
    <cellStyle name="Gevolgde hyperlink" xfId="710" builtinId="9" hidden="1"/>
    <cellStyle name="Gevolgde hyperlink" xfId="702" builtinId="9" hidden="1"/>
    <cellStyle name="Gevolgde hyperlink" xfId="694" builtinId="9" hidden="1"/>
    <cellStyle name="Gevolgde hyperlink" xfId="686" builtinId="9" hidden="1"/>
    <cellStyle name="Gevolgde hyperlink" xfId="678" builtinId="9" hidden="1"/>
    <cellStyle name="Gevolgde hyperlink" xfId="670" builtinId="9" hidden="1"/>
    <cellStyle name="Gevolgde hyperlink" xfId="662" builtinId="9" hidden="1"/>
    <cellStyle name="Gevolgde hyperlink" xfId="654" builtinId="9" hidden="1"/>
    <cellStyle name="Gevolgde hyperlink" xfId="646" builtinId="9" hidden="1"/>
    <cellStyle name="Gevolgde hyperlink" xfId="638" builtinId="9" hidden="1"/>
    <cellStyle name="Gevolgde hyperlink" xfId="630" builtinId="9" hidden="1"/>
    <cellStyle name="Gevolgde hyperlink" xfId="622" builtinId="9" hidden="1"/>
    <cellStyle name="Gevolgde hyperlink" xfId="614" builtinId="9" hidden="1"/>
    <cellStyle name="Gevolgde hyperlink" xfId="606" builtinId="9" hidden="1"/>
    <cellStyle name="Gevolgde hyperlink" xfId="598" builtinId="9" hidden="1"/>
    <cellStyle name="Gevolgde hyperlink" xfId="590" builtinId="9" hidden="1"/>
    <cellStyle name="Gevolgde hyperlink" xfId="582" builtinId="9" hidden="1"/>
    <cellStyle name="Gevolgde hyperlink" xfId="574" builtinId="9" hidden="1"/>
    <cellStyle name="Gevolgde hyperlink" xfId="566" builtinId="9" hidden="1"/>
    <cellStyle name="Gevolgde hyperlink" xfId="558" builtinId="9" hidden="1"/>
    <cellStyle name="Gevolgde hyperlink" xfId="550" builtinId="9" hidden="1"/>
    <cellStyle name="Gevolgde hyperlink" xfId="542" builtinId="9" hidden="1"/>
    <cellStyle name="Gevolgde hyperlink" xfId="534" builtinId="9" hidden="1"/>
    <cellStyle name="Gevolgde hyperlink" xfId="526" builtinId="9" hidden="1"/>
    <cellStyle name="Gevolgde hyperlink" xfId="518" builtinId="9" hidden="1"/>
    <cellStyle name="Gevolgde hyperlink" xfId="510" builtinId="9" hidden="1"/>
    <cellStyle name="Gevolgde hyperlink" xfId="502" builtinId="9" hidden="1"/>
    <cellStyle name="Gevolgde hyperlink" xfId="494" builtinId="9" hidden="1"/>
    <cellStyle name="Gevolgde hyperlink" xfId="486" builtinId="9" hidden="1"/>
    <cellStyle name="Gevolgde hyperlink" xfId="478" builtinId="9" hidden="1"/>
    <cellStyle name="Gevolgde hyperlink" xfId="470" builtinId="9" hidden="1"/>
    <cellStyle name="Gevolgde hyperlink" xfId="462" builtinId="9" hidden="1"/>
    <cellStyle name="Gevolgde hyperlink" xfId="454" builtinId="9" hidden="1"/>
    <cellStyle name="Gevolgde hyperlink" xfId="446" builtinId="9" hidden="1"/>
    <cellStyle name="Gevolgde hyperlink" xfId="438" builtinId="9" hidden="1"/>
    <cellStyle name="Gevolgde hyperlink" xfId="430" builtinId="9" hidden="1"/>
    <cellStyle name="Gevolgde hyperlink" xfId="422" builtinId="9" hidden="1"/>
    <cellStyle name="Gevolgde hyperlink" xfId="414" builtinId="9" hidden="1"/>
    <cellStyle name="Gevolgde hyperlink" xfId="406" builtinId="9" hidden="1"/>
    <cellStyle name="Gevolgde hyperlink" xfId="398" builtinId="9" hidden="1"/>
    <cellStyle name="Gevolgde hyperlink" xfId="390" builtinId="9" hidden="1"/>
    <cellStyle name="Gevolgde hyperlink" xfId="382" builtinId="9" hidden="1"/>
    <cellStyle name="Gevolgde hyperlink" xfId="374" builtinId="9" hidden="1"/>
    <cellStyle name="Gevolgde hyperlink" xfId="366" builtinId="9" hidden="1"/>
    <cellStyle name="Gevolgde hyperlink" xfId="358" builtinId="9" hidden="1"/>
    <cellStyle name="Gevolgde hyperlink" xfId="350" builtinId="9" hidden="1"/>
    <cellStyle name="Gevolgde hyperlink" xfId="342" builtinId="9" hidden="1"/>
    <cellStyle name="Gevolgde hyperlink" xfId="334" builtinId="9" hidden="1"/>
    <cellStyle name="Gevolgde hyperlink" xfId="326" builtinId="9" hidden="1"/>
    <cellStyle name="Gevolgde hyperlink" xfId="318" builtinId="9" hidden="1"/>
    <cellStyle name="Gevolgde hyperlink" xfId="310" builtinId="9" hidden="1"/>
    <cellStyle name="Gevolgde hyperlink" xfId="302" builtinId="9" hidden="1"/>
    <cellStyle name="Gevolgde hyperlink" xfId="294" builtinId="9" hidden="1"/>
    <cellStyle name="Gevolgde hyperlink" xfId="286" builtinId="9" hidden="1"/>
    <cellStyle name="Gevolgde hyperlink" xfId="278" builtinId="9" hidden="1"/>
    <cellStyle name="Gevolgde hyperlink" xfId="270" builtinId="9" hidden="1"/>
    <cellStyle name="Gevolgde hyperlink" xfId="262" builtinId="9" hidden="1"/>
    <cellStyle name="Gevolgde hyperlink" xfId="254" builtinId="9" hidden="1"/>
    <cellStyle name="Gevolgde hyperlink" xfId="246" builtinId="9" hidden="1"/>
    <cellStyle name="Gevolgde hyperlink" xfId="238" builtinId="9" hidden="1"/>
    <cellStyle name="Gevolgde hyperlink" xfId="230" builtinId="9" hidden="1"/>
    <cellStyle name="Gevolgde hyperlink" xfId="222" builtinId="9" hidden="1"/>
    <cellStyle name="Gevolgde hyperlink" xfId="214" builtinId="9" hidden="1"/>
    <cellStyle name="Gevolgde hyperlink" xfId="206" builtinId="9" hidden="1"/>
    <cellStyle name="Gevolgde hyperlink" xfId="198" builtinId="9" hidden="1"/>
    <cellStyle name="Gevolgde hyperlink" xfId="190" builtinId="9" hidden="1"/>
    <cellStyle name="Gevolgde hyperlink" xfId="182" builtinId="9" hidden="1"/>
    <cellStyle name="Gevolgde hyperlink" xfId="86" builtinId="9" hidden="1"/>
    <cellStyle name="Gevolgde hyperlink" xfId="92" builtinId="9" hidden="1"/>
    <cellStyle name="Gevolgde hyperlink" xfId="96" builtinId="9" hidden="1"/>
    <cellStyle name="Gevolgde hyperlink" xfId="102" builtinId="9" hidden="1"/>
    <cellStyle name="Gevolgde hyperlink" xfId="108" builtinId="9" hidden="1"/>
    <cellStyle name="Gevolgde hyperlink" xfId="112" builtinId="9" hidden="1"/>
    <cellStyle name="Gevolgde hyperlink" xfId="118" builtinId="9" hidden="1"/>
    <cellStyle name="Gevolgde hyperlink" xfId="124" builtinId="9" hidden="1"/>
    <cellStyle name="Gevolgde hyperlink" xfId="128" builtinId="9" hidden="1"/>
    <cellStyle name="Gevolgde hyperlink" xfId="134" builtinId="9" hidden="1"/>
    <cellStyle name="Gevolgde hyperlink" xfId="140" builtinId="9" hidden="1"/>
    <cellStyle name="Gevolgde hyperlink" xfId="144" builtinId="9" hidden="1"/>
    <cellStyle name="Gevolgde hyperlink" xfId="150" builtinId="9" hidden="1"/>
    <cellStyle name="Gevolgde hyperlink" xfId="156" builtinId="9" hidden="1"/>
    <cellStyle name="Gevolgde hyperlink" xfId="160" builtinId="9" hidden="1"/>
    <cellStyle name="Gevolgde hyperlink" xfId="166" builtinId="9" hidden="1"/>
    <cellStyle name="Gevolgde hyperlink" xfId="172" builtinId="9" hidden="1"/>
    <cellStyle name="Gevolgde hyperlink" xfId="176" builtinId="9" hidden="1"/>
    <cellStyle name="Gevolgde hyperlink" xfId="178" builtinId="9" hidden="1"/>
    <cellStyle name="Gevolgde hyperlink" xfId="162" builtinId="9" hidden="1"/>
    <cellStyle name="Gevolgde hyperlink" xfId="146" builtinId="9" hidden="1"/>
    <cellStyle name="Gevolgde hyperlink" xfId="130" builtinId="9" hidden="1"/>
    <cellStyle name="Gevolgde hyperlink" xfId="114" builtinId="9" hidden="1"/>
    <cellStyle name="Gevolgde hyperlink" xfId="98" builtinId="9" hidden="1"/>
    <cellStyle name="Gevolgde hyperlink" xfId="82" builtinId="9" hidden="1"/>
    <cellStyle name="Gevolgde hyperlink" xfId="56" builtinId="9" hidden="1"/>
    <cellStyle name="Gevolgde hyperlink" xfId="62" builtinId="9" hidden="1"/>
    <cellStyle name="Gevolgde hyperlink" xfId="66" builtinId="9" hidden="1"/>
    <cellStyle name="Gevolgde hyperlink" xfId="70" builtinId="9" hidden="1"/>
    <cellStyle name="Gevolgde hyperlink" xfId="76" builtinId="9" hidden="1"/>
    <cellStyle name="Gevolgde hyperlink" xfId="80" builtinId="9" hidden="1"/>
    <cellStyle name="Gevolgde hyperlink" xfId="58" builtinId="9" hidden="1"/>
    <cellStyle name="Gevolgde hyperlink" xfId="46" builtinId="9" hidden="1"/>
    <cellStyle name="Gevolgde hyperlink" xfId="50" builtinId="9" hidden="1"/>
    <cellStyle name="Gevolgde hyperlink" xfId="42" builtinId="9" hidden="1"/>
    <cellStyle name="Gevolgde hyperlink" xfId="40" builtinId="9" hidden="1"/>
    <cellStyle name="Gevolgde hyperlink" xfId="34" builtinId="9" hidden="1"/>
    <cellStyle name="Gevolgde hyperlink" xfId="36" builtinId="9" hidden="1"/>
    <cellStyle name="Gevolgde hyperlink" xfId="38" builtinId="9" hidden="1"/>
    <cellStyle name="Gevolgde hyperlink" xfId="52" builtinId="9" hidden="1"/>
    <cellStyle name="Gevolgde hyperlink" xfId="48" builtinId="9" hidden="1"/>
    <cellStyle name="Gevolgde hyperlink" xfId="44" builtinId="9" hidden="1"/>
    <cellStyle name="Gevolgde hyperlink" xfId="74" builtinId="9" hidden="1"/>
    <cellStyle name="Gevolgde hyperlink" xfId="78" builtinId="9" hidden="1"/>
    <cellStyle name="Gevolgde hyperlink" xfId="72" builtinId="9" hidden="1"/>
    <cellStyle name="Gevolgde hyperlink" xfId="68" builtinId="9" hidden="1"/>
    <cellStyle name="Gevolgde hyperlink" xfId="64" builtinId="9" hidden="1"/>
    <cellStyle name="Gevolgde hyperlink" xfId="60" builtinId="9" hidden="1"/>
    <cellStyle name="Gevolgde hyperlink" xfId="54" builtinId="9" hidden="1"/>
    <cellStyle name="Gevolgde hyperlink" xfId="90" builtinId="9" hidden="1"/>
    <cellStyle name="Gevolgde hyperlink" xfId="106" builtinId="9" hidden="1"/>
    <cellStyle name="Gevolgde hyperlink" xfId="122" builtinId="9" hidden="1"/>
    <cellStyle name="Gevolgde hyperlink" xfId="138" builtinId="9" hidden="1"/>
    <cellStyle name="Gevolgde hyperlink" xfId="154" builtinId="9" hidden="1"/>
    <cellStyle name="Gevolgde hyperlink" xfId="170" builtinId="9" hidden="1"/>
    <cellStyle name="Gevolgde hyperlink" xfId="180" builtinId="9" hidden="1"/>
    <cellStyle name="Gevolgde hyperlink" xfId="174" builtinId="9" hidden="1"/>
    <cellStyle name="Gevolgde hyperlink" xfId="168" builtinId="9" hidden="1"/>
    <cellStyle name="Gevolgde hyperlink" xfId="164" builtinId="9" hidden="1"/>
    <cellStyle name="Gevolgde hyperlink" xfId="158" builtinId="9" hidden="1"/>
    <cellStyle name="Gevolgde hyperlink" xfId="152" builtinId="9" hidden="1"/>
    <cellStyle name="Gevolgde hyperlink" xfId="148" builtinId="9" hidden="1"/>
    <cellStyle name="Gevolgde hyperlink" xfId="142" builtinId="9" hidden="1"/>
    <cellStyle name="Gevolgde hyperlink" xfId="136" builtinId="9" hidden="1"/>
    <cellStyle name="Gevolgde hyperlink" xfId="132" builtinId="9" hidden="1"/>
    <cellStyle name="Gevolgde hyperlink" xfId="126" builtinId="9" hidden="1"/>
    <cellStyle name="Gevolgde hyperlink" xfId="120" builtinId="9" hidden="1"/>
    <cellStyle name="Gevolgde hyperlink" xfId="116" builtinId="9" hidden="1"/>
    <cellStyle name="Gevolgde hyperlink" xfId="110" builtinId="9" hidden="1"/>
    <cellStyle name="Gevolgde hyperlink" xfId="104" builtinId="9" hidden="1"/>
    <cellStyle name="Gevolgde hyperlink" xfId="100" builtinId="9" hidden="1"/>
    <cellStyle name="Gevolgde hyperlink" xfId="94" builtinId="9" hidden="1"/>
    <cellStyle name="Gevolgde hyperlink" xfId="88" builtinId="9" hidden="1"/>
    <cellStyle name="Gevolgde hyperlink" xfId="84" builtinId="9" hidden="1"/>
    <cellStyle name="Gevolgde hyperlink" xfId="186" builtinId="9" hidden="1"/>
    <cellStyle name="Gevolgde hyperlink" xfId="194" builtinId="9" hidden="1"/>
    <cellStyle name="Gevolgde hyperlink" xfId="202" builtinId="9" hidden="1"/>
    <cellStyle name="Gevolgde hyperlink" xfId="210" builtinId="9" hidden="1"/>
    <cellStyle name="Gevolgde hyperlink" xfId="218" builtinId="9" hidden="1"/>
    <cellStyle name="Gevolgde hyperlink" xfId="226" builtinId="9" hidden="1"/>
    <cellStyle name="Gevolgde hyperlink" xfId="234" builtinId="9" hidden="1"/>
    <cellStyle name="Gevolgde hyperlink" xfId="242" builtinId="9" hidden="1"/>
    <cellStyle name="Gevolgde hyperlink" xfId="250" builtinId="9" hidden="1"/>
    <cellStyle name="Gevolgde hyperlink" xfId="258" builtinId="9" hidden="1"/>
    <cellStyle name="Gevolgde hyperlink" xfId="266" builtinId="9" hidden="1"/>
    <cellStyle name="Gevolgde hyperlink" xfId="274" builtinId="9" hidden="1"/>
    <cellStyle name="Gevolgde hyperlink" xfId="282" builtinId="9" hidden="1"/>
    <cellStyle name="Gevolgde hyperlink" xfId="290" builtinId="9" hidden="1"/>
    <cellStyle name="Gevolgde hyperlink" xfId="298" builtinId="9" hidden="1"/>
    <cellStyle name="Gevolgde hyperlink" xfId="306" builtinId="9" hidden="1"/>
    <cellStyle name="Gevolgde hyperlink" xfId="314" builtinId="9" hidden="1"/>
    <cellStyle name="Gevolgde hyperlink" xfId="322" builtinId="9" hidden="1"/>
    <cellStyle name="Gevolgde hyperlink" xfId="330" builtinId="9" hidden="1"/>
    <cellStyle name="Gevolgde hyperlink" xfId="338" builtinId="9" hidden="1"/>
    <cellStyle name="Gevolgde hyperlink" xfId="346" builtinId="9" hidden="1"/>
    <cellStyle name="Gevolgde hyperlink" xfId="354" builtinId="9" hidden="1"/>
    <cellStyle name="Gevolgde hyperlink" xfId="362" builtinId="9" hidden="1"/>
    <cellStyle name="Gevolgde hyperlink" xfId="370" builtinId="9" hidden="1"/>
    <cellStyle name="Gevolgde hyperlink" xfId="378" builtinId="9" hidden="1"/>
    <cellStyle name="Gevolgde hyperlink" xfId="386" builtinId="9" hidden="1"/>
    <cellStyle name="Gevolgde hyperlink" xfId="394" builtinId="9" hidden="1"/>
    <cellStyle name="Gevolgde hyperlink" xfId="402" builtinId="9" hidden="1"/>
    <cellStyle name="Gevolgde hyperlink" xfId="410" builtinId="9" hidden="1"/>
    <cellStyle name="Gevolgde hyperlink" xfId="418" builtinId="9" hidden="1"/>
    <cellStyle name="Gevolgde hyperlink" xfId="426" builtinId="9" hidden="1"/>
    <cellStyle name="Gevolgde hyperlink" xfId="434" builtinId="9" hidden="1"/>
    <cellStyle name="Gevolgde hyperlink" xfId="442" builtinId="9" hidden="1"/>
    <cellStyle name="Gevolgde hyperlink" xfId="450" builtinId="9" hidden="1"/>
    <cellStyle name="Gevolgde hyperlink" xfId="458" builtinId="9" hidden="1"/>
    <cellStyle name="Gevolgde hyperlink" xfId="466" builtinId="9" hidden="1"/>
    <cellStyle name="Gevolgde hyperlink" xfId="474" builtinId="9" hidden="1"/>
    <cellStyle name="Gevolgde hyperlink" xfId="482" builtinId="9" hidden="1"/>
    <cellStyle name="Gevolgde hyperlink" xfId="490" builtinId="9" hidden="1"/>
    <cellStyle name="Gevolgde hyperlink" xfId="498" builtinId="9" hidden="1"/>
    <cellStyle name="Gevolgde hyperlink" xfId="506" builtinId="9" hidden="1"/>
    <cellStyle name="Gevolgde hyperlink" xfId="514" builtinId="9" hidden="1"/>
    <cellStyle name="Gevolgde hyperlink" xfId="522" builtinId="9" hidden="1"/>
    <cellStyle name="Gevolgde hyperlink" xfId="530" builtinId="9" hidden="1"/>
    <cellStyle name="Gevolgde hyperlink" xfId="538" builtinId="9" hidden="1"/>
    <cellStyle name="Gevolgde hyperlink" xfId="546" builtinId="9" hidden="1"/>
    <cellStyle name="Gevolgde hyperlink" xfId="554" builtinId="9" hidden="1"/>
    <cellStyle name="Gevolgde hyperlink" xfId="562" builtinId="9" hidden="1"/>
    <cellStyle name="Gevolgde hyperlink" xfId="570" builtinId="9" hidden="1"/>
    <cellStyle name="Gevolgde hyperlink" xfId="578" builtinId="9" hidden="1"/>
    <cellStyle name="Gevolgde hyperlink" xfId="586" builtinId="9" hidden="1"/>
    <cellStyle name="Gevolgde hyperlink" xfId="594" builtinId="9" hidden="1"/>
    <cellStyle name="Gevolgde hyperlink" xfId="602" builtinId="9" hidden="1"/>
    <cellStyle name="Gevolgde hyperlink" xfId="610" builtinId="9" hidden="1"/>
    <cellStyle name="Gevolgde hyperlink" xfId="618" builtinId="9" hidden="1"/>
    <cellStyle name="Gevolgde hyperlink" xfId="626" builtinId="9" hidden="1"/>
    <cellStyle name="Gevolgde hyperlink" xfId="634" builtinId="9" hidden="1"/>
    <cellStyle name="Gevolgde hyperlink" xfId="642" builtinId="9" hidden="1"/>
    <cellStyle name="Gevolgde hyperlink" xfId="650" builtinId="9" hidden="1"/>
    <cellStyle name="Gevolgde hyperlink" xfId="658" builtinId="9" hidden="1"/>
    <cellStyle name="Gevolgde hyperlink" xfId="666" builtinId="9" hidden="1"/>
    <cellStyle name="Gevolgde hyperlink" xfId="674" builtinId="9" hidden="1"/>
    <cellStyle name="Gevolgde hyperlink" xfId="682" builtinId="9" hidden="1"/>
    <cellStyle name="Gevolgde hyperlink" xfId="690" builtinId="9" hidden="1"/>
    <cellStyle name="Gevolgde hyperlink" xfId="698" builtinId="9" hidden="1"/>
    <cellStyle name="Gevolgde hyperlink" xfId="706" builtinId="9" hidden="1"/>
    <cellStyle name="Gevolgde hyperlink" xfId="714" builtinId="9" hidden="1"/>
    <cellStyle name="Gevolgde hyperlink" xfId="722" builtinId="9" hidden="1"/>
    <cellStyle name="Gevolgde hyperlink" xfId="730" builtinId="9" hidden="1"/>
    <cellStyle name="Gevolgde hyperlink" xfId="738" builtinId="9" hidden="1"/>
    <cellStyle name="Gevolgde hyperlink" xfId="746" builtinId="9" hidden="1"/>
    <cellStyle name="Gevolgde hyperlink" xfId="754" builtinId="9" hidden="1"/>
    <cellStyle name="Gevolgde hyperlink" xfId="762" builtinId="9" hidden="1"/>
    <cellStyle name="Gevolgde hyperlink" xfId="770" builtinId="9" hidden="1"/>
    <cellStyle name="Gevolgde hyperlink" xfId="778" builtinId="9" hidden="1"/>
    <cellStyle name="Gevolgde hyperlink" xfId="786" builtinId="9" hidden="1"/>
    <cellStyle name="Gevolgde hyperlink" xfId="794" builtinId="9" hidden="1"/>
    <cellStyle name="Gevolgde hyperlink" xfId="802" builtinId="9" hidden="1"/>
    <cellStyle name="Gevolgde hyperlink" xfId="810" builtinId="9" hidden="1"/>
    <cellStyle name="Gevolgde hyperlink" xfId="818" builtinId="9" hidden="1"/>
    <cellStyle name="Gevolgde hyperlink" xfId="826" builtinId="9" hidden="1"/>
    <cellStyle name="Gevolgde hyperlink" xfId="834" builtinId="9" hidden="1"/>
    <cellStyle name="Gevolgde hyperlink" xfId="842" builtinId="9" hidden="1"/>
    <cellStyle name="Gevolgde hyperlink" xfId="850" builtinId="9" hidden="1"/>
    <cellStyle name="Gevolgde hyperlink" xfId="858" builtinId="9" hidden="1"/>
    <cellStyle name="Gevolgde hyperlink" xfId="866" builtinId="9" hidden="1"/>
    <cellStyle name="Gevolgde hyperlink" xfId="874" builtinId="9" hidden="1"/>
    <cellStyle name="Gevolgde hyperlink" xfId="882" builtinId="9" hidden="1"/>
    <cellStyle name="Gevolgde hyperlink" xfId="890" builtinId="9" hidden="1"/>
    <cellStyle name="Gevolgde hyperlink" xfId="898" builtinId="9" hidden="1"/>
    <cellStyle name="Gevolgde hyperlink" xfId="906" builtinId="9" hidden="1"/>
    <cellStyle name="Gevolgde hyperlink" xfId="914" builtinId="9" hidden="1"/>
    <cellStyle name="Gevolgde hyperlink" xfId="922" builtinId="9" hidden="1"/>
    <cellStyle name="Gevolgde hyperlink" xfId="930" builtinId="9" hidden="1"/>
    <cellStyle name="Gevolgde hyperlink" xfId="938" builtinId="9" hidden="1"/>
    <cellStyle name="Gevolgde hyperlink" xfId="946" builtinId="9" hidden="1"/>
    <cellStyle name="Gevolgde hyperlink" xfId="954" builtinId="9" hidden="1"/>
    <cellStyle name="Gevolgde hyperlink" xfId="962" builtinId="9" hidden="1"/>
    <cellStyle name="Gevolgde hyperlink" xfId="970" builtinId="9" hidden="1"/>
    <cellStyle name="Gevolgde hyperlink" xfId="978" builtinId="9" hidden="1"/>
    <cellStyle name="Gevolgde hyperlink" xfId="986" builtinId="9" hidden="1"/>
    <cellStyle name="Gevolgde hyperlink" xfId="994" builtinId="9" hidden="1"/>
    <cellStyle name="Gevolgde hyperlink" xfId="1002" builtinId="9" hidden="1"/>
    <cellStyle name="Gevolgde hyperlink" xfId="1010" builtinId="9" hidden="1"/>
    <cellStyle name="Gevolgde hyperlink" xfId="1018" builtinId="9" hidden="1"/>
    <cellStyle name="Gevolgde hyperlink" xfId="1026" builtinId="9" hidden="1"/>
    <cellStyle name="Gevolgde hyperlink" xfId="1034" builtinId="9" hidden="1"/>
    <cellStyle name="Gevolgde hyperlink" xfId="1042" builtinId="9" hidden="1"/>
    <cellStyle name="Gevolgde hyperlink" xfId="1050" builtinId="9" hidden="1"/>
    <cellStyle name="Gevolgde hyperlink" xfId="1058" builtinId="9" hidden="1"/>
    <cellStyle name="Gevolgde hyperlink" xfId="1066" builtinId="9" hidden="1"/>
    <cellStyle name="Gevolgde hyperlink" xfId="1074" builtinId="9" hidden="1"/>
    <cellStyle name="Gevolgde hyperlink" xfId="1082" builtinId="9" hidden="1"/>
    <cellStyle name="Gevolgde hyperlink" xfId="1090" builtinId="9" hidden="1"/>
    <cellStyle name="Gevolgde hyperlink" xfId="1098" builtinId="9" hidden="1"/>
    <cellStyle name="Gevolgde hyperlink" xfId="1106" builtinId="9" hidden="1"/>
    <cellStyle name="Gevolgde hyperlink" xfId="1114" builtinId="9" hidden="1"/>
    <cellStyle name="Gevolgde hyperlink" xfId="1122" builtinId="9" hidden="1"/>
    <cellStyle name="Gevolgde hyperlink" xfId="1130" builtinId="9" hidden="1"/>
    <cellStyle name="Gevolgde hyperlink" xfId="1138" builtinId="9" hidden="1"/>
    <cellStyle name="Gevolgde hyperlink" xfId="1146" builtinId="9" hidden="1"/>
    <cellStyle name="Gevolgde hyperlink" xfId="1154" builtinId="9" hidden="1"/>
    <cellStyle name="Gevolgde hyperlink" xfId="1162" builtinId="9" hidden="1"/>
    <cellStyle name="Gevolgde hyperlink" xfId="1170" builtinId="9" hidden="1"/>
    <cellStyle name="Gevolgde hyperlink" xfId="1178" builtinId="9" hidden="1"/>
    <cellStyle name="Gevolgde hyperlink" xfId="1186" builtinId="9" hidden="1"/>
    <cellStyle name="Gevolgde hyperlink" xfId="1194" builtinId="9" hidden="1"/>
    <cellStyle name="Gevolgde hyperlink" xfId="1202" builtinId="9" hidden="1"/>
    <cellStyle name="Gevolgde hyperlink" xfId="1210" builtinId="9" hidden="1"/>
    <cellStyle name="Gevolgde hyperlink" xfId="1218" builtinId="9" hidden="1"/>
    <cellStyle name="Gevolgde hyperlink" xfId="1226" builtinId="9" hidden="1"/>
    <cellStyle name="Gevolgde hyperlink" xfId="1234" builtinId="9" hidden="1"/>
    <cellStyle name="Gevolgde hyperlink" xfId="1242" builtinId="9" hidden="1"/>
    <cellStyle name="Gevolgde hyperlink" xfId="1250" builtinId="9" hidden="1"/>
    <cellStyle name="Gevolgde hyperlink" xfId="1258" builtinId="9" hidden="1"/>
    <cellStyle name="Gevolgde hyperlink" xfId="1266" builtinId="9" hidden="1"/>
    <cellStyle name="Gevolgde hyperlink" xfId="1274" builtinId="9" hidden="1"/>
    <cellStyle name="Gevolgde hyperlink" xfId="1282" builtinId="9" hidden="1"/>
    <cellStyle name="Gevolgde hyperlink" xfId="1290" builtinId="9" hidden="1"/>
    <cellStyle name="Gevolgde hyperlink" xfId="1298" builtinId="9" hidden="1"/>
    <cellStyle name="Gevolgde hyperlink" xfId="1306" builtinId="9" hidden="1"/>
    <cellStyle name="Gevolgde hyperlink" xfId="1314" builtinId="9" hidden="1"/>
    <cellStyle name="Gevolgde hyperlink" xfId="1322" builtinId="9" hidden="1"/>
    <cellStyle name="Gevolgde hyperlink" xfId="1330" builtinId="9" hidden="1"/>
    <cellStyle name="Gevolgde hyperlink" xfId="1338" builtinId="9" hidden="1"/>
    <cellStyle name="Gevolgde hyperlink" xfId="1346" builtinId="9" hidden="1"/>
    <cellStyle name="Gevolgde hyperlink" xfId="1354" builtinId="9" hidden="1"/>
    <cellStyle name="Gevolgde hyperlink" xfId="1362" builtinId="9" hidden="1"/>
    <cellStyle name="Gevolgde hyperlink" xfId="1370" builtinId="9" hidden="1"/>
    <cellStyle name="Gevolgde hyperlink" xfId="1378" builtinId="9" hidden="1"/>
    <cellStyle name="Gevolgde hyperlink" xfId="1386" builtinId="9" hidden="1"/>
    <cellStyle name="Gevolgde hyperlink" xfId="1394" builtinId="9" hidden="1"/>
    <cellStyle name="Gevolgde hyperlink" xfId="1402" builtinId="9" hidden="1"/>
    <cellStyle name="Gevolgde hyperlink" xfId="1410" builtinId="9" hidden="1"/>
    <cellStyle name="Gevolgde hyperlink" xfId="1418" builtinId="9" hidden="1"/>
    <cellStyle name="Gevolgde hyperlink" xfId="1426" builtinId="9" hidden="1"/>
    <cellStyle name="Gevolgde hyperlink" xfId="1434" builtinId="9" hidden="1"/>
    <cellStyle name="Gevolgde hyperlink" xfId="1442" builtinId="9" hidden="1"/>
    <cellStyle name="Gevolgde hyperlink" xfId="1450" builtinId="9" hidden="1"/>
    <cellStyle name="Gevolgde hyperlink" xfId="1458" builtinId="9" hidden="1"/>
    <cellStyle name="Gevolgde hyperlink" xfId="1466" builtinId="9" hidden="1"/>
    <cellStyle name="Gevolgde hyperlink" xfId="1474" builtinId="9" hidden="1"/>
    <cellStyle name="Gevolgde hyperlink" xfId="1482" builtinId="9" hidden="1"/>
    <cellStyle name="Gevolgde hyperlink" xfId="1490" builtinId="9" hidden="1"/>
    <cellStyle name="Gevolgde hyperlink" xfId="1498" builtinId="9" hidden="1"/>
    <cellStyle name="Gevolgde hyperlink" xfId="1506" builtinId="9" hidden="1"/>
    <cellStyle name="Gevolgde hyperlink" xfId="1514" builtinId="9" hidden="1"/>
    <cellStyle name="Gevolgde hyperlink" xfId="1522" builtinId="9" hidden="1"/>
    <cellStyle name="Gevolgde hyperlink" xfId="1530" builtinId="9" hidden="1"/>
    <cellStyle name="Gevolgde hyperlink" xfId="1538" builtinId="9" hidden="1"/>
    <cellStyle name="Gevolgde hyperlink" xfId="1546" builtinId="9" hidden="1"/>
    <cellStyle name="Gevolgde hyperlink" xfId="1554" builtinId="9" hidden="1"/>
    <cellStyle name="Gevolgde hyperlink" xfId="1562" builtinId="9" hidden="1"/>
    <cellStyle name="Gevolgde hyperlink" xfId="1570" builtinId="9" hidden="1"/>
    <cellStyle name="Gevolgde hyperlink" xfId="1578" builtinId="9" hidden="1"/>
    <cellStyle name="Gevolgde hyperlink" xfId="1586" builtinId="9" hidden="1"/>
    <cellStyle name="Gevolgde hyperlink" xfId="1594" builtinId="9" hidden="1"/>
    <cellStyle name="Gevolgde hyperlink" xfId="1602" builtinId="9" hidden="1"/>
    <cellStyle name="Gevolgde hyperlink" xfId="1610" builtinId="9" hidden="1"/>
    <cellStyle name="Gevolgde hyperlink" xfId="1618" builtinId="9" hidden="1"/>
    <cellStyle name="Gevolgde hyperlink" xfId="1626" builtinId="9" hidden="1"/>
    <cellStyle name="Gevolgde hyperlink" xfId="1634" builtinId="9" hidden="1"/>
    <cellStyle name="Gevolgde hyperlink" xfId="1642" builtinId="9" hidden="1"/>
    <cellStyle name="Gevolgde hyperlink" xfId="1650" builtinId="9" hidden="1"/>
    <cellStyle name="Gevolgde hyperlink" xfId="1658" builtinId="9" hidden="1"/>
    <cellStyle name="Gevolgde hyperlink" xfId="1666" builtinId="9" hidden="1"/>
    <cellStyle name="Gevolgde hyperlink" xfId="1674" builtinId="9" hidden="1"/>
    <cellStyle name="Gevolgde hyperlink" xfId="1682" builtinId="9" hidden="1"/>
    <cellStyle name="Gevolgde hyperlink" xfId="1690" builtinId="9" hidden="1"/>
    <cellStyle name="Gevolgde hyperlink" xfId="1698" builtinId="9" hidden="1"/>
    <cellStyle name="Gevolgde hyperlink" xfId="1706" builtinId="9" hidden="1"/>
    <cellStyle name="Gevolgde hyperlink" xfId="1714" builtinId="9" hidden="1"/>
    <cellStyle name="Gevolgde hyperlink" xfId="1722" builtinId="9" hidden="1"/>
    <cellStyle name="Gevolgde hyperlink" xfId="1730" builtinId="9" hidden="1"/>
    <cellStyle name="Gevolgde hyperlink" xfId="1738" builtinId="9" hidden="1"/>
    <cellStyle name="Gevolgde hyperlink" xfId="1746" builtinId="9" hidden="1"/>
    <cellStyle name="Gevolgde hyperlink" xfId="1754" builtinId="9" hidden="1"/>
    <cellStyle name="Gevolgde hyperlink" xfId="1762" builtinId="9" hidden="1"/>
    <cellStyle name="Gevolgde hyperlink" xfId="1770" builtinId="9" hidden="1"/>
    <cellStyle name="Gevolgde hyperlink" xfId="1778" builtinId="9" hidden="1"/>
    <cellStyle name="Gevolgde hyperlink" xfId="1786" builtinId="9" hidden="1"/>
    <cellStyle name="Gevolgde hyperlink" xfId="1794" builtinId="9" hidden="1"/>
    <cellStyle name="Gevolgde hyperlink" xfId="1802" builtinId="9" hidden="1"/>
    <cellStyle name="Gevolgde hyperlink" xfId="1810" builtinId="9" hidden="1"/>
    <cellStyle name="Gevolgde hyperlink" xfId="1818" builtinId="9" hidden="1"/>
    <cellStyle name="Gevolgde hyperlink" xfId="1826" builtinId="9" hidden="1"/>
    <cellStyle name="Gevolgde hyperlink" xfId="1834" builtinId="9" hidden="1"/>
    <cellStyle name="Gevolgde hyperlink" xfId="1842" builtinId="9" hidden="1"/>
    <cellStyle name="Gevolgde hyperlink" xfId="1850" builtinId="9" hidden="1"/>
    <cellStyle name="Gevolgde hyperlink" xfId="1858" builtinId="9" hidden="1"/>
    <cellStyle name="Gevolgde hyperlink" xfId="1866" builtinId="9" hidden="1"/>
    <cellStyle name="Gevolgde hyperlink" xfId="1874" builtinId="9" hidden="1"/>
    <cellStyle name="Gevolgde hyperlink" xfId="1882" builtinId="9" hidden="1"/>
    <cellStyle name="Gevolgde hyperlink" xfId="1890" builtinId="9" hidden="1"/>
    <cellStyle name="Gevolgde hyperlink" xfId="1898" builtinId="9" hidden="1"/>
    <cellStyle name="Gevolgde hyperlink" xfId="1906" builtinId="9" hidden="1"/>
    <cellStyle name="Gevolgde hyperlink" xfId="1914" builtinId="9" hidden="1"/>
    <cellStyle name="Gevolgde hyperlink" xfId="1922" builtinId="9" hidden="1"/>
    <cellStyle name="Gevolgde hyperlink" xfId="1930" builtinId="9" hidden="1"/>
    <cellStyle name="Gevolgde hyperlink" xfId="1938" builtinId="9" hidden="1"/>
    <cellStyle name="Gevolgde hyperlink" xfId="1946" builtinId="9" hidden="1"/>
    <cellStyle name="Gevolgde hyperlink" xfId="1954" builtinId="9" hidden="1"/>
    <cellStyle name="Gevolgde hyperlink" xfId="1962" builtinId="9" hidden="1"/>
    <cellStyle name="Gevolgde hyperlink" xfId="1970" builtinId="9" hidden="1"/>
    <cellStyle name="Gevolgde hyperlink" xfId="1978" builtinId="9" hidden="1"/>
    <cellStyle name="Gevolgde hyperlink" xfId="1986" builtinId="9" hidden="1"/>
    <cellStyle name="Gevolgde hyperlink" xfId="1994" builtinId="9" hidden="1"/>
    <cellStyle name="Gevolgde hyperlink" xfId="2002" builtinId="9" hidden="1"/>
    <cellStyle name="Gevolgde hyperlink" xfId="2010" builtinId="9" hidden="1"/>
    <cellStyle name="Gevolgde hyperlink" xfId="2018" builtinId="9" hidden="1"/>
    <cellStyle name="Gevolgde hyperlink" xfId="2026" builtinId="9" hidden="1"/>
    <cellStyle name="Gevolgde hyperlink" xfId="2034" builtinId="9" hidden="1"/>
    <cellStyle name="Gevolgde hyperlink" xfId="2042" builtinId="9" hidden="1"/>
    <cellStyle name="Gevolgde hyperlink" xfId="2050" builtinId="9" hidden="1"/>
    <cellStyle name="Gevolgde hyperlink" xfId="2058" builtinId="9" hidden="1"/>
    <cellStyle name="Gevolgde hyperlink" xfId="2066" builtinId="9" hidden="1"/>
    <cellStyle name="Gevolgde hyperlink" xfId="2074" builtinId="9" hidden="1"/>
    <cellStyle name="Gevolgde hyperlink" xfId="2082" builtinId="9" hidden="1"/>
    <cellStyle name="Gevolgde hyperlink" xfId="2090" builtinId="9" hidden="1"/>
    <cellStyle name="Gevolgde hyperlink" xfId="2098" builtinId="9" hidden="1"/>
    <cellStyle name="Gevolgde hyperlink" xfId="2106" builtinId="9" hidden="1"/>
    <cellStyle name="Gevolgde hyperlink" xfId="2114" builtinId="9" hidden="1"/>
    <cellStyle name="Gevolgde hyperlink" xfId="2122" builtinId="9" hidden="1"/>
    <cellStyle name="Gevolgde hyperlink" xfId="2130" builtinId="9" hidden="1"/>
    <cellStyle name="Gevolgde hyperlink" xfId="2138" builtinId="9" hidden="1"/>
    <cellStyle name="Gevolgde hyperlink" xfId="2146" builtinId="9" hidden="1"/>
    <cellStyle name="Gevolgde hyperlink" xfId="2154" builtinId="9" hidden="1"/>
    <cellStyle name="Gevolgde hyperlink" xfId="2162" builtinId="9" hidden="1"/>
    <cellStyle name="Gevolgde hyperlink" xfId="2170" builtinId="9" hidden="1"/>
    <cellStyle name="Gevolgde hyperlink" xfId="2178" builtinId="9" hidden="1"/>
    <cellStyle name="Gevolgde hyperlink" xfId="2186" builtinId="9" hidden="1"/>
    <cellStyle name="Gevolgde hyperlink" xfId="2194" builtinId="9" hidden="1"/>
    <cellStyle name="Gevolgde hyperlink" xfId="2202" builtinId="9" hidden="1"/>
    <cellStyle name="Gevolgde hyperlink" xfId="2210" builtinId="9" hidden="1"/>
    <cellStyle name="Gevolgde hyperlink" xfId="2218" builtinId="9" hidden="1"/>
    <cellStyle name="Gevolgde hyperlink" xfId="2226" builtinId="9" hidden="1"/>
    <cellStyle name="Gevolgde hyperlink" xfId="2234" builtinId="9" hidden="1"/>
    <cellStyle name="Gevolgde hyperlink" xfId="2242" builtinId="9" hidden="1"/>
    <cellStyle name="Gevolgde hyperlink" xfId="2250" builtinId="9" hidden="1"/>
    <cellStyle name="Gevolgde hyperlink" xfId="2258" builtinId="9" hidden="1"/>
    <cellStyle name="Gevolgde hyperlink" xfId="2266" builtinId="9" hidden="1"/>
    <cellStyle name="Gevolgde hyperlink" xfId="2274" builtinId="9" hidden="1"/>
    <cellStyle name="Gevolgde hyperlink" xfId="2282" builtinId="9" hidden="1"/>
    <cellStyle name="Gevolgde hyperlink" xfId="2290" builtinId="9" hidden="1"/>
    <cellStyle name="Gevolgde hyperlink" xfId="2298" builtinId="9" hidden="1"/>
    <cellStyle name="Gevolgde hyperlink" xfId="2306" builtinId="9" hidden="1"/>
    <cellStyle name="Gevolgde hyperlink" xfId="2314" builtinId="9" hidden="1"/>
    <cellStyle name="Gevolgde hyperlink" xfId="2322" builtinId="9" hidden="1"/>
    <cellStyle name="Gevolgde hyperlink" xfId="2330" builtinId="9" hidden="1"/>
    <cellStyle name="Gevolgde hyperlink" xfId="2338" builtinId="9" hidden="1"/>
    <cellStyle name="Gevolgde hyperlink" xfId="2346" builtinId="9" hidden="1"/>
    <cellStyle name="Gevolgde hyperlink" xfId="2354" builtinId="9" hidden="1"/>
    <cellStyle name="Gevolgde hyperlink" xfId="2362" builtinId="9" hidden="1"/>
    <cellStyle name="Gevolgde hyperlink" xfId="2370" builtinId="9" hidden="1"/>
    <cellStyle name="Gevolgde hyperlink" xfId="2378" builtinId="9" hidden="1"/>
    <cellStyle name="Gevolgde hyperlink" xfId="2386" builtinId="9" hidden="1"/>
    <cellStyle name="Gevolgde hyperlink" xfId="2394" builtinId="9" hidden="1"/>
    <cellStyle name="Gevolgde hyperlink" xfId="2402" builtinId="9" hidden="1"/>
    <cellStyle name="Gevolgde hyperlink" xfId="2410" builtinId="9" hidden="1"/>
    <cellStyle name="Gevolgde hyperlink" xfId="2418" builtinId="9" hidden="1"/>
    <cellStyle name="Gevolgde hyperlink" xfId="2426" builtinId="9" hidden="1"/>
    <cellStyle name="Gevolgde hyperlink" xfId="2434" builtinId="9" hidden="1"/>
    <cellStyle name="Gevolgde hyperlink" xfId="2442" builtinId="9" hidden="1"/>
    <cellStyle name="Gevolgde hyperlink" xfId="2450" builtinId="9" hidden="1"/>
    <cellStyle name="Gevolgde hyperlink" xfId="2458" builtinId="9" hidden="1"/>
    <cellStyle name="Gevolgde hyperlink" xfId="2466" builtinId="9" hidden="1"/>
    <cellStyle name="Gevolgde hyperlink" xfId="2474" builtinId="9" hidden="1"/>
    <cellStyle name="Gevolgde hyperlink" xfId="2482" builtinId="9" hidden="1"/>
    <cellStyle name="Gevolgde hyperlink" xfId="2490" builtinId="9" hidden="1"/>
    <cellStyle name="Gevolgde hyperlink" xfId="2498" builtinId="9" hidden="1"/>
    <cellStyle name="Gevolgde hyperlink" xfId="2506" builtinId="9" hidden="1"/>
    <cellStyle name="Gevolgde hyperlink" xfId="2515" builtinId="9" hidden="1"/>
    <cellStyle name="Gevolgde hyperlink" xfId="2631" builtinId="9" hidden="1"/>
    <cellStyle name="Gevolgde hyperlink" xfId="2639" builtinId="9" hidden="1"/>
    <cellStyle name="Gevolgde hyperlink" xfId="2647" builtinId="9" hidden="1"/>
    <cellStyle name="Gevolgde hyperlink" xfId="2655" builtinId="9" hidden="1"/>
    <cellStyle name="Gevolgde hyperlink" xfId="2663" builtinId="9" hidden="1"/>
    <cellStyle name="Gevolgde hyperlink" xfId="2671" builtinId="9" hidden="1"/>
    <cellStyle name="Gevolgde hyperlink" xfId="2679" builtinId="9" hidden="1"/>
    <cellStyle name="Gevolgde hyperlink" xfId="2687" builtinId="9" hidden="1"/>
    <cellStyle name="Gevolgde hyperlink" xfId="2695" builtinId="9" hidden="1"/>
    <cellStyle name="Gevolgde hyperlink" xfId="2703" builtinId="9" hidden="1"/>
    <cellStyle name="Gevolgde hyperlink" xfId="2711" builtinId="9" hidden="1"/>
    <cellStyle name="Gevolgde hyperlink" xfId="2719" builtinId="9" hidden="1"/>
    <cellStyle name="Gevolgde hyperlink" xfId="2727" builtinId="9" hidden="1"/>
    <cellStyle name="Gevolgde hyperlink" xfId="2735" builtinId="9" hidden="1"/>
    <cellStyle name="Gevolgde hyperlink" xfId="2743" builtinId="9" hidden="1"/>
    <cellStyle name="Gevolgde hyperlink" xfId="2751" builtinId="9" hidden="1"/>
    <cellStyle name="Gevolgde hyperlink" xfId="2759" builtinId="9" hidden="1"/>
    <cellStyle name="Gevolgde hyperlink" xfId="2767" builtinId="9" hidden="1"/>
    <cellStyle name="Gevolgde hyperlink" xfId="2775" builtinId="9" hidden="1"/>
    <cellStyle name="Gevolgde hyperlink" xfId="2783" builtinId="9" hidden="1"/>
    <cellStyle name="Gevolgde hyperlink" xfId="2791" builtinId="9" hidden="1"/>
    <cellStyle name="Gevolgde hyperlink" xfId="2799" builtinId="9" hidden="1"/>
    <cellStyle name="Gevolgde hyperlink" xfId="2807" builtinId="9" hidden="1"/>
    <cellStyle name="Gevolgde hyperlink" xfId="2815" builtinId="9" hidden="1"/>
    <cellStyle name="Gevolgde hyperlink" xfId="2823" builtinId="9" hidden="1"/>
    <cellStyle name="Gevolgde hyperlink" xfId="2831" builtinId="9" hidden="1"/>
    <cellStyle name="Gevolgde hyperlink" xfId="2839" builtinId="9" hidden="1"/>
    <cellStyle name="Gevolgde hyperlink" xfId="2847" builtinId="9" hidden="1"/>
    <cellStyle name="Gevolgde hyperlink" xfId="2855" builtinId="9" hidden="1"/>
    <cellStyle name="Gevolgde hyperlink" xfId="2863" builtinId="9" hidden="1"/>
    <cellStyle name="Gevolgde hyperlink" xfId="2871" builtinId="9" hidden="1"/>
    <cellStyle name="Gevolgde hyperlink" xfId="2879" builtinId="9" hidden="1"/>
    <cellStyle name="Gevolgde hyperlink" xfId="2887" builtinId="9" hidden="1"/>
    <cellStyle name="Gevolgde hyperlink" xfId="2895" builtinId="9" hidden="1"/>
    <cellStyle name="Gevolgde hyperlink" xfId="2903" builtinId="9" hidden="1"/>
    <cellStyle name="Gevolgde hyperlink" xfId="2911" builtinId="9" hidden="1"/>
    <cellStyle name="Gevolgde hyperlink" xfId="2919" builtinId="9" hidden="1"/>
    <cellStyle name="Gevolgde hyperlink" xfId="2927" builtinId="9" hidden="1"/>
    <cellStyle name="Gevolgde hyperlink" xfId="2935" builtinId="9" hidden="1"/>
    <cellStyle name="Gevolgde hyperlink" xfId="2943" builtinId="9" hidden="1"/>
    <cellStyle name="Gevolgde hyperlink" xfId="2951" builtinId="9" hidden="1"/>
    <cellStyle name="Gevolgde hyperlink" xfId="2959" builtinId="9" hidden="1"/>
    <cellStyle name="Gevolgde hyperlink" xfId="2967" builtinId="9" hidden="1"/>
    <cellStyle name="Gevolgde hyperlink" xfId="2975" builtinId="9" hidden="1"/>
    <cellStyle name="Gevolgde hyperlink" xfId="2983" builtinId="9" hidden="1"/>
    <cellStyle name="Gevolgde hyperlink" xfId="2991" builtinId="9" hidden="1"/>
    <cellStyle name="Gevolgde hyperlink" xfId="2999" builtinId="9" hidden="1"/>
    <cellStyle name="Gevolgde hyperlink" xfId="3007" builtinId="9" hidden="1"/>
    <cellStyle name="Gevolgde hyperlink" xfId="3015" builtinId="9" hidden="1"/>
    <cellStyle name="Gevolgde hyperlink" xfId="3023" builtinId="9" hidden="1"/>
    <cellStyle name="Gevolgde hyperlink" xfId="3031" builtinId="9" hidden="1"/>
    <cellStyle name="Gevolgde hyperlink" xfId="3039" builtinId="9" hidden="1"/>
    <cellStyle name="Gevolgde hyperlink" xfId="3047" builtinId="9" hidden="1"/>
    <cellStyle name="Gevolgde hyperlink" xfId="3055" builtinId="9" hidden="1"/>
    <cellStyle name="Gevolgde hyperlink" xfId="3063" builtinId="9" hidden="1"/>
    <cellStyle name="Gevolgde hyperlink" xfId="3071" builtinId="9" hidden="1"/>
    <cellStyle name="Gevolgde hyperlink" xfId="3079" builtinId="9" hidden="1"/>
    <cellStyle name="Gevolgde hyperlink" xfId="3087" builtinId="9" hidden="1"/>
    <cellStyle name="Gevolgde hyperlink" xfId="3095" builtinId="9" hidden="1"/>
    <cellStyle name="Gevolgde hyperlink" xfId="3103" builtinId="9" hidden="1"/>
    <cellStyle name="Gevolgde hyperlink" xfId="3111" builtinId="9" hidden="1"/>
    <cellStyle name="Gevolgde hyperlink" xfId="3119" builtinId="9" hidden="1"/>
    <cellStyle name="Gevolgde hyperlink" xfId="3127" builtinId="9" hidden="1"/>
    <cellStyle name="Gevolgde hyperlink" xfId="3135" builtinId="9" hidden="1"/>
    <cellStyle name="Gevolgde hyperlink" xfId="3143" builtinId="9" hidden="1"/>
    <cellStyle name="Gevolgde hyperlink" xfId="3151" builtinId="9" hidden="1"/>
    <cellStyle name="Gevolgde hyperlink" xfId="3159" builtinId="9" hidden="1"/>
    <cellStyle name="Gevolgde hyperlink" xfId="3167" builtinId="9" hidden="1"/>
    <cellStyle name="Gevolgde hyperlink" xfId="3175" builtinId="9" hidden="1"/>
    <cellStyle name="Gevolgde hyperlink" xfId="3183" builtinId="9" hidden="1"/>
    <cellStyle name="Gevolgde hyperlink" xfId="3191" builtinId="9" hidden="1"/>
    <cellStyle name="Gevolgde hyperlink" xfId="3199" builtinId="9" hidden="1"/>
    <cellStyle name="Gevolgde hyperlink" xfId="3207" builtinId="9" hidden="1"/>
    <cellStyle name="Gevolgde hyperlink" xfId="3215" builtinId="9" hidden="1"/>
    <cellStyle name="Gevolgde hyperlink" xfId="3223" builtinId="9" hidden="1"/>
    <cellStyle name="Gevolgde hyperlink" xfId="3231" builtinId="9" hidden="1"/>
    <cellStyle name="Gevolgde hyperlink" xfId="3239" builtinId="9" hidden="1"/>
    <cellStyle name="Gevolgde hyperlink" xfId="3247" builtinId="9" hidden="1"/>
    <cellStyle name="Gevolgde hyperlink" xfId="3255" builtinId="9" hidden="1"/>
    <cellStyle name="Gevolgde hyperlink" xfId="3263" builtinId="9" hidden="1"/>
    <cellStyle name="Gevolgde hyperlink" xfId="3271" builtinId="9" hidden="1"/>
    <cellStyle name="Gevolgde hyperlink" xfId="3279" builtinId="9" hidden="1"/>
    <cellStyle name="Gevolgde hyperlink" xfId="3287" builtinId="9" hidden="1"/>
    <cellStyle name="Gevolgde hyperlink" xfId="3295" builtinId="9" hidden="1"/>
    <cellStyle name="Gevolgde hyperlink" xfId="3303" builtinId="9" hidden="1"/>
    <cellStyle name="Gevolgde hyperlink" xfId="3311" builtinId="9" hidden="1"/>
    <cellStyle name="Gevolgde hyperlink" xfId="3319" builtinId="9" hidden="1"/>
    <cellStyle name="Gevolgde hyperlink" xfId="3325" builtinId="9" hidden="1"/>
    <cellStyle name="Gevolgde hyperlink" xfId="3317" builtinId="9" hidden="1"/>
    <cellStyle name="Gevolgde hyperlink" xfId="3309" builtinId="9" hidden="1"/>
    <cellStyle name="Gevolgde hyperlink" xfId="3301" builtinId="9" hidden="1"/>
    <cellStyle name="Gevolgde hyperlink" xfId="3293" builtinId="9" hidden="1"/>
    <cellStyle name="Gevolgde hyperlink" xfId="3285" builtinId="9" hidden="1"/>
    <cellStyle name="Gevolgde hyperlink" xfId="3277" builtinId="9" hidden="1"/>
    <cellStyle name="Gevolgde hyperlink" xfId="3269" builtinId="9" hidden="1"/>
    <cellStyle name="Gevolgde hyperlink" xfId="3261" builtinId="9" hidden="1"/>
    <cellStyle name="Gevolgde hyperlink" xfId="3253" builtinId="9" hidden="1"/>
    <cellStyle name="Gevolgde hyperlink" xfId="3245" builtinId="9" hidden="1"/>
    <cellStyle name="Gevolgde hyperlink" xfId="3237" builtinId="9" hidden="1"/>
    <cellStyle name="Gevolgde hyperlink" xfId="3229" builtinId="9" hidden="1"/>
    <cellStyle name="Gevolgde hyperlink" xfId="3221" builtinId="9" hidden="1"/>
    <cellStyle name="Gevolgde hyperlink" xfId="3213" builtinId="9" hidden="1"/>
    <cellStyle name="Gevolgde hyperlink" xfId="3205" builtinId="9" hidden="1"/>
    <cellStyle name="Gevolgde hyperlink" xfId="3197" builtinId="9" hidden="1"/>
    <cellStyle name="Gevolgde hyperlink" xfId="3189" builtinId="9" hidden="1"/>
    <cellStyle name="Gevolgde hyperlink" xfId="3181" builtinId="9" hidden="1"/>
    <cellStyle name="Gevolgde hyperlink" xfId="3173" builtinId="9" hidden="1"/>
    <cellStyle name="Gevolgde hyperlink" xfId="3165" builtinId="9" hidden="1"/>
    <cellStyle name="Gevolgde hyperlink" xfId="3157" builtinId="9" hidden="1"/>
    <cellStyle name="Gevolgde hyperlink" xfId="3149" builtinId="9" hidden="1"/>
    <cellStyle name="Gevolgde hyperlink" xfId="3141" builtinId="9" hidden="1"/>
    <cellStyle name="Gevolgde hyperlink" xfId="3133" builtinId="9" hidden="1"/>
    <cellStyle name="Gevolgde hyperlink" xfId="3125" builtinId="9" hidden="1"/>
    <cellStyle name="Gevolgde hyperlink" xfId="3117" builtinId="9" hidden="1"/>
    <cellStyle name="Gevolgde hyperlink" xfId="3109" builtinId="9" hidden="1"/>
    <cellStyle name="Gevolgde hyperlink" xfId="3101" builtinId="9" hidden="1"/>
    <cellStyle name="Gevolgde hyperlink" xfId="3093" builtinId="9" hidden="1"/>
    <cellStyle name="Gevolgde hyperlink" xfId="3085" builtinId="9" hidden="1"/>
    <cellStyle name="Gevolgde hyperlink" xfId="3077" builtinId="9" hidden="1"/>
    <cellStyle name="Gevolgde hyperlink" xfId="3069" builtinId="9" hidden="1"/>
    <cellStyle name="Gevolgde hyperlink" xfId="3061" builtinId="9" hidden="1"/>
    <cellStyle name="Gevolgde hyperlink" xfId="3053" builtinId="9" hidden="1"/>
    <cellStyle name="Gevolgde hyperlink" xfId="3045" builtinId="9" hidden="1"/>
    <cellStyle name="Gevolgde hyperlink" xfId="3037" builtinId="9" hidden="1"/>
    <cellStyle name="Gevolgde hyperlink" xfId="3029" builtinId="9" hidden="1"/>
    <cellStyle name="Gevolgde hyperlink" xfId="3021" builtinId="9" hidden="1"/>
    <cellStyle name="Gevolgde hyperlink" xfId="3013" builtinId="9" hidden="1"/>
    <cellStyle name="Gevolgde hyperlink" xfId="3005" builtinId="9" hidden="1"/>
    <cellStyle name="Gevolgde hyperlink" xfId="2997" builtinId="9" hidden="1"/>
    <cellStyle name="Gevolgde hyperlink" xfId="2989" builtinId="9" hidden="1"/>
    <cellStyle name="Gevolgde hyperlink" xfId="2981" builtinId="9" hidden="1"/>
    <cellStyle name="Gevolgde hyperlink" xfId="2973" builtinId="9" hidden="1"/>
    <cellStyle name="Gevolgde hyperlink" xfId="2965" builtinId="9" hidden="1"/>
    <cellStyle name="Gevolgde hyperlink" xfId="2957" builtinId="9" hidden="1"/>
    <cellStyle name="Gevolgde hyperlink" xfId="2949" builtinId="9" hidden="1"/>
    <cellStyle name="Gevolgde hyperlink" xfId="2941" builtinId="9" hidden="1"/>
    <cellStyle name="Gevolgde hyperlink" xfId="2933" builtinId="9" hidden="1"/>
    <cellStyle name="Gevolgde hyperlink" xfId="2925" builtinId="9" hidden="1"/>
    <cellStyle name="Gevolgde hyperlink" xfId="2917" builtinId="9" hidden="1"/>
    <cellStyle name="Gevolgde hyperlink" xfId="2909" builtinId="9" hidden="1"/>
    <cellStyle name="Gevolgde hyperlink" xfId="2901" builtinId="9" hidden="1"/>
    <cellStyle name="Gevolgde hyperlink" xfId="2893" builtinId="9" hidden="1"/>
    <cellStyle name="Gevolgde hyperlink" xfId="2885" builtinId="9" hidden="1"/>
    <cellStyle name="Gevolgde hyperlink" xfId="2877" builtinId="9" hidden="1"/>
    <cellStyle name="Gevolgde hyperlink" xfId="2869" builtinId="9" hidden="1"/>
    <cellStyle name="Gevolgde hyperlink" xfId="2861" builtinId="9" hidden="1"/>
    <cellStyle name="Gevolgde hyperlink" xfId="2853" builtinId="9" hidden="1"/>
    <cellStyle name="Gevolgde hyperlink" xfId="2845" builtinId="9" hidden="1"/>
    <cellStyle name="Gevolgde hyperlink" xfId="2837" builtinId="9" hidden="1"/>
    <cellStyle name="Gevolgde hyperlink" xfId="2829" builtinId="9" hidden="1"/>
    <cellStyle name="Gevolgde hyperlink" xfId="2821" builtinId="9" hidden="1"/>
    <cellStyle name="Gevolgde hyperlink" xfId="2813" builtinId="9" hidden="1"/>
    <cellStyle name="Gevolgde hyperlink" xfId="2805" builtinId="9" hidden="1"/>
    <cellStyle name="Gevolgde hyperlink" xfId="2797" builtinId="9" hidden="1"/>
    <cellStyle name="Gevolgde hyperlink" xfId="2789" builtinId="9" hidden="1"/>
    <cellStyle name="Gevolgde hyperlink" xfId="2781" builtinId="9" hidden="1"/>
    <cellStyle name="Gevolgde hyperlink" xfId="2773" builtinId="9" hidden="1"/>
    <cellStyle name="Gevolgde hyperlink" xfId="2765" builtinId="9" hidden="1"/>
    <cellStyle name="Gevolgde hyperlink" xfId="2757" builtinId="9" hidden="1"/>
    <cellStyle name="Gevolgde hyperlink" xfId="2749" builtinId="9" hidden="1"/>
    <cellStyle name="Gevolgde hyperlink" xfId="2741" builtinId="9" hidden="1"/>
    <cellStyle name="Gevolgde hyperlink" xfId="2733" builtinId="9" hidden="1"/>
    <cellStyle name="Gevolgde hyperlink" xfId="2725" builtinId="9" hidden="1"/>
    <cellStyle name="Gevolgde hyperlink" xfId="2717" builtinId="9" hidden="1"/>
    <cellStyle name="Gevolgde hyperlink" xfId="2709" builtinId="9" hidden="1"/>
    <cellStyle name="Gevolgde hyperlink" xfId="2701" builtinId="9" hidden="1"/>
    <cellStyle name="Gevolgde hyperlink" xfId="2693" builtinId="9" hidden="1"/>
    <cellStyle name="Gevolgde hyperlink" xfId="2685" builtinId="9" hidden="1"/>
    <cellStyle name="Gevolgde hyperlink" xfId="2677" builtinId="9" hidden="1"/>
    <cellStyle name="Gevolgde hyperlink" xfId="2669" builtinId="9" hidden="1"/>
    <cellStyle name="Gevolgde hyperlink" xfId="2661" builtinId="9" hidden="1"/>
    <cellStyle name="Gevolgde hyperlink" xfId="2653" builtinId="9" hidden="1"/>
    <cellStyle name="Gevolgde hyperlink" xfId="2645" builtinId="9" hidden="1"/>
    <cellStyle name="Gevolgde hyperlink" xfId="2637" builtinId="9" hidden="1"/>
    <cellStyle name="Gevolgde hyperlink" xfId="2629" builtinId="9" hidden="1"/>
    <cellStyle name="Gevolgde hyperlink" xfId="2513" builtinId="9" hidden="1"/>
    <cellStyle name="Gevolgde hyperlink" xfId="2504" builtinId="9" hidden="1"/>
    <cellStyle name="Gevolgde hyperlink" xfId="2496" builtinId="9" hidden="1"/>
    <cellStyle name="Gevolgde hyperlink" xfId="2488" builtinId="9" hidden="1"/>
    <cellStyle name="Gevolgde hyperlink" xfId="2480" builtinId="9" hidden="1"/>
    <cellStyle name="Gevolgde hyperlink" xfId="2472" builtinId="9" hidden="1"/>
    <cellStyle name="Gevolgde hyperlink" xfId="2464" builtinId="9" hidden="1"/>
    <cellStyle name="Gevolgde hyperlink" xfId="2456" builtinId="9" hidden="1"/>
    <cellStyle name="Gevolgde hyperlink" xfId="2448" builtinId="9" hidden="1"/>
    <cellStyle name="Gevolgde hyperlink" xfId="2440" builtinId="9" hidden="1"/>
    <cellStyle name="Gevolgde hyperlink" xfId="2432" builtinId="9" hidden="1"/>
    <cellStyle name="Gevolgde hyperlink" xfId="2424" builtinId="9" hidden="1"/>
    <cellStyle name="Gevolgde hyperlink" xfId="2416" builtinId="9" hidden="1"/>
    <cellStyle name="Gevolgde hyperlink" xfId="2408" builtinId="9" hidden="1"/>
    <cellStyle name="Gevolgde hyperlink" xfId="2400" builtinId="9" hidden="1"/>
    <cellStyle name="Gevolgde hyperlink" xfId="2392" builtinId="9" hidden="1"/>
    <cellStyle name="Gevolgde hyperlink" xfId="2384" builtinId="9" hidden="1"/>
    <cellStyle name="Gevolgde hyperlink" xfId="2376" builtinId="9" hidden="1"/>
    <cellStyle name="Gevolgde hyperlink" xfId="2368" builtinId="9" hidden="1"/>
    <cellStyle name="Gevolgde hyperlink" xfId="2360" builtinId="9" hidden="1"/>
    <cellStyle name="Gevolgde hyperlink" xfId="2352" builtinId="9" hidden="1"/>
    <cellStyle name="Gevolgde hyperlink" xfId="2344" builtinId="9" hidden="1"/>
    <cellStyle name="Gevolgde hyperlink" xfId="2336" builtinId="9" hidden="1"/>
    <cellStyle name="Gevolgde hyperlink" xfId="2328" builtinId="9" hidden="1"/>
    <cellStyle name="Gevolgde hyperlink" xfId="2320" builtinId="9" hidden="1"/>
    <cellStyle name="Gevolgde hyperlink" xfId="2312" builtinId="9" hidden="1"/>
    <cellStyle name="Gevolgde hyperlink" xfId="2304" builtinId="9" hidden="1"/>
    <cellStyle name="Gevolgde hyperlink" xfId="2296" builtinId="9" hidden="1"/>
    <cellStyle name="Gevolgde hyperlink" xfId="2288" builtinId="9" hidden="1"/>
    <cellStyle name="Gevolgde hyperlink" xfId="2280" builtinId="9" hidden="1"/>
    <cellStyle name="Gevolgde hyperlink" xfId="2272" builtinId="9" hidden="1"/>
    <cellStyle name="Gevolgde hyperlink" xfId="2264" builtinId="9" hidden="1"/>
    <cellStyle name="Gevolgde hyperlink" xfId="2256" builtinId="9" hidden="1"/>
    <cellStyle name="Gevolgde hyperlink" xfId="2248" builtinId="9" hidden="1"/>
    <cellStyle name="Gevolgde hyperlink" xfId="2240" builtinId="9" hidden="1"/>
    <cellStyle name="Gevolgde hyperlink" xfId="2232" builtinId="9" hidden="1"/>
    <cellStyle name="Gevolgde hyperlink" xfId="2224" builtinId="9" hidden="1"/>
    <cellStyle name="Gevolgde hyperlink" xfId="2216" builtinId="9" hidden="1"/>
    <cellStyle name="Gevolgde hyperlink" xfId="2208" builtinId="9" hidden="1"/>
    <cellStyle name="Gevolgde hyperlink" xfId="2200" builtinId="9" hidden="1"/>
    <cellStyle name="Gevolgde hyperlink" xfId="2192" builtinId="9" hidden="1"/>
    <cellStyle name="Gevolgde hyperlink" xfId="2184" builtinId="9" hidden="1"/>
    <cellStyle name="Gevolgde hyperlink" xfId="2176" builtinId="9" hidden="1"/>
    <cellStyle name="Gevolgde hyperlink" xfId="2168" builtinId="9" hidden="1"/>
    <cellStyle name="Gevolgde hyperlink" xfId="2160" builtinId="9" hidden="1"/>
    <cellStyle name="Gevolgde hyperlink" xfId="2152" builtinId="9" hidden="1"/>
    <cellStyle name="Gevolgde hyperlink" xfId="2144" builtinId="9" hidden="1"/>
    <cellStyle name="Gevolgde hyperlink" xfId="2136" builtinId="9" hidden="1"/>
    <cellStyle name="Gevolgde hyperlink" xfId="2128" builtinId="9" hidden="1"/>
    <cellStyle name="Gevolgde hyperlink" xfId="2120" builtinId="9" hidden="1"/>
    <cellStyle name="Gevolgde hyperlink" xfId="2112" builtinId="9" hidden="1"/>
    <cellStyle name="Gevolgde hyperlink" xfId="2104" builtinId="9" hidden="1"/>
    <cellStyle name="Gevolgde hyperlink" xfId="2096" builtinId="9" hidden="1"/>
    <cellStyle name="Gevolgde hyperlink" xfId="2088" builtinId="9" hidden="1"/>
    <cellStyle name="Gevolgde hyperlink" xfId="2080" builtinId="9" hidden="1"/>
    <cellStyle name="Gevolgde hyperlink" xfId="2072" builtinId="9" hidden="1"/>
    <cellStyle name="Gevolgde hyperlink" xfId="2064" builtinId="9" hidden="1"/>
    <cellStyle name="Gevolgde hyperlink" xfId="2056" builtinId="9" hidden="1"/>
    <cellStyle name="Gevolgde hyperlink" xfId="2048" builtinId="9" hidden="1"/>
    <cellStyle name="Gevolgde hyperlink" xfId="2040" builtinId="9" hidden="1"/>
    <cellStyle name="Gevolgde hyperlink" xfId="2032" builtinId="9" hidden="1"/>
    <cellStyle name="Gevolgde hyperlink" xfId="2024" builtinId="9" hidden="1"/>
    <cellStyle name="Gevolgde hyperlink" xfId="2016" builtinId="9" hidden="1"/>
    <cellStyle name="Gevolgde hyperlink" xfId="2008" builtinId="9" hidden="1"/>
    <cellStyle name="Gevolgde hyperlink" xfId="2000" builtinId="9" hidden="1"/>
    <cellStyle name="Gevolgde hyperlink" xfId="1992" builtinId="9" hidden="1"/>
    <cellStyle name="Gevolgde hyperlink" xfId="1984" builtinId="9" hidden="1"/>
    <cellStyle name="Gevolgde hyperlink" xfId="1976" builtinId="9" hidden="1"/>
    <cellStyle name="Gevolgde hyperlink" xfId="1968" builtinId="9" hidden="1"/>
    <cellStyle name="Gevolgde hyperlink" xfId="1960" builtinId="9" hidden="1"/>
    <cellStyle name="Gevolgde hyperlink" xfId="1952" builtinId="9" hidden="1"/>
    <cellStyle name="Gevolgde hyperlink" xfId="1944" builtinId="9" hidden="1"/>
    <cellStyle name="Gevolgde hyperlink" xfId="1936" builtinId="9" hidden="1"/>
    <cellStyle name="Gevolgde hyperlink" xfId="1928" builtinId="9" hidden="1"/>
    <cellStyle name="Gevolgde hyperlink" xfId="1920" builtinId="9" hidden="1"/>
    <cellStyle name="Gevolgde hyperlink" xfId="1912" builtinId="9" hidden="1"/>
    <cellStyle name="Gevolgde hyperlink" xfId="1904" builtinId="9" hidden="1"/>
    <cellStyle name="Gevolgde hyperlink" xfId="1896" builtinId="9" hidden="1"/>
    <cellStyle name="Gevolgde hyperlink" xfId="1888" builtinId="9" hidden="1"/>
    <cellStyle name="Gevolgde hyperlink" xfId="1880" builtinId="9" hidden="1"/>
    <cellStyle name="Gevolgde hyperlink" xfId="1872" builtinId="9" hidden="1"/>
    <cellStyle name="Gevolgde hyperlink" xfId="1864" builtinId="9" hidden="1"/>
    <cellStyle name="Gevolgde hyperlink" xfId="1856" builtinId="9" hidden="1"/>
    <cellStyle name="Gevolgde hyperlink" xfId="1848" builtinId="9" hidden="1"/>
    <cellStyle name="Gevolgde hyperlink" xfId="1840" builtinId="9" hidden="1"/>
    <cellStyle name="Gevolgde hyperlink" xfId="1832" builtinId="9" hidden="1"/>
    <cellStyle name="Gevolgde hyperlink" xfId="1824" builtinId="9" hidden="1"/>
    <cellStyle name="Gevolgde hyperlink" xfId="1816" builtinId="9" hidden="1"/>
    <cellStyle name="Gevolgde hyperlink" xfId="1808" builtinId="9" hidden="1"/>
    <cellStyle name="Gevolgde hyperlink" xfId="1800" builtinId="9" hidden="1"/>
    <cellStyle name="Gevolgde hyperlink" xfId="1792" builtinId="9" hidden="1"/>
    <cellStyle name="Gevolgde hyperlink" xfId="1784" builtinId="9" hidden="1"/>
    <cellStyle name="Gevolgde hyperlink" xfId="1776" builtinId="9" hidden="1"/>
    <cellStyle name="Gevolgde hyperlink" xfId="1768" builtinId="9" hidden="1"/>
    <cellStyle name="Gevolgde hyperlink" xfId="1760" builtinId="9" hidden="1"/>
    <cellStyle name="Gevolgde hyperlink" xfId="1752" builtinId="9" hidden="1"/>
    <cellStyle name="Gevolgde hyperlink" xfId="1744" builtinId="9" hidden="1"/>
    <cellStyle name="Gevolgde hyperlink" xfId="1736" builtinId="9" hidden="1"/>
    <cellStyle name="Gevolgde hyperlink" xfId="1728" builtinId="9" hidden="1"/>
    <cellStyle name="Gevolgde hyperlink" xfId="1720" builtinId="9" hidden="1"/>
    <cellStyle name="Gevolgde hyperlink" xfId="1712" builtinId="9" hidden="1"/>
    <cellStyle name="Gevolgde hyperlink" xfId="1704" builtinId="9" hidden="1"/>
    <cellStyle name="Gevolgde hyperlink" xfId="1696" builtinId="9" hidden="1"/>
    <cellStyle name="Gevolgde hyperlink" xfId="1688" builtinId="9" hidden="1"/>
    <cellStyle name="Gevolgde hyperlink" xfId="1680" builtinId="9" hidden="1"/>
    <cellStyle name="Gevolgde hyperlink" xfId="1672" builtinId="9" hidden="1"/>
    <cellStyle name="Gevolgde hyperlink" xfId="1664" builtinId="9" hidden="1"/>
    <cellStyle name="Gevolgde hyperlink" xfId="1656" builtinId="9" hidden="1"/>
    <cellStyle name="Gevolgde hyperlink" xfId="1648" builtinId="9" hidden="1"/>
    <cellStyle name="Gevolgde hyperlink" xfId="1640" builtinId="9" hidden="1"/>
    <cellStyle name="Gevolgde hyperlink" xfId="1632" builtinId="9" hidden="1"/>
    <cellStyle name="Gevolgde hyperlink" xfId="1624" builtinId="9" hidden="1"/>
    <cellStyle name="Gevolgde hyperlink" xfId="1616" builtinId="9" hidden="1"/>
    <cellStyle name="Gevolgde hyperlink" xfId="1608" builtinId="9" hidden="1"/>
    <cellStyle name="Gevolgde hyperlink" xfId="1600" builtinId="9" hidden="1"/>
    <cellStyle name="Gevolgde hyperlink" xfId="1592" builtinId="9" hidden="1"/>
    <cellStyle name="Gevolgde hyperlink" xfId="1584" builtinId="9" hidden="1"/>
    <cellStyle name="Gevolgde hyperlink" xfId="1576" builtinId="9" hidden="1"/>
    <cellStyle name="Gevolgde hyperlink" xfId="1568" builtinId="9" hidden="1"/>
    <cellStyle name="Gevolgde hyperlink" xfId="1560" builtinId="9" hidden="1"/>
    <cellStyle name="Gevolgde hyperlink" xfId="1552" builtinId="9" hidden="1"/>
    <cellStyle name="Gevolgde hyperlink" xfId="1544" builtinId="9" hidden="1"/>
    <cellStyle name="Gevolgde hyperlink" xfId="1536" builtinId="9" hidden="1"/>
    <cellStyle name="Gevolgde hyperlink" xfId="1528" builtinId="9" hidden="1"/>
    <cellStyle name="Gevolgde hyperlink" xfId="1520" builtinId="9" hidden="1"/>
    <cellStyle name="Gevolgde hyperlink" xfId="1512" builtinId="9" hidden="1"/>
    <cellStyle name="Gevolgde hyperlink" xfId="1504" builtinId="9" hidden="1"/>
    <cellStyle name="Gevolgde hyperlink" xfId="1496" builtinId="9" hidden="1"/>
    <cellStyle name="Gevolgde hyperlink" xfId="1488" builtinId="9" hidden="1"/>
    <cellStyle name="Gevolgde hyperlink" xfId="1480" builtinId="9" hidden="1"/>
    <cellStyle name="Gevolgde hyperlink" xfId="1472" builtinId="9" hidden="1"/>
    <cellStyle name="Gevolgde hyperlink" xfId="1464" builtinId="9" hidden="1"/>
    <cellStyle name="Gevolgde hyperlink" xfId="1456" builtinId="9" hidden="1"/>
    <cellStyle name="Gevolgde hyperlink" xfId="1448" builtinId="9" hidden="1"/>
    <cellStyle name="Gevolgde hyperlink" xfId="1440" builtinId="9" hidden="1"/>
    <cellStyle name="Gevolgde hyperlink" xfId="1432" builtinId="9" hidden="1"/>
    <cellStyle name="Gevolgde hyperlink" xfId="1424" builtinId="9" hidden="1"/>
    <cellStyle name="Gevolgde hyperlink" xfId="1416" builtinId="9" hidden="1"/>
    <cellStyle name="Gevolgde hyperlink" xfId="1408" builtinId="9" hidden="1"/>
    <cellStyle name="Gevolgde hyperlink" xfId="1400" builtinId="9" hidden="1"/>
    <cellStyle name="Gevolgde hyperlink" xfId="1392" builtinId="9" hidden="1"/>
    <cellStyle name="Gevolgde hyperlink" xfId="1384" builtinId="9" hidden="1"/>
    <cellStyle name="Gevolgde hyperlink" xfId="1376" builtinId="9" hidden="1"/>
    <cellStyle name="Gevolgde hyperlink" xfId="1368" builtinId="9" hidden="1"/>
    <cellStyle name="Gevolgde hyperlink" xfId="1360" builtinId="9" hidden="1"/>
    <cellStyle name="Gevolgde hyperlink" xfId="1352" builtinId="9" hidden="1"/>
    <cellStyle name="Gevolgde hyperlink" xfId="1344" builtinId="9" hidden="1"/>
    <cellStyle name="Gevolgde hyperlink" xfId="1336" builtinId="9" hidden="1"/>
    <cellStyle name="Gevolgde hyperlink" xfId="1328" builtinId="9" hidden="1"/>
    <cellStyle name="Gevolgde hyperlink" xfId="1320" builtinId="9" hidden="1"/>
    <cellStyle name="Gevolgde hyperlink" xfId="1312" builtinId="9" hidden="1"/>
    <cellStyle name="Gevolgde hyperlink" xfId="1304" builtinId="9" hidden="1"/>
    <cellStyle name="Gevolgde hyperlink" xfId="1296" builtinId="9" hidden="1"/>
    <cellStyle name="Gevolgde hyperlink" xfId="1288" builtinId="9" hidden="1"/>
    <cellStyle name="Gevolgde hyperlink" xfId="1280" builtinId="9" hidden="1"/>
    <cellStyle name="Gevolgde hyperlink" xfId="1272" builtinId="9" hidden="1"/>
    <cellStyle name="Gevolgde hyperlink" xfId="1264" builtinId="9" hidden="1"/>
    <cellStyle name="Gevolgde hyperlink" xfId="1256" builtinId="9" hidden="1"/>
    <cellStyle name="Gevolgde hyperlink" xfId="1248" builtinId="9" hidden="1"/>
    <cellStyle name="Gevolgde hyperlink" xfId="1240" builtinId="9" hidden="1"/>
    <cellStyle name="Gevolgde hyperlink" xfId="1232" builtinId="9" hidden="1"/>
    <cellStyle name="Gevolgde hyperlink" xfId="1224" builtinId="9" hidden="1"/>
    <cellStyle name="Gevolgde hyperlink" xfId="1216" builtinId="9" hidden="1"/>
    <cellStyle name="Gevolgde hyperlink" xfId="1208" builtinId="9" hidden="1"/>
    <cellStyle name="Gevolgde hyperlink" xfId="1200" builtinId="9" hidden="1"/>
    <cellStyle name="Gevolgde hyperlink" xfId="1192" builtinId="9" hidden="1"/>
    <cellStyle name="Gevolgde hyperlink" xfId="1184" builtinId="9" hidden="1"/>
    <cellStyle name="Gevolgde hyperlink" xfId="1176" builtinId="9" hidden="1"/>
    <cellStyle name="Gevolgde hyperlink" xfId="1168" builtinId="9" hidden="1"/>
    <cellStyle name="Gevolgde hyperlink" xfId="1160" builtinId="9" hidden="1"/>
    <cellStyle name="Gevolgde hyperlink" xfId="1152" builtinId="9" hidden="1"/>
    <cellStyle name="Gevolgde hyperlink" xfId="1144" builtinId="9" hidden="1"/>
    <cellStyle name="Gevolgde hyperlink" xfId="1136" builtinId="9" hidden="1"/>
    <cellStyle name="Gevolgde hyperlink" xfId="1128" builtinId="9" hidden="1"/>
    <cellStyle name="Gevolgde hyperlink" xfId="1120" builtinId="9" hidden="1"/>
    <cellStyle name="Gevolgde hyperlink" xfId="1112" builtinId="9" hidden="1"/>
    <cellStyle name="Gevolgde hyperlink" xfId="1104" builtinId="9" hidden="1"/>
    <cellStyle name="Gevolgde hyperlink" xfId="1096" builtinId="9" hidden="1"/>
    <cellStyle name="Gevolgde hyperlink" xfId="1088" builtinId="9" hidden="1"/>
    <cellStyle name="Gevolgde hyperlink" xfId="1080" builtinId="9" hidden="1"/>
    <cellStyle name="Gevolgde hyperlink" xfId="1072" builtinId="9" hidden="1"/>
    <cellStyle name="Gevolgde hyperlink" xfId="1064" builtinId="9" hidden="1"/>
    <cellStyle name="Gevolgde hyperlink" xfId="1056" builtinId="9" hidden="1"/>
    <cellStyle name="Gevolgde hyperlink" xfId="1048" builtinId="9" hidden="1"/>
    <cellStyle name="Gevolgde hyperlink" xfId="1040" builtinId="9" hidden="1"/>
    <cellStyle name="Gevolgde hyperlink" xfId="1032" builtinId="9" hidden="1"/>
    <cellStyle name="Gevolgde hyperlink" xfId="1024" builtinId="9" hidden="1"/>
    <cellStyle name="Gevolgde hyperlink" xfId="1016" builtinId="9" hidden="1"/>
    <cellStyle name="Gevolgde hyperlink" xfId="1008" builtinId="9" hidden="1"/>
    <cellStyle name="Gevolgde hyperlink" xfId="1000" builtinId="9" hidden="1"/>
    <cellStyle name="Gevolgde hyperlink" xfId="992" builtinId="9" hidden="1"/>
    <cellStyle name="Gevolgde hyperlink" xfId="984" builtinId="9" hidden="1"/>
    <cellStyle name="Gevolgde hyperlink" xfId="976" builtinId="9" hidden="1"/>
    <cellStyle name="Gevolgde hyperlink" xfId="968" builtinId="9" hidden="1"/>
    <cellStyle name="Gevolgde hyperlink" xfId="960" builtinId="9" hidden="1"/>
    <cellStyle name="Gevolgde hyperlink" xfId="952" builtinId="9" hidden="1"/>
    <cellStyle name="Gevolgde hyperlink" xfId="944" builtinId="9" hidden="1"/>
    <cellStyle name="Gevolgde hyperlink" xfId="936" builtinId="9" hidden="1"/>
    <cellStyle name="Gevolgde hyperlink" xfId="928" builtinId="9" hidden="1"/>
    <cellStyle name="Gevolgde hyperlink" xfId="920" builtinId="9" hidden="1"/>
    <cellStyle name="Gevolgde hyperlink" xfId="912" builtinId="9" hidden="1"/>
    <cellStyle name="Gevolgde hyperlink" xfId="904" builtinId="9" hidden="1"/>
    <cellStyle name="Gevolgde hyperlink" xfId="896" builtinId="9" hidden="1"/>
    <cellStyle name="Gevolgde hyperlink" xfId="888" builtinId="9" hidden="1"/>
    <cellStyle name="Gevolgde hyperlink" xfId="880" builtinId="9" hidden="1"/>
    <cellStyle name="Gevolgde hyperlink" xfId="872" builtinId="9" hidden="1"/>
    <cellStyle name="Gevolgde hyperlink" xfId="864" builtinId="9" hidden="1"/>
    <cellStyle name="Gevolgde hyperlink" xfId="856" builtinId="9" hidden="1"/>
    <cellStyle name="Gevolgde hyperlink" xfId="848" builtinId="9" hidden="1"/>
    <cellStyle name="Gevolgde hyperlink" xfId="840" builtinId="9" hidden="1"/>
    <cellStyle name="Gevolgde hyperlink" xfId="832" builtinId="9" hidden="1"/>
    <cellStyle name="Gevolgde hyperlink" xfId="824" builtinId="9" hidden="1"/>
    <cellStyle name="Gevolgde hyperlink" xfId="816" builtinId="9" hidden="1"/>
    <cellStyle name="Gevolgde hyperlink" xfId="808" builtinId="9" hidden="1"/>
    <cellStyle name="Gevolgde hyperlink" xfId="800" builtinId="9" hidden="1"/>
    <cellStyle name="Gevolgde hyperlink" xfId="792" builtinId="9" hidden="1"/>
    <cellStyle name="Gevolgde hyperlink" xfId="784" builtinId="9" hidden="1"/>
    <cellStyle name="Gevolgde hyperlink" xfId="776" builtinId="9" hidden="1"/>
    <cellStyle name="Gevolgde hyperlink" xfId="768" builtinId="9" hidden="1"/>
    <cellStyle name="Gevolgde hyperlink" xfId="760" builtinId="9" hidden="1"/>
    <cellStyle name="Gevolgde hyperlink" xfId="752" builtinId="9" hidden="1"/>
    <cellStyle name="Gevolgde hyperlink" xfId="744" builtinId="9" hidden="1"/>
    <cellStyle name="Gevolgde hyperlink" xfId="736" builtinId="9" hidden="1"/>
    <cellStyle name="Gevolgde hyperlink" xfId="728" builtinId="9" hidden="1"/>
    <cellStyle name="Gevolgde hyperlink" xfId="720" builtinId="9" hidden="1"/>
    <cellStyle name="Gevolgde hyperlink" xfId="712" builtinId="9" hidden="1"/>
    <cellStyle name="Gevolgde hyperlink" xfId="704" builtinId="9" hidden="1"/>
    <cellStyle name="Gevolgde hyperlink" xfId="696" builtinId="9" hidden="1"/>
    <cellStyle name="Gevolgde hyperlink" xfId="688" builtinId="9" hidden="1"/>
    <cellStyle name="Gevolgde hyperlink" xfId="680" builtinId="9" hidden="1"/>
    <cellStyle name="Gevolgde hyperlink" xfId="672" builtinId="9" hidden="1"/>
    <cellStyle name="Gevolgde hyperlink" xfId="664" builtinId="9" hidden="1"/>
    <cellStyle name="Gevolgde hyperlink" xfId="656" builtinId="9" hidden="1"/>
    <cellStyle name="Gevolgde hyperlink" xfId="648" builtinId="9" hidden="1"/>
    <cellStyle name="Gevolgde hyperlink" xfId="640" builtinId="9" hidden="1"/>
    <cellStyle name="Gevolgde hyperlink" xfId="632" builtinId="9" hidden="1"/>
    <cellStyle name="Gevolgde hyperlink" xfId="624" builtinId="9" hidden="1"/>
    <cellStyle name="Gevolgde hyperlink" xfId="616" builtinId="9" hidden="1"/>
    <cellStyle name="Gevolgde hyperlink" xfId="608" builtinId="9" hidden="1"/>
    <cellStyle name="Gevolgde hyperlink" xfId="600" builtinId="9" hidden="1"/>
    <cellStyle name="Gevolgde hyperlink" xfId="592" builtinId="9" hidden="1"/>
    <cellStyle name="Gevolgde hyperlink" xfId="584" builtinId="9" hidden="1"/>
    <cellStyle name="Gevolgde hyperlink" xfId="576" builtinId="9" hidden="1"/>
    <cellStyle name="Gevolgde hyperlink" xfId="568" builtinId="9" hidden="1"/>
    <cellStyle name="Gevolgde hyperlink" xfId="560" builtinId="9" hidden="1"/>
    <cellStyle name="Gevolgde hyperlink" xfId="552" builtinId="9" hidden="1"/>
    <cellStyle name="Gevolgde hyperlink" xfId="544" builtinId="9" hidden="1"/>
    <cellStyle name="Gevolgde hyperlink" xfId="536" builtinId="9" hidden="1"/>
    <cellStyle name="Gevolgde hyperlink" xfId="528" builtinId="9" hidden="1"/>
    <cellStyle name="Gevolgde hyperlink" xfId="520" builtinId="9" hidden="1"/>
    <cellStyle name="Gevolgde hyperlink" xfId="512" builtinId="9" hidden="1"/>
    <cellStyle name="Gevolgde hyperlink" xfId="504" builtinId="9" hidden="1"/>
    <cellStyle name="Gevolgde hyperlink" xfId="496" builtinId="9" hidden="1"/>
    <cellStyle name="Gevolgde hyperlink" xfId="488" builtinId="9" hidden="1"/>
    <cellStyle name="Gevolgde hyperlink" xfId="480" builtinId="9" hidden="1"/>
    <cellStyle name="Gevolgde hyperlink" xfId="284" builtinId="9" hidden="1"/>
    <cellStyle name="Gevolgde hyperlink" xfId="288" builtinId="9" hidden="1"/>
    <cellStyle name="Gevolgde hyperlink" xfId="292" builtinId="9" hidden="1"/>
    <cellStyle name="Gevolgde hyperlink" xfId="300" builtinId="9" hidden="1"/>
    <cellStyle name="Gevolgde hyperlink" xfId="304" builtinId="9" hidden="1"/>
    <cellStyle name="Gevolgde hyperlink" xfId="308" builtinId="9" hidden="1"/>
    <cellStyle name="Gevolgde hyperlink" xfId="316" builtinId="9" hidden="1"/>
    <cellStyle name="Gevolgde hyperlink" xfId="320" builtinId="9" hidden="1"/>
    <cellStyle name="Gevolgde hyperlink" xfId="324" builtinId="9" hidden="1"/>
    <cellStyle name="Gevolgde hyperlink" xfId="332" builtinId="9" hidden="1"/>
    <cellStyle name="Gevolgde hyperlink" xfId="336" builtinId="9" hidden="1"/>
    <cellStyle name="Gevolgde hyperlink" xfId="340" builtinId="9" hidden="1"/>
    <cellStyle name="Gevolgde hyperlink" xfId="348" builtinId="9" hidden="1"/>
    <cellStyle name="Gevolgde hyperlink" xfId="352" builtinId="9" hidden="1"/>
    <cellStyle name="Gevolgde hyperlink" xfId="356" builtinId="9" hidden="1"/>
    <cellStyle name="Gevolgde hyperlink" xfId="364" builtinId="9" hidden="1"/>
    <cellStyle name="Gevolgde hyperlink" xfId="368" builtinId="9" hidden="1"/>
    <cellStyle name="Gevolgde hyperlink" xfId="372" builtinId="9" hidden="1"/>
    <cellStyle name="Gevolgde hyperlink" xfId="380" builtinId="9" hidden="1"/>
    <cellStyle name="Gevolgde hyperlink" xfId="384" builtinId="9" hidden="1"/>
    <cellStyle name="Gevolgde hyperlink" xfId="388" builtinId="9" hidden="1"/>
    <cellStyle name="Gevolgde hyperlink" xfId="396" builtinId="9" hidden="1"/>
    <cellStyle name="Gevolgde hyperlink" xfId="400" builtinId="9" hidden="1"/>
    <cellStyle name="Gevolgde hyperlink" xfId="404" builtinId="9" hidden="1"/>
    <cellStyle name="Gevolgde hyperlink" xfId="412" builtinId="9" hidden="1"/>
    <cellStyle name="Gevolgde hyperlink" xfId="416" builtinId="9" hidden="1"/>
    <cellStyle name="Gevolgde hyperlink" xfId="420" builtinId="9" hidden="1"/>
    <cellStyle name="Gevolgde hyperlink" xfId="428" builtinId="9" hidden="1"/>
    <cellStyle name="Gevolgde hyperlink" xfId="432" builtinId="9" hidden="1"/>
    <cellStyle name="Gevolgde hyperlink" xfId="436" builtinId="9" hidden="1"/>
    <cellStyle name="Gevolgde hyperlink" xfId="444" builtinId="9" hidden="1"/>
    <cellStyle name="Gevolgde hyperlink" xfId="448" builtinId="9" hidden="1"/>
    <cellStyle name="Gevolgde hyperlink" xfId="452" builtinId="9" hidden="1"/>
    <cellStyle name="Gevolgde hyperlink" xfId="460" builtinId="9" hidden="1"/>
    <cellStyle name="Gevolgde hyperlink" xfId="464" builtinId="9" hidden="1"/>
    <cellStyle name="Gevolgde hyperlink" xfId="468" builtinId="9" hidden="1"/>
    <cellStyle name="Gevolgde hyperlink" xfId="476" builtinId="9" hidden="1"/>
    <cellStyle name="Gevolgde hyperlink" xfId="472" builtinId="9" hidden="1"/>
    <cellStyle name="Gevolgde hyperlink" xfId="456" builtinId="9" hidden="1"/>
    <cellStyle name="Gevolgde hyperlink" xfId="440" builtinId="9" hidden="1"/>
    <cellStyle name="Gevolgde hyperlink" xfId="424" builtinId="9" hidden="1"/>
    <cellStyle name="Gevolgde hyperlink" xfId="408" builtinId="9" hidden="1"/>
    <cellStyle name="Gevolgde hyperlink" xfId="392" builtinId="9" hidden="1"/>
    <cellStyle name="Gevolgde hyperlink" xfId="376" builtinId="9" hidden="1"/>
    <cellStyle name="Gevolgde hyperlink" xfId="360" builtinId="9" hidden="1"/>
    <cellStyle name="Gevolgde hyperlink" xfId="344" builtinId="9" hidden="1"/>
    <cellStyle name="Gevolgde hyperlink" xfId="328" builtinId="9" hidden="1"/>
    <cellStyle name="Gevolgde hyperlink" xfId="312" builtinId="9" hidden="1"/>
    <cellStyle name="Gevolgde hyperlink" xfId="296" builtinId="9" hidden="1"/>
    <cellStyle name="Gevolgde hyperlink" xfId="280" builtinId="9" hidden="1"/>
    <cellStyle name="Gevolgde hyperlink" xfId="224" builtinId="9" hidden="1"/>
    <cellStyle name="Gevolgde hyperlink" xfId="228" builtinId="9" hidden="1"/>
    <cellStyle name="Gevolgde hyperlink" xfId="236" builtinId="9" hidden="1"/>
    <cellStyle name="Gevolgde hyperlink" xfId="240" builtinId="9" hidden="1"/>
    <cellStyle name="Gevolgde hyperlink" xfId="244" builtinId="9" hidden="1"/>
    <cellStyle name="Gevolgde hyperlink" xfId="248" builtinId="9" hidden="1"/>
    <cellStyle name="Gevolgde hyperlink" xfId="252" builtinId="9" hidden="1"/>
    <cellStyle name="Gevolgde hyperlink" xfId="256" builtinId="9" hidden="1"/>
    <cellStyle name="Gevolgde hyperlink" xfId="260" builtinId="9" hidden="1"/>
    <cellStyle name="Gevolgde hyperlink" xfId="268" builtinId="9" hidden="1"/>
    <cellStyle name="Gevolgde hyperlink" xfId="272" builtinId="9" hidden="1"/>
    <cellStyle name="Gevolgde hyperlink" xfId="276" builtinId="9" hidden="1"/>
    <cellStyle name="Gevolgde hyperlink" xfId="264" builtinId="9" hidden="1"/>
    <cellStyle name="Gevolgde hyperlink" xfId="232" builtinId="9" hidden="1"/>
    <cellStyle name="Gevolgde hyperlink" xfId="204" builtinId="9" hidden="1"/>
    <cellStyle name="Gevolgde hyperlink" xfId="208" builtinId="9" hidden="1"/>
    <cellStyle name="Gevolgde hyperlink" xfId="212" builtinId="9" hidden="1"/>
    <cellStyle name="Gevolgde hyperlink" xfId="216" builtinId="9" hidden="1"/>
    <cellStyle name="Gevolgde hyperlink" xfId="220" builtinId="9" hidden="1"/>
    <cellStyle name="Gevolgde hyperlink" xfId="200" builtinId="9" hidden="1"/>
    <cellStyle name="Gevolgde hyperlink" xfId="192" builtinId="9" hidden="1"/>
    <cellStyle name="Gevolgde hyperlink" xfId="196" builtinId="9" hidden="1"/>
    <cellStyle name="Gevolgde hyperlink" xfId="188" builtinId="9" hidden="1"/>
    <cellStyle name="Gevolgde hyperlink" xfId="184" builtinId="9" hidden="1"/>
    <cellStyle name="Goed" xfId="9" xr:uid="{00000000-0005-0000-0000-000068060000}"/>
    <cellStyle name="Goed 2" xfId="2558" xr:uid="{00000000-0005-0000-0000-000069060000}"/>
    <cellStyle name="Good" xfId="2559" xr:uid="{00000000-0005-0000-0000-00006A060000}"/>
    <cellStyle name="Heading 1" xfId="2560" xr:uid="{00000000-0005-0000-0000-00006B060000}"/>
    <cellStyle name="Heading 2" xfId="2561" xr:uid="{00000000-0005-0000-0000-00006C060000}"/>
    <cellStyle name="Heading 3" xfId="2562" xr:uid="{00000000-0005-0000-0000-00006D060000}"/>
    <cellStyle name="Heading 4" xfId="2563" xr:uid="{00000000-0005-0000-0000-00006E060000}"/>
    <cellStyle name="Hyperlink" xfId="2746" builtinId="8" hidden="1"/>
    <cellStyle name="Hyperlink" xfId="2748" builtinId="8" hidden="1"/>
    <cellStyle name="Hyperlink" xfId="2750" builtinId="8" hidden="1"/>
    <cellStyle name="Hyperlink" xfId="2756" builtinId="8" hidden="1"/>
    <cellStyle name="Hyperlink" xfId="2758" builtinId="8" hidden="1"/>
    <cellStyle name="Hyperlink" xfId="2762" builtinId="8" hidden="1"/>
    <cellStyle name="Hyperlink" xfId="2766" builtinId="8" hidden="1"/>
    <cellStyle name="Hyperlink" xfId="2770" builtinId="8" hidden="1"/>
    <cellStyle name="Hyperlink" xfId="2772" builtinId="8" hidden="1"/>
    <cellStyle name="Hyperlink" xfId="2778" builtinId="8" hidden="1"/>
    <cellStyle name="Hyperlink" xfId="2780" builtinId="8" hidden="1"/>
    <cellStyle name="Hyperlink" xfId="2782" builtinId="8" hidden="1"/>
    <cellStyle name="Hyperlink" xfId="2788" builtinId="8" hidden="1"/>
    <cellStyle name="Hyperlink" xfId="2790" builtinId="8" hidden="1"/>
    <cellStyle name="Hyperlink" xfId="2794" builtinId="8" hidden="1"/>
    <cellStyle name="Hyperlink" xfId="2798" builtinId="8" hidden="1"/>
    <cellStyle name="Hyperlink" xfId="2802" builtinId="8" hidden="1"/>
    <cellStyle name="Hyperlink" xfId="2804" builtinId="8" hidden="1"/>
    <cellStyle name="Hyperlink" xfId="2810" builtinId="8" hidden="1"/>
    <cellStyle name="Hyperlink" xfId="2812" builtinId="8" hidden="1"/>
    <cellStyle name="Hyperlink" xfId="2814" builtinId="8" hidden="1"/>
    <cellStyle name="Hyperlink" xfId="2820" builtinId="8" hidden="1"/>
    <cellStyle name="Hyperlink" xfId="2822" builtinId="8" hidden="1"/>
    <cellStyle name="Hyperlink" xfId="2826" builtinId="8" hidden="1"/>
    <cellStyle name="Hyperlink" xfId="2830" builtinId="8" hidden="1"/>
    <cellStyle name="Hyperlink" xfId="2834" builtinId="8" hidden="1"/>
    <cellStyle name="Hyperlink" xfId="2836" builtinId="8" hidden="1"/>
    <cellStyle name="Hyperlink" xfId="2842" builtinId="8" hidden="1"/>
    <cellStyle name="Hyperlink" xfId="2844" builtinId="8" hidden="1"/>
    <cellStyle name="Hyperlink" xfId="2846" builtinId="8" hidden="1"/>
    <cellStyle name="Hyperlink" xfId="2852" builtinId="8" hidden="1"/>
    <cellStyle name="Hyperlink" xfId="2854" builtinId="8" hidden="1"/>
    <cellStyle name="Hyperlink" xfId="2858" builtinId="8" hidden="1"/>
    <cellStyle name="Hyperlink" xfId="2862" builtinId="8" hidden="1"/>
    <cellStyle name="Hyperlink" xfId="2866" builtinId="8" hidden="1"/>
    <cellStyle name="Hyperlink" xfId="2868" builtinId="8" hidden="1"/>
    <cellStyle name="Hyperlink" xfId="2874" builtinId="8" hidden="1"/>
    <cellStyle name="Hyperlink" xfId="2876" builtinId="8" hidden="1"/>
    <cellStyle name="Hyperlink" xfId="2878" builtinId="8" hidden="1"/>
    <cellStyle name="Hyperlink" xfId="2884" builtinId="8" hidden="1"/>
    <cellStyle name="Hyperlink" xfId="2886" builtinId="8" hidden="1"/>
    <cellStyle name="Hyperlink" xfId="2890" builtinId="8" hidden="1"/>
    <cellStyle name="Hyperlink" xfId="2894" builtinId="8" hidden="1"/>
    <cellStyle name="Hyperlink" xfId="2898" builtinId="8" hidden="1"/>
    <cellStyle name="Hyperlink" xfId="2900" builtinId="8" hidden="1"/>
    <cellStyle name="Hyperlink" xfId="2906" builtinId="8" hidden="1"/>
    <cellStyle name="Hyperlink" xfId="2908" builtinId="8" hidden="1"/>
    <cellStyle name="Hyperlink" xfId="2910" builtinId="8" hidden="1"/>
    <cellStyle name="Hyperlink" xfId="2916" builtinId="8" hidden="1"/>
    <cellStyle name="Hyperlink" xfId="2918" builtinId="8" hidden="1"/>
    <cellStyle name="Hyperlink" xfId="2922" builtinId="8" hidden="1"/>
    <cellStyle name="Hyperlink" xfId="2926" builtinId="8" hidden="1"/>
    <cellStyle name="Hyperlink" xfId="2930" builtinId="8" hidden="1"/>
    <cellStyle name="Hyperlink" xfId="2932" builtinId="8" hidden="1"/>
    <cellStyle name="Hyperlink" xfId="2938" builtinId="8" hidden="1"/>
    <cellStyle name="Hyperlink" xfId="2940" builtinId="8" hidden="1"/>
    <cellStyle name="Hyperlink" xfId="2942" builtinId="8" hidden="1"/>
    <cellStyle name="Hyperlink" xfId="2948" builtinId="8" hidden="1"/>
    <cellStyle name="Hyperlink" xfId="2950" builtinId="8" hidden="1"/>
    <cellStyle name="Hyperlink" xfId="2954" builtinId="8" hidden="1"/>
    <cellStyle name="Hyperlink" xfId="2958" builtinId="8" hidden="1"/>
    <cellStyle name="Hyperlink" xfId="2962" builtinId="8" hidden="1"/>
    <cellStyle name="Hyperlink" xfId="2964" builtinId="8" hidden="1"/>
    <cellStyle name="Hyperlink" xfId="2970" builtinId="8" hidden="1"/>
    <cellStyle name="Hyperlink" xfId="2972" builtinId="8" hidden="1"/>
    <cellStyle name="Hyperlink" xfId="2974" builtinId="8" hidden="1"/>
    <cellStyle name="Hyperlink" xfId="2980" builtinId="8" hidden="1"/>
    <cellStyle name="Hyperlink" xfId="2982" builtinId="8" hidden="1"/>
    <cellStyle name="Hyperlink" xfId="2986" builtinId="8" hidden="1"/>
    <cellStyle name="Hyperlink" xfId="2990" builtinId="8" hidden="1"/>
    <cellStyle name="Hyperlink" xfId="2994" builtinId="8" hidden="1"/>
    <cellStyle name="Hyperlink" xfId="2996" builtinId="8" hidden="1"/>
    <cellStyle name="Hyperlink" xfId="3002" builtinId="8" hidden="1"/>
    <cellStyle name="Hyperlink" xfId="3004" builtinId="8" hidden="1"/>
    <cellStyle name="Hyperlink" xfId="3006" builtinId="8" hidden="1"/>
    <cellStyle name="Hyperlink" xfId="3012" builtinId="8" hidden="1"/>
    <cellStyle name="Hyperlink" xfId="3014" builtinId="8" hidden="1"/>
    <cellStyle name="Hyperlink" xfId="3018" builtinId="8" hidden="1"/>
    <cellStyle name="Hyperlink" xfId="3022" builtinId="8" hidden="1"/>
    <cellStyle name="Hyperlink" xfId="3026" builtinId="8" hidden="1"/>
    <cellStyle name="Hyperlink" xfId="3028" builtinId="8" hidden="1"/>
    <cellStyle name="Hyperlink" xfId="3034" builtinId="8" hidden="1"/>
    <cellStyle name="Hyperlink" xfId="3036" builtinId="8" hidden="1"/>
    <cellStyle name="Hyperlink" xfId="3038" builtinId="8" hidden="1"/>
    <cellStyle name="Hyperlink" xfId="3044" builtinId="8" hidden="1"/>
    <cellStyle name="Hyperlink" xfId="3046" builtinId="8" hidden="1"/>
    <cellStyle name="Hyperlink" xfId="3050" builtinId="8" hidden="1"/>
    <cellStyle name="Hyperlink" xfId="3054" builtinId="8" hidden="1"/>
    <cellStyle name="Hyperlink" xfId="3058" builtinId="8" hidden="1"/>
    <cellStyle name="Hyperlink" xfId="3060" builtinId="8" hidden="1"/>
    <cellStyle name="Hyperlink" xfId="3066" builtinId="8" hidden="1"/>
    <cellStyle name="Hyperlink" xfId="3068" builtinId="8" hidden="1"/>
    <cellStyle name="Hyperlink" xfId="3070" builtinId="8" hidden="1"/>
    <cellStyle name="Hyperlink" xfId="3076" builtinId="8" hidden="1"/>
    <cellStyle name="Hyperlink" xfId="3078" builtinId="8" hidden="1"/>
    <cellStyle name="Hyperlink" xfId="3082" builtinId="8" hidden="1"/>
    <cellStyle name="Hyperlink" xfId="3086" builtinId="8" hidden="1"/>
    <cellStyle name="Hyperlink" xfId="3090" builtinId="8" hidden="1"/>
    <cellStyle name="Hyperlink" xfId="3092" builtinId="8" hidden="1"/>
    <cellStyle name="Hyperlink" xfId="3098" builtinId="8" hidden="1"/>
    <cellStyle name="Hyperlink" xfId="3100" builtinId="8" hidden="1"/>
    <cellStyle name="Hyperlink" xfId="3102" builtinId="8" hidden="1"/>
    <cellStyle name="Hyperlink" xfId="3108" builtinId="8" hidden="1"/>
    <cellStyle name="Hyperlink" xfId="3110" builtinId="8" hidden="1"/>
    <cellStyle name="Hyperlink" xfId="3114" builtinId="8" hidden="1"/>
    <cellStyle name="Hyperlink" xfId="3118" builtinId="8" hidden="1"/>
    <cellStyle name="Hyperlink" xfId="3122" builtinId="8" hidden="1"/>
    <cellStyle name="Hyperlink" xfId="3124" builtinId="8" hidden="1"/>
    <cellStyle name="Hyperlink" xfId="3130" builtinId="8" hidden="1"/>
    <cellStyle name="Hyperlink" xfId="3132" builtinId="8" hidden="1"/>
    <cellStyle name="Hyperlink" xfId="3134" builtinId="8" hidden="1"/>
    <cellStyle name="Hyperlink" xfId="3140" builtinId="8" hidden="1"/>
    <cellStyle name="Hyperlink" xfId="3142" builtinId="8" hidden="1"/>
    <cellStyle name="Hyperlink" xfId="3146" builtinId="8" hidden="1"/>
    <cellStyle name="Hyperlink" xfId="3150" builtinId="8" hidden="1"/>
    <cellStyle name="Hyperlink" xfId="3154" builtinId="8" hidden="1"/>
    <cellStyle name="Hyperlink" xfId="3156" builtinId="8" hidden="1"/>
    <cellStyle name="Hyperlink" xfId="3162" builtinId="8" hidden="1"/>
    <cellStyle name="Hyperlink" xfId="3164" builtinId="8" hidden="1"/>
    <cellStyle name="Hyperlink" xfId="3166" builtinId="8" hidden="1"/>
    <cellStyle name="Hyperlink" xfId="3172" builtinId="8" hidden="1"/>
    <cellStyle name="Hyperlink" xfId="3174" builtinId="8" hidden="1"/>
    <cellStyle name="Hyperlink" xfId="3178" builtinId="8" hidden="1"/>
    <cellStyle name="Hyperlink" xfId="3182" builtinId="8" hidden="1"/>
    <cellStyle name="Hyperlink" xfId="3186" builtinId="8" hidden="1"/>
    <cellStyle name="Hyperlink" xfId="3188" builtinId="8" hidden="1"/>
    <cellStyle name="Hyperlink" xfId="3194" builtinId="8" hidden="1"/>
    <cellStyle name="Hyperlink" xfId="3196" builtinId="8" hidden="1"/>
    <cellStyle name="Hyperlink" xfId="3198" builtinId="8" hidden="1"/>
    <cellStyle name="Hyperlink" xfId="3204" builtinId="8" hidden="1"/>
    <cellStyle name="Hyperlink" xfId="3206" builtinId="8" hidden="1"/>
    <cellStyle name="Hyperlink" xfId="3210" builtinId="8" hidden="1"/>
    <cellStyle name="Hyperlink" xfId="3214" builtinId="8" hidden="1"/>
    <cellStyle name="Hyperlink" xfId="3218" builtinId="8" hidden="1"/>
    <cellStyle name="Hyperlink" xfId="3220" builtinId="8" hidden="1"/>
    <cellStyle name="Hyperlink" xfId="3226" builtinId="8" hidden="1"/>
    <cellStyle name="Hyperlink" xfId="3228" builtinId="8" hidden="1"/>
    <cellStyle name="Hyperlink" xfId="3230" builtinId="8" hidden="1"/>
    <cellStyle name="Hyperlink" xfId="3236" builtinId="8" hidden="1"/>
    <cellStyle name="Hyperlink" xfId="3238" builtinId="8" hidden="1"/>
    <cellStyle name="Hyperlink" xfId="3242" builtinId="8" hidden="1"/>
    <cellStyle name="Hyperlink" xfId="3246" builtinId="8" hidden="1"/>
    <cellStyle name="Hyperlink" xfId="3250" builtinId="8" hidden="1"/>
    <cellStyle name="Hyperlink" xfId="3252" builtinId="8" hidden="1"/>
    <cellStyle name="Hyperlink" xfId="3258" builtinId="8" hidden="1"/>
    <cellStyle name="Hyperlink" xfId="3260" builtinId="8" hidden="1"/>
    <cellStyle name="Hyperlink" xfId="3262" builtinId="8" hidden="1"/>
    <cellStyle name="Hyperlink" xfId="3268" builtinId="8" hidden="1"/>
    <cellStyle name="Hyperlink" xfId="3270" builtinId="8" hidden="1"/>
    <cellStyle name="Hyperlink" xfId="3274" builtinId="8" hidden="1"/>
    <cellStyle name="Hyperlink" xfId="3278" builtinId="8" hidden="1"/>
    <cellStyle name="Hyperlink" xfId="3282" builtinId="8" hidden="1"/>
    <cellStyle name="Hyperlink" xfId="3284" builtinId="8" hidden="1"/>
    <cellStyle name="Hyperlink" xfId="3290" builtinId="8" hidden="1"/>
    <cellStyle name="Hyperlink" xfId="3292" builtinId="8" hidden="1"/>
    <cellStyle name="Hyperlink" xfId="3294" builtinId="8" hidden="1"/>
    <cellStyle name="Hyperlink" xfId="3300" builtinId="8" hidden="1"/>
    <cellStyle name="Hyperlink" xfId="3302" builtinId="8" hidden="1"/>
    <cellStyle name="Hyperlink" xfId="3306" builtinId="8" hidden="1"/>
    <cellStyle name="Hyperlink" xfId="3310" builtinId="8" hidden="1"/>
    <cellStyle name="Hyperlink" xfId="3314" builtinId="8" hidden="1"/>
    <cellStyle name="Hyperlink" xfId="3316" builtinId="8" hidden="1"/>
    <cellStyle name="Hyperlink" xfId="3322" builtinId="8" hidden="1"/>
    <cellStyle name="Hyperlink" xfId="3324" builtinId="8" hidden="1"/>
    <cellStyle name="Hyperlink" xfId="3320" builtinId="8" hidden="1"/>
    <cellStyle name="Hyperlink" xfId="3304" builtinId="8" hidden="1"/>
    <cellStyle name="Hyperlink" xfId="3296" builtinId="8" hidden="1"/>
    <cellStyle name="Hyperlink" xfId="3288" builtinId="8" hidden="1"/>
    <cellStyle name="Hyperlink" xfId="3272" builtinId="8" hidden="1"/>
    <cellStyle name="Hyperlink" xfId="3264" builtinId="8" hidden="1"/>
    <cellStyle name="Hyperlink" xfId="3256" builtinId="8" hidden="1"/>
    <cellStyle name="Hyperlink" xfId="3240" builtinId="8" hidden="1"/>
    <cellStyle name="Hyperlink" xfId="3232" builtinId="8" hidden="1"/>
    <cellStyle name="Hyperlink" xfId="3224" builtinId="8" hidden="1"/>
    <cellStyle name="Hyperlink" xfId="3208" builtinId="8" hidden="1"/>
    <cellStyle name="Hyperlink" xfId="3200" builtinId="8" hidden="1"/>
    <cellStyle name="Hyperlink" xfId="3192" builtinId="8" hidden="1"/>
    <cellStyle name="Hyperlink" xfId="3176" builtinId="8" hidden="1"/>
    <cellStyle name="Hyperlink" xfId="3168" builtinId="8" hidden="1"/>
    <cellStyle name="Hyperlink" xfId="3160" builtinId="8" hidden="1"/>
    <cellStyle name="Hyperlink" xfId="3144" builtinId="8" hidden="1"/>
    <cellStyle name="Hyperlink" xfId="3136" builtinId="8" hidden="1"/>
    <cellStyle name="Hyperlink" xfId="3128" builtinId="8" hidden="1"/>
    <cellStyle name="Hyperlink" xfId="3112" builtinId="8" hidden="1"/>
    <cellStyle name="Hyperlink" xfId="3104" builtinId="8" hidden="1"/>
    <cellStyle name="Hyperlink" xfId="3096" builtinId="8" hidden="1"/>
    <cellStyle name="Hyperlink" xfId="3080" builtinId="8" hidden="1"/>
    <cellStyle name="Hyperlink" xfId="3072" builtinId="8" hidden="1"/>
    <cellStyle name="Hyperlink" xfId="3064" builtinId="8" hidden="1"/>
    <cellStyle name="Hyperlink" xfId="3048" builtinId="8" hidden="1"/>
    <cellStyle name="Hyperlink" xfId="3040" builtinId="8" hidden="1"/>
    <cellStyle name="Hyperlink" xfId="3032" builtinId="8" hidden="1"/>
    <cellStyle name="Hyperlink" xfId="3016" builtinId="8" hidden="1"/>
    <cellStyle name="Hyperlink" xfId="3008" builtinId="8" hidden="1"/>
    <cellStyle name="Hyperlink" xfId="3000" builtinId="8" hidden="1"/>
    <cellStyle name="Hyperlink" xfId="2984" builtinId="8" hidden="1"/>
    <cellStyle name="Hyperlink" xfId="2976" builtinId="8" hidden="1"/>
    <cellStyle name="Hyperlink" xfId="2968" builtinId="8" hidden="1"/>
    <cellStyle name="Hyperlink" xfId="2952" builtinId="8" hidden="1"/>
    <cellStyle name="Hyperlink" xfId="2944" builtinId="8" hidden="1"/>
    <cellStyle name="Hyperlink" xfId="2936" builtinId="8" hidden="1"/>
    <cellStyle name="Hyperlink" xfId="2920" builtinId="8" hidden="1"/>
    <cellStyle name="Hyperlink" xfId="2912" builtinId="8" hidden="1"/>
    <cellStyle name="Hyperlink" xfId="2904" builtinId="8" hidden="1"/>
    <cellStyle name="Hyperlink" xfId="2888" builtinId="8" hidden="1"/>
    <cellStyle name="Hyperlink" xfId="2880" builtinId="8" hidden="1"/>
    <cellStyle name="Hyperlink" xfId="2872" builtinId="8" hidden="1"/>
    <cellStyle name="Hyperlink" xfId="2856" builtinId="8" hidden="1"/>
    <cellStyle name="Hyperlink" xfId="2848" builtinId="8" hidden="1"/>
    <cellStyle name="Hyperlink" xfId="2840" builtinId="8" hidden="1"/>
    <cellStyle name="Hyperlink" xfId="2824" builtinId="8" hidden="1"/>
    <cellStyle name="Hyperlink" xfId="2816" builtinId="8" hidden="1"/>
    <cellStyle name="Hyperlink" xfId="2808" builtinId="8" hidden="1"/>
    <cellStyle name="Hyperlink" xfId="2792" builtinId="8" hidden="1"/>
    <cellStyle name="Hyperlink" xfId="2784" builtinId="8" hidden="1"/>
    <cellStyle name="Hyperlink" xfId="2776" builtinId="8" hidden="1"/>
    <cellStyle name="Hyperlink" xfId="2760" builtinId="8" hidden="1"/>
    <cellStyle name="Hyperlink" xfId="2752" builtinId="8" hidden="1"/>
    <cellStyle name="Hyperlink" xfId="2744" builtinId="8" hidden="1"/>
    <cellStyle name="Hyperlink" xfId="2728" builtinId="8" hidden="1"/>
    <cellStyle name="Hyperlink" xfId="2720" builtinId="8" hidden="1"/>
    <cellStyle name="Hyperlink" xfId="2712" builtinId="8" hidden="1"/>
    <cellStyle name="Hyperlink" xfId="2696" builtinId="8" hidden="1"/>
    <cellStyle name="Hyperlink" xfId="2688" builtinId="8" hidden="1"/>
    <cellStyle name="Hyperlink" xfId="2680" builtinId="8" hidden="1"/>
    <cellStyle name="Hyperlink" xfId="2664" builtinId="8" hidden="1"/>
    <cellStyle name="Hyperlink" xfId="2656" builtinId="8" hidden="1"/>
    <cellStyle name="Hyperlink" xfId="2648" builtinId="8" hidden="1"/>
    <cellStyle name="Hyperlink" xfId="2632" builtinId="8" hidden="1"/>
    <cellStyle name="Hyperlink" xfId="2624" builtinId="8" hidden="1"/>
    <cellStyle name="Hyperlink" xfId="2507" builtinId="8" hidden="1"/>
    <cellStyle name="Hyperlink" xfId="2491" builtinId="8" hidden="1"/>
    <cellStyle name="Hyperlink" xfId="2483" builtinId="8" hidden="1"/>
    <cellStyle name="Hyperlink" xfId="2475" builtinId="8" hidden="1"/>
    <cellStyle name="Hyperlink" xfId="2459" builtinId="8" hidden="1"/>
    <cellStyle name="Hyperlink" xfId="2451" builtinId="8" hidden="1"/>
    <cellStyle name="Hyperlink" xfId="2443" builtinId="8" hidden="1"/>
    <cellStyle name="Hyperlink" xfId="2427" builtinId="8" hidden="1"/>
    <cellStyle name="Hyperlink" xfId="2419" builtinId="8" hidden="1"/>
    <cellStyle name="Hyperlink" xfId="2411" builtinId="8" hidden="1"/>
    <cellStyle name="Hyperlink" xfId="2395" builtinId="8" hidden="1"/>
    <cellStyle name="Hyperlink" xfId="2387" builtinId="8" hidden="1"/>
    <cellStyle name="Hyperlink" xfId="2379" builtinId="8" hidden="1"/>
    <cellStyle name="Hyperlink" xfId="2363" builtinId="8" hidden="1"/>
    <cellStyle name="Hyperlink" xfId="2355" builtinId="8" hidden="1"/>
    <cellStyle name="Hyperlink" xfId="2347" builtinId="8" hidden="1"/>
    <cellStyle name="Hyperlink" xfId="2331" builtinId="8" hidden="1"/>
    <cellStyle name="Hyperlink" xfId="2323" builtinId="8" hidden="1"/>
    <cellStyle name="Hyperlink" xfId="2315" builtinId="8" hidden="1"/>
    <cellStyle name="Hyperlink" xfId="2299" builtinId="8" hidden="1"/>
    <cellStyle name="Hyperlink" xfId="2291" builtinId="8" hidden="1"/>
    <cellStyle name="Hyperlink" xfId="2283" builtinId="8" hidden="1"/>
    <cellStyle name="Hyperlink" xfId="2267" builtinId="8" hidden="1"/>
    <cellStyle name="Hyperlink" xfId="2259" builtinId="8" hidden="1"/>
    <cellStyle name="Hyperlink" xfId="2251" builtinId="8" hidden="1"/>
    <cellStyle name="Hyperlink" xfId="2235" builtinId="8" hidden="1"/>
    <cellStyle name="Hyperlink" xfId="2227" builtinId="8" hidden="1"/>
    <cellStyle name="Hyperlink" xfId="2219" builtinId="8" hidden="1"/>
    <cellStyle name="Hyperlink" xfId="2203" builtinId="8" hidden="1"/>
    <cellStyle name="Hyperlink" xfId="2195" builtinId="8" hidden="1"/>
    <cellStyle name="Hyperlink" xfId="2187" builtinId="8" hidden="1"/>
    <cellStyle name="Hyperlink" xfId="2171" builtinId="8" hidden="1"/>
    <cellStyle name="Hyperlink" xfId="2163" builtinId="8" hidden="1"/>
    <cellStyle name="Hyperlink" xfId="2155" builtinId="8" hidden="1"/>
    <cellStyle name="Hyperlink" xfId="2139" builtinId="8" hidden="1"/>
    <cellStyle name="Hyperlink" xfId="2131" builtinId="8" hidden="1"/>
    <cellStyle name="Hyperlink" xfId="2123" builtinId="8" hidden="1"/>
    <cellStyle name="Hyperlink" xfId="2107" builtinId="8" hidden="1"/>
    <cellStyle name="Hyperlink" xfId="2099" builtinId="8" hidden="1"/>
    <cellStyle name="Hyperlink" xfId="2091" builtinId="8" hidden="1"/>
    <cellStyle name="Hyperlink" xfId="2075" builtinId="8" hidden="1"/>
    <cellStyle name="Hyperlink" xfId="2067" builtinId="8" hidden="1"/>
    <cellStyle name="Hyperlink" xfId="2059" builtinId="8" hidden="1"/>
    <cellStyle name="Hyperlink" xfId="2043" builtinId="8" hidden="1"/>
    <cellStyle name="Hyperlink" xfId="2035" builtinId="8" hidden="1"/>
    <cellStyle name="Hyperlink" xfId="2027" builtinId="8" hidden="1"/>
    <cellStyle name="Hyperlink" xfId="2011" builtinId="8" hidden="1"/>
    <cellStyle name="Hyperlink" xfId="2003" builtinId="8" hidden="1"/>
    <cellStyle name="Hyperlink" xfId="1995" builtinId="8" hidden="1"/>
    <cellStyle name="Hyperlink" xfId="1979" builtinId="8" hidden="1"/>
    <cellStyle name="Hyperlink" xfId="1971" builtinId="8" hidden="1"/>
    <cellStyle name="Hyperlink" xfId="1963" builtinId="8" hidden="1"/>
    <cellStyle name="Hyperlink" xfId="1947" builtinId="8" hidden="1"/>
    <cellStyle name="Hyperlink" xfId="1939" builtinId="8" hidden="1"/>
    <cellStyle name="Hyperlink" xfId="1931" builtinId="8" hidden="1"/>
    <cellStyle name="Hyperlink" xfId="1915" builtinId="8" hidden="1"/>
    <cellStyle name="Hyperlink" xfId="1907" builtinId="8" hidden="1"/>
    <cellStyle name="Hyperlink" xfId="1899" builtinId="8" hidden="1"/>
    <cellStyle name="Hyperlink" xfId="1883" builtinId="8" hidden="1"/>
    <cellStyle name="Hyperlink" xfId="1875" builtinId="8" hidden="1"/>
    <cellStyle name="Hyperlink" xfId="1867" builtinId="8" hidden="1"/>
    <cellStyle name="Hyperlink" xfId="1851" builtinId="8" hidden="1"/>
    <cellStyle name="Hyperlink" xfId="1843" builtinId="8" hidden="1"/>
    <cellStyle name="Hyperlink" xfId="1835" builtinId="8" hidden="1"/>
    <cellStyle name="Hyperlink" xfId="1819" builtinId="8" hidden="1"/>
    <cellStyle name="Hyperlink" xfId="1811" builtinId="8" hidden="1"/>
    <cellStyle name="Hyperlink" xfId="1803" builtinId="8" hidden="1"/>
    <cellStyle name="Hyperlink" xfId="1787" builtinId="8" hidden="1"/>
    <cellStyle name="Hyperlink" xfId="1779" builtinId="8" hidden="1"/>
    <cellStyle name="Hyperlink" xfId="1771" builtinId="8" hidden="1"/>
    <cellStyle name="Hyperlink" xfId="1755" builtinId="8" hidden="1"/>
    <cellStyle name="Hyperlink" xfId="1747" builtinId="8" hidden="1"/>
    <cellStyle name="Hyperlink" xfId="1739" builtinId="8" hidden="1"/>
    <cellStyle name="Hyperlink" xfId="1723" builtinId="8" hidden="1"/>
    <cellStyle name="Hyperlink" xfId="1715" builtinId="8" hidden="1"/>
    <cellStyle name="Hyperlink" xfId="1707" builtinId="8" hidden="1"/>
    <cellStyle name="Hyperlink" xfId="1691" builtinId="8" hidden="1"/>
    <cellStyle name="Hyperlink" xfId="1683" builtinId="8" hidden="1"/>
    <cellStyle name="Hyperlink" xfId="1675" builtinId="8" hidden="1"/>
    <cellStyle name="Hyperlink" xfId="1659" builtinId="8" hidden="1"/>
    <cellStyle name="Hyperlink" xfId="1651" builtinId="8" hidden="1"/>
    <cellStyle name="Hyperlink" xfId="1643" builtinId="8" hidden="1"/>
    <cellStyle name="Hyperlink" xfId="1627" builtinId="8" hidden="1"/>
    <cellStyle name="Hyperlink" xfId="1619" builtinId="8" hidden="1"/>
    <cellStyle name="Hyperlink" xfId="1611" builtinId="8" hidden="1"/>
    <cellStyle name="Hyperlink" xfId="1595" builtinId="8" hidden="1"/>
    <cellStyle name="Hyperlink" xfId="1587" builtinId="8" hidden="1"/>
    <cellStyle name="Hyperlink" xfId="1579" builtinId="8" hidden="1"/>
    <cellStyle name="Hyperlink" xfId="1563" builtinId="8" hidden="1"/>
    <cellStyle name="Hyperlink" xfId="1555" builtinId="8" hidden="1"/>
    <cellStyle name="Hyperlink" xfId="1547" builtinId="8" hidden="1"/>
    <cellStyle name="Hyperlink" xfId="1531" builtinId="8" hidden="1"/>
    <cellStyle name="Hyperlink" xfId="1523" builtinId="8" hidden="1"/>
    <cellStyle name="Hyperlink" xfId="1515" builtinId="8" hidden="1"/>
    <cellStyle name="Hyperlink" xfId="1499" builtinId="8" hidden="1"/>
    <cellStyle name="Hyperlink" xfId="1491" builtinId="8" hidden="1"/>
    <cellStyle name="Hyperlink" xfId="1483" builtinId="8" hidden="1"/>
    <cellStyle name="Hyperlink" xfId="1467" builtinId="8" hidden="1"/>
    <cellStyle name="Hyperlink" xfId="1459" builtinId="8" hidden="1"/>
    <cellStyle name="Hyperlink" xfId="1451" builtinId="8" hidden="1"/>
    <cellStyle name="Hyperlink" xfId="1435" builtinId="8" hidden="1"/>
    <cellStyle name="Hyperlink" xfId="1427" builtinId="8" hidden="1"/>
    <cellStyle name="Hyperlink" xfId="1419" builtinId="8" hidden="1"/>
    <cellStyle name="Hyperlink" xfId="1403" builtinId="8" hidden="1"/>
    <cellStyle name="Hyperlink" xfId="1395" builtinId="8" hidden="1"/>
    <cellStyle name="Hyperlink" xfId="1387" builtinId="8" hidden="1"/>
    <cellStyle name="Hyperlink" xfId="1371" builtinId="8" hidden="1"/>
    <cellStyle name="Hyperlink" xfId="1363" builtinId="8" hidden="1"/>
    <cellStyle name="Hyperlink" xfId="1355" builtinId="8" hidden="1"/>
    <cellStyle name="Hyperlink" xfId="1339" builtinId="8" hidden="1"/>
    <cellStyle name="Hyperlink" xfId="1331" builtinId="8" hidden="1"/>
    <cellStyle name="Hyperlink" xfId="1323" builtinId="8" hidden="1"/>
    <cellStyle name="Hyperlink" xfId="1307" builtinId="8" hidden="1"/>
    <cellStyle name="Hyperlink" xfId="1299" builtinId="8" hidden="1"/>
    <cellStyle name="Hyperlink" xfId="1291" builtinId="8" hidden="1"/>
    <cellStyle name="Hyperlink" xfId="1275" builtinId="8" hidden="1"/>
    <cellStyle name="Hyperlink" xfId="1267" builtinId="8" hidden="1"/>
    <cellStyle name="Hyperlink" xfId="1259" builtinId="8" hidden="1"/>
    <cellStyle name="Hyperlink" xfId="1243" builtinId="8" hidden="1"/>
    <cellStyle name="Hyperlink" xfId="1235" builtinId="8" hidden="1"/>
    <cellStyle name="Hyperlink" xfId="1227" builtinId="8" hidden="1"/>
    <cellStyle name="Hyperlink" xfId="1211" builtinId="8" hidden="1"/>
    <cellStyle name="Hyperlink" xfId="1203" builtinId="8" hidden="1"/>
    <cellStyle name="Hyperlink" xfId="1195" builtinId="8" hidden="1"/>
    <cellStyle name="Hyperlink" xfId="1179" builtinId="8" hidden="1"/>
    <cellStyle name="Hyperlink" xfId="1171" builtinId="8" hidden="1"/>
    <cellStyle name="Hyperlink" xfId="1163" builtinId="8" hidden="1"/>
    <cellStyle name="Hyperlink" xfId="1147" builtinId="8" hidden="1"/>
    <cellStyle name="Hyperlink" xfId="511" builtinId="8" hidden="1"/>
    <cellStyle name="Hyperlink" xfId="513" builtinId="8" hidden="1"/>
    <cellStyle name="Hyperlink" xfId="517" builtinId="8" hidden="1"/>
    <cellStyle name="Hyperlink" xfId="519" builtinId="8" hidden="1"/>
    <cellStyle name="Hyperlink" xfId="521" builtinId="8" hidden="1"/>
    <cellStyle name="Hyperlink" xfId="527" builtinId="8" hidden="1"/>
    <cellStyle name="Hyperlink" xfId="529" builtinId="8" hidden="1"/>
    <cellStyle name="Hyperlink" xfId="531" builtinId="8" hidden="1"/>
    <cellStyle name="Hyperlink" xfId="535" builtinId="8" hidden="1"/>
    <cellStyle name="Hyperlink" xfId="537" builtinId="8" hidden="1"/>
    <cellStyle name="Hyperlink" xfId="541" builtinId="8" hidden="1"/>
    <cellStyle name="Hyperlink" xfId="545" builtinId="8" hidden="1"/>
    <cellStyle name="Hyperlink" xfId="547" builtinId="8" hidden="1"/>
    <cellStyle name="Hyperlink" xfId="549" builtinId="8" hidden="1"/>
    <cellStyle name="Hyperlink" xfId="553"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3" builtinId="8" hidden="1"/>
    <cellStyle name="Hyperlink" xfId="575" builtinId="8" hidden="1"/>
    <cellStyle name="Hyperlink" xfId="577" builtinId="8" hidden="1"/>
    <cellStyle name="Hyperlink" xfId="581" builtinId="8" hidden="1"/>
    <cellStyle name="Hyperlink" xfId="583" builtinId="8" hidden="1"/>
    <cellStyle name="Hyperlink" xfId="585" builtinId="8" hidden="1"/>
    <cellStyle name="Hyperlink" xfId="591" builtinId="8" hidden="1"/>
    <cellStyle name="Hyperlink" xfId="593" builtinId="8" hidden="1"/>
    <cellStyle name="Hyperlink" xfId="595" builtinId="8" hidden="1"/>
    <cellStyle name="Hyperlink" xfId="599" builtinId="8" hidden="1"/>
    <cellStyle name="Hyperlink" xfId="601" builtinId="8" hidden="1"/>
    <cellStyle name="Hyperlink" xfId="605" builtinId="8" hidden="1"/>
    <cellStyle name="Hyperlink" xfId="609" builtinId="8" hidden="1"/>
    <cellStyle name="Hyperlink" xfId="611" builtinId="8" hidden="1"/>
    <cellStyle name="Hyperlink" xfId="613" builtinId="8" hidden="1"/>
    <cellStyle name="Hyperlink" xfId="617"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7" builtinId="8" hidden="1"/>
    <cellStyle name="Hyperlink" xfId="639" builtinId="8" hidden="1"/>
    <cellStyle name="Hyperlink" xfId="641" builtinId="8" hidden="1"/>
    <cellStyle name="Hyperlink" xfId="645" builtinId="8" hidden="1"/>
    <cellStyle name="Hyperlink" xfId="647" builtinId="8" hidden="1"/>
    <cellStyle name="Hyperlink" xfId="649" builtinId="8" hidden="1"/>
    <cellStyle name="Hyperlink" xfId="655" builtinId="8" hidden="1"/>
    <cellStyle name="Hyperlink" xfId="657" builtinId="8" hidden="1"/>
    <cellStyle name="Hyperlink" xfId="659" builtinId="8" hidden="1"/>
    <cellStyle name="Hyperlink" xfId="663" builtinId="8" hidden="1"/>
    <cellStyle name="Hyperlink" xfId="665" builtinId="8" hidden="1"/>
    <cellStyle name="Hyperlink" xfId="669" builtinId="8" hidden="1"/>
    <cellStyle name="Hyperlink" xfId="673" builtinId="8" hidden="1"/>
    <cellStyle name="Hyperlink" xfId="675" builtinId="8" hidden="1"/>
    <cellStyle name="Hyperlink" xfId="677" builtinId="8" hidden="1"/>
    <cellStyle name="Hyperlink" xfId="681" builtinId="8" hidden="1"/>
    <cellStyle name="Hyperlink" xfId="685" builtinId="8" hidden="1"/>
    <cellStyle name="Hyperlink" xfId="687" builtinId="8" hidden="1"/>
    <cellStyle name="Hyperlink" xfId="691" builtinId="8" hidden="1"/>
    <cellStyle name="Hyperlink" xfId="693" builtinId="8" hidden="1"/>
    <cellStyle name="Hyperlink" xfId="695" builtinId="8" hidden="1"/>
    <cellStyle name="Hyperlink" xfId="701" builtinId="8" hidden="1"/>
    <cellStyle name="Hyperlink" xfId="703" builtinId="8" hidden="1"/>
    <cellStyle name="Hyperlink" xfId="705" builtinId="8" hidden="1"/>
    <cellStyle name="Hyperlink" xfId="709" builtinId="8" hidden="1"/>
    <cellStyle name="Hyperlink" xfId="711" builtinId="8" hidden="1"/>
    <cellStyle name="Hyperlink" xfId="713" builtinId="8" hidden="1"/>
    <cellStyle name="Hyperlink" xfId="719" builtinId="8" hidden="1"/>
    <cellStyle name="Hyperlink" xfId="721" builtinId="8" hidden="1"/>
    <cellStyle name="Hyperlink" xfId="723" builtinId="8" hidden="1"/>
    <cellStyle name="Hyperlink" xfId="727" builtinId="8" hidden="1"/>
    <cellStyle name="Hyperlink" xfId="729" builtinId="8" hidden="1"/>
    <cellStyle name="Hyperlink" xfId="733" builtinId="8" hidden="1"/>
    <cellStyle name="Hyperlink" xfId="737" builtinId="8" hidden="1"/>
    <cellStyle name="Hyperlink" xfId="739" builtinId="8" hidden="1"/>
    <cellStyle name="Hyperlink" xfId="741" builtinId="8" hidden="1"/>
    <cellStyle name="Hyperlink" xfId="745" builtinId="8" hidden="1"/>
    <cellStyle name="Hyperlink" xfId="749" builtinId="8" hidden="1"/>
    <cellStyle name="Hyperlink" xfId="751" builtinId="8" hidden="1"/>
    <cellStyle name="Hyperlink" xfId="755" builtinId="8" hidden="1"/>
    <cellStyle name="Hyperlink" xfId="757" builtinId="8" hidden="1"/>
    <cellStyle name="Hyperlink" xfId="759" builtinId="8" hidden="1"/>
    <cellStyle name="Hyperlink" xfId="765" builtinId="8" hidden="1"/>
    <cellStyle name="Hyperlink" xfId="767" builtinId="8" hidden="1"/>
    <cellStyle name="Hyperlink" xfId="769" builtinId="8" hidden="1"/>
    <cellStyle name="Hyperlink" xfId="773" builtinId="8" hidden="1"/>
    <cellStyle name="Hyperlink" xfId="775" builtinId="8" hidden="1"/>
    <cellStyle name="Hyperlink" xfId="777" builtinId="8" hidden="1"/>
    <cellStyle name="Hyperlink" xfId="783" builtinId="8" hidden="1"/>
    <cellStyle name="Hyperlink" xfId="785" builtinId="8" hidden="1"/>
    <cellStyle name="Hyperlink" xfId="787" builtinId="8" hidden="1"/>
    <cellStyle name="Hyperlink" xfId="791" builtinId="8" hidden="1"/>
    <cellStyle name="Hyperlink" xfId="793" builtinId="8" hidden="1"/>
    <cellStyle name="Hyperlink" xfId="797" builtinId="8" hidden="1"/>
    <cellStyle name="Hyperlink" xfId="801" builtinId="8" hidden="1"/>
    <cellStyle name="Hyperlink" xfId="803" builtinId="8" hidden="1"/>
    <cellStyle name="Hyperlink" xfId="805" builtinId="8" hidden="1"/>
    <cellStyle name="Hyperlink" xfId="809" builtinId="8" hidden="1"/>
    <cellStyle name="Hyperlink" xfId="813" builtinId="8" hidden="1"/>
    <cellStyle name="Hyperlink" xfId="815" builtinId="8" hidden="1"/>
    <cellStyle name="Hyperlink" xfId="819" builtinId="8" hidden="1"/>
    <cellStyle name="Hyperlink" xfId="821" builtinId="8" hidden="1"/>
    <cellStyle name="Hyperlink" xfId="823" builtinId="8" hidden="1"/>
    <cellStyle name="Hyperlink" xfId="829" builtinId="8" hidden="1"/>
    <cellStyle name="Hyperlink" xfId="831" builtinId="8" hidden="1"/>
    <cellStyle name="Hyperlink" xfId="833" builtinId="8" hidden="1"/>
    <cellStyle name="Hyperlink" xfId="837" builtinId="8" hidden="1"/>
    <cellStyle name="Hyperlink" xfId="839" builtinId="8" hidden="1"/>
    <cellStyle name="Hyperlink" xfId="841" builtinId="8" hidden="1"/>
    <cellStyle name="Hyperlink" xfId="847" builtinId="8" hidden="1"/>
    <cellStyle name="Hyperlink" xfId="849" builtinId="8" hidden="1"/>
    <cellStyle name="Hyperlink" xfId="851" builtinId="8" hidden="1"/>
    <cellStyle name="Hyperlink" xfId="855" builtinId="8" hidden="1"/>
    <cellStyle name="Hyperlink" xfId="857" builtinId="8" hidden="1"/>
    <cellStyle name="Hyperlink" xfId="861" builtinId="8" hidden="1"/>
    <cellStyle name="Hyperlink" xfId="865" builtinId="8" hidden="1"/>
    <cellStyle name="Hyperlink" xfId="867" builtinId="8" hidden="1"/>
    <cellStyle name="Hyperlink" xfId="869" builtinId="8" hidden="1"/>
    <cellStyle name="Hyperlink" xfId="873" builtinId="8" hidden="1"/>
    <cellStyle name="Hyperlink" xfId="877" builtinId="8" hidden="1"/>
    <cellStyle name="Hyperlink" xfId="879" builtinId="8" hidden="1"/>
    <cellStyle name="Hyperlink" xfId="883" builtinId="8" hidden="1"/>
    <cellStyle name="Hyperlink" xfId="885" builtinId="8" hidden="1"/>
    <cellStyle name="Hyperlink" xfId="887" builtinId="8" hidden="1"/>
    <cellStyle name="Hyperlink" xfId="893" builtinId="8" hidden="1"/>
    <cellStyle name="Hyperlink" xfId="895" builtinId="8" hidden="1"/>
    <cellStyle name="Hyperlink" xfId="897" builtinId="8" hidden="1"/>
    <cellStyle name="Hyperlink" xfId="901" builtinId="8" hidden="1"/>
    <cellStyle name="Hyperlink" xfId="903" builtinId="8" hidden="1"/>
    <cellStyle name="Hyperlink" xfId="905" builtinId="8" hidden="1"/>
    <cellStyle name="Hyperlink" xfId="911" builtinId="8" hidden="1"/>
    <cellStyle name="Hyperlink" xfId="913" builtinId="8" hidden="1"/>
    <cellStyle name="Hyperlink" xfId="915" builtinId="8" hidden="1"/>
    <cellStyle name="Hyperlink" xfId="919" builtinId="8" hidden="1"/>
    <cellStyle name="Hyperlink" xfId="921" builtinId="8" hidden="1"/>
    <cellStyle name="Hyperlink" xfId="925" builtinId="8" hidden="1"/>
    <cellStyle name="Hyperlink" xfId="929" builtinId="8" hidden="1"/>
    <cellStyle name="Hyperlink" xfId="931" builtinId="8" hidden="1"/>
    <cellStyle name="Hyperlink" xfId="933" builtinId="8" hidden="1"/>
    <cellStyle name="Hyperlink" xfId="937" builtinId="8" hidden="1"/>
    <cellStyle name="Hyperlink" xfId="941" builtinId="8" hidden="1"/>
    <cellStyle name="Hyperlink" xfId="943" builtinId="8" hidden="1"/>
    <cellStyle name="Hyperlink" xfId="947" builtinId="8" hidden="1"/>
    <cellStyle name="Hyperlink" xfId="949" builtinId="8" hidden="1"/>
    <cellStyle name="Hyperlink" xfId="951" builtinId="8" hidden="1"/>
    <cellStyle name="Hyperlink" xfId="957" builtinId="8" hidden="1"/>
    <cellStyle name="Hyperlink" xfId="959" builtinId="8" hidden="1"/>
    <cellStyle name="Hyperlink" xfId="961" builtinId="8" hidden="1"/>
    <cellStyle name="Hyperlink" xfId="965" builtinId="8" hidden="1"/>
    <cellStyle name="Hyperlink" xfId="967" builtinId="8" hidden="1"/>
    <cellStyle name="Hyperlink" xfId="969" builtinId="8" hidden="1"/>
    <cellStyle name="Hyperlink" xfId="975" builtinId="8" hidden="1"/>
    <cellStyle name="Hyperlink" xfId="977" builtinId="8" hidden="1"/>
    <cellStyle name="Hyperlink" xfId="979" builtinId="8" hidden="1"/>
    <cellStyle name="Hyperlink" xfId="983" builtinId="8" hidden="1"/>
    <cellStyle name="Hyperlink" xfId="985" builtinId="8" hidden="1"/>
    <cellStyle name="Hyperlink" xfId="989" builtinId="8" hidden="1"/>
    <cellStyle name="Hyperlink" xfId="993" builtinId="8" hidden="1"/>
    <cellStyle name="Hyperlink" xfId="995" builtinId="8" hidden="1"/>
    <cellStyle name="Hyperlink" xfId="997" builtinId="8" hidden="1"/>
    <cellStyle name="Hyperlink" xfId="1001" builtinId="8" hidden="1"/>
    <cellStyle name="Hyperlink" xfId="1005" builtinId="8" hidden="1"/>
    <cellStyle name="Hyperlink" xfId="1007" builtinId="8" hidden="1"/>
    <cellStyle name="Hyperlink" xfId="1011" builtinId="8" hidden="1"/>
    <cellStyle name="Hyperlink" xfId="1013" builtinId="8" hidden="1"/>
    <cellStyle name="Hyperlink" xfId="1015" builtinId="8" hidden="1"/>
    <cellStyle name="Hyperlink" xfId="1021" builtinId="8" hidden="1"/>
    <cellStyle name="Hyperlink" xfId="1023" builtinId="8" hidden="1"/>
    <cellStyle name="Hyperlink" xfId="1025" builtinId="8" hidden="1"/>
    <cellStyle name="Hyperlink" xfId="1029" builtinId="8" hidden="1"/>
    <cellStyle name="Hyperlink" xfId="1031" builtinId="8" hidden="1"/>
    <cellStyle name="Hyperlink" xfId="1033" builtinId="8" hidden="1"/>
    <cellStyle name="Hyperlink" xfId="1039" builtinId="8" hidden="1"/>
    <cellStyle name="Hyperlink" xfId="1041" builtinId="8" hidden="1"/>
    <cellStyle name="Hyperlink" xfId="1043" builtinId="8" hidden="1"/>
    <cellStyle name="Hyperlink" xfId="1047" builtinId="8" hidden="1"/>
    <cellStyle name="Hyperlink" xfId="1049" builtinId="8" hidden="1"/>
    <cellStyle name="Hyperlink" xfId="1053" builtinId="8" hidden="1"/>
    <cellStyle name="Hyperlink" xfId="1057" builtinId="8" hidden="1"/>
    <cellStyle name="Hyperlink" xfId="1059" builtinId="8" hidden="1"/>
    <cellStyle name="Hyperlink" xfId="1061" builtinId="8" hidden="1"/>
    <cellStyle name="Hyperlink" xfId="1065" builtinId="8" hidden="1"/>
    <cellStyle name="Hyperlink" xfId="1069" builtinId="8" hidden="1"/>
    <cellStyle name="Hyperlink" xfId="1071" builtinId="8" hidden="1"/>
    <cellStyle name="Hyperlink" xfId="1075" builtinId="8" hidden="1"/>
    <cellStyle name="Hyperlink" xfId="1077" builtinId="8" hidden="1"/>
    <cellStyle name="Hyperlink" xfId="1079" builtinId="8" hidden="1"/>
    <cellStyle name="Hyperlink" xfId="1085" builtinId="8" hidden="1"/>
    <cellStyle name="Hyperlink" xfId="1087" builtinId="8" hidden="1"/>
    <cellStyle name="Hyperlink" xfId="1089" builtinId="8" hidden="1"/>
    <cellStyle name="Hyperlink" xfId="1093" builtinId="8" hidden="1"/>
    <cellStyle name="Hyperlink" xfId="1095" builtinId="8" hidden="1"/>
    <cellStyle name="Hyperlink" xfId="1097" builtinId="8" hidden="1"/>
    <cellStyle name="Hyperlink" xfId="1103" builtinId="8" hidden="1"/>
    <cellStyle name="Hyperlink" xfId="1105" builtinId="8" hidden="1"/>
    <cellStyle name="Hyperlink" xfId="1107" builtinId="8" hidden="1"/>
    <cellStyle name="Hyperlink" xfId="1111" builtinId="8" hidden="1"/>
    <cellStyle name="Hyperlink" xfId="1113" builtinId="8" hidden="1"/>
    <cellStyle name="Hyperlink" xfId="1117" builtinId="8" hidden="1"/>
    <cellStyle name="Hyperlink" xfId="1121" builtinId="8" hidden="1"/>
    <cellStyle name="Hyperlink" xfId="1123" builtinId="8" hidden="1"/>
    <cellStyle name="Hyperlink" xfId="1125" builtinId="8" hidden="1"/>
    <cellStyle name="Hyperlink" xfId="1129" builtinId="8" hidden="1"/>
    <cellStyle name="Hyperlink" xfId="1133" builtinId="8" hidden="1"/>
    <cellStyle name="Hyperlink" xfId="1135" builtinId="8" hidden="1"/>
    <cellStyle name="Hyperlink" xfId="1139" builtinId="8" hidden="1"/>
    <cellStyle name="Hyperlink" xfId="1141" builtinId="8" hidden="1"/>
    <cellStyle name="Hyperlink" xfId="1143" builtinId="8" hidden="1"/>
    <cellStyle name="Hyperlink" xfId="1131" builtinId="8" hidden="1"/>
    <cellStyle name="Hyperlink" xfId="1115" builtinId="8" hidden="1"/>
    <cellStyle name="Hyperlink" xfId="1099" builtinId="8" hidden="1"/>
    <cellStyle name="Hyperlink" xfId="1067" builtinId="8" hidden="1"/>
    <cellStyle name="Hyperlink" xfId="1051" builtinId="8" hidden="1"/>
    <cellStyle name="Hyperlink" xfId="1035" builtinId="8" hidden="1"/>
    <cellStyle name="Hyperlink" xfId="1003" builtinId="8" hidden="1"/>
    <cellStyle name="Hyperlink" xfId="987" builtinId="8" hidden="1"/>
    <cellStyle name="Hyperlink" xfId="971" builtinId="8" hidden="1"/>
    <cellStyle name="Hyperlink" xfId="939" builtinId="8" hidden="1"/>
    <cellStyle name="Hyperlink" xfId="923" builtinId="8" hidden="1"/>
    <cellStyle name="Hyperlink" xfId="907" builtinId="8" hidden="1"/>
    <cellStyle name="Hyperlink" xfId="875" builtinId="8" hidden="1"/>
    <cellStyle name="Hyperlink" xfId="859" builtinId="8" hidden="1"/>
    <cellStyle name="Hyperlink" xfId="843" builtinId="8" hidden="1"/>
    <cellStyle name="Hyperlink" xfId="811" builtinId="8" hidden="1"/>
    <cellStyle name="Hyperlink" xfId="795" builtinId="8" hidden="1"/>
    <cellStyle name="Hyperlink" xfId="779" builtinId="8" hidden="1"/>
    <cellStyle name="Hyperlink" xfId="747" builtinId="8" hidden="1"/>
    <cellStyle name="Hyperlink" xfId="731" builtinId="8" hidden="1"/>
    <cellStyle name="Hyperlink" xfId="715" builtinId="8" hidden="1"/>
    <cellStyle name="Hyperlink" xfId="683" builtinId="8" hidden="1"/>
    <cellStyle name="Hyperlink" xfId="667" builtinId="8" hidden="1"/>
    <cellStyle name="Hyperlink" xfId="651" builtinId="8" hidden="1"/>
    <cellStyle name="Hyperlink" xfId="619" builtinId="8" hidden="1"/>
    <cellStyle name="Hyperlink" xfId="603" builtinId="8" hidden="1"/>
    <cellStyle name="Hyperlink" xfId="587" builtinId="8" hidden="1"/>
    <cellStyle name="Hyperlink" xfId="555" builtinId="8" hidden="1"/>
    <cellStyle name="Hyperlink" xfId="539" builtinId="8" hidden="1"/>
    <cellStyle name="Hyperlink" xfId="523" builtinId="8" hidden="1"/>
    <cellStyle name="Hyperlink" xfId="257" builtinId="8" hidden="1"/>
    <cellStyle name="Hyperlink" xfId="259" builtinId="8" hidden="1"/>
    <cellStyle name="Hyperlink" xfId="261" builtinId="8" hidden="1"/>
    <cellStyle name="Hyperlink" xfId="265"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301" builtinId="8" hidden="1"/>
    <cellStyle name="Hyperlink" xfId="303" builtinId="8" hidden="1"/>
    <cellStyle name="Hyperlink" xfId="305" builtinId="8" hidden="1"/>
    <cellStyle name="Hyperlink" xfId="309" builtinId="8" hidden="1"/>
    <cellStyle name="Hyperlink" xfId="311" builtinId="8" hidden="1"/>
    <cellStyle name="Hyperlink" xfId="313" builtinId="8" hidden="1"/>
    <cellStyle name="Hyperlink" xfId="317" builtinId="8" hidden="1"/>
    <cellStyle name="Hyperlink" xfId="319" builtinId="8" hidden="1"/>
    <cellStyle name="Hyperlink" xfId="321" builtinId="8" hidden="1"/>
    <cellStyle name="Hyperlink" xfId="325" builtinId="8" hidden="1"/>
    <cellStyle name="Hyperlink" xfId="327" builtinId="8" hidden="1"/>
    <cellStyle name="Hyperlink" xfId="329" builtinId="8" hidden="1"/>
    <cellStyle name="Hyperlink" xfId="335" builtinId="8" hidden="1"/>
    <cellStyle name="Hyperlink" xfId="337" builtinId="8" hidden="1"/>
    <cellStyle name="Hyperlink" xfId="339" builtinId="8" hidden="1"/>
    <cellStyle name="Hyperlink" xfId="343" builtinId="8" hidden="1"/>
    <cellStyle name="Hyperlink" xfId="345" builtinId="8" hidden="1"/>
    <cellStyle name="Hyperlink" xfId="347" builtinId="8" hidden="1"/>
    <cellStyle name="Hyperlink" xfId="351" builtinId="8" hidden="1"/>
    <cellStyle name="Hyperlink" xfId="353" builtinId="8" hidden="1"/>
    <cellStyle name="Hyperlink" xfId="355" builtinId="8" hidden="1"/>
    <cellStyle name="Hyperlink" xfId="359" builtinId="8" hidden="1"/>
    <cellStyle name="Hyperlink" xfId="361" builtinId="8" hidden="1"/>
    <cellStyle name="Hyperlink" xfId="365" builtinId="8" hidden="1"/>
    <cellStyle name="Hyperlink" xfId="369" builtinId="8" hidden="1"/>
    <cellStyle name="Hyperlink" xfId="371" builtinId="8" hidden="1"/>
    <cellStyle name="Hyperlink" xfId="373" builtinId="8" hidden="1"/>
    <cellStyle name="Hyperlink" xfId="377" builtinId="8" hidden="1"/>
    <cellStyle name="Hyperlink" xfId="379" builtinId="8" hidden="1"/>
    <cellStyle name="Hyperlink" xfId="381" builtinId="8" hidden="1"/>
    <cellStyle name="Hyperlink" xfId="385" builtinId="8" hidden="1"/>
    <cellStyle name="Hyperlink" xfId="387" builtinId="8" hidden="1"/>
    <cellStyle name="Hyperlink" xfId="389" builtinId="8" hidden="1"/>
    <cellStyle name="Hyperlink" xfId="393"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9" builtinId="8" hidden="1"/>
    <cellStyle name="Hyperlink" xfId="431" builtinId="8" hidden="1"/>
    <cellStyle name="Hyperlink" xfId="433" builtinId="8" hidden="1"/>
    <cellStyle name="Hyperlink" xfId="437" builtinId="8" hidden="1"/>
    <cellStyle name="Hyperlink" xfId="439" builtinId="8" hidden="1"/>
    <cellStyle name="Hyperlink" xfId="441" builtinId="8" hidden="1"/>
    <cellStyle name="Hyperlink" xfId="445" builtinId="8" hidden="1"/>
    <cellStyle name="Hyperlink" xfId="447" builtinId="8" hidden="1"/>
    <cellStyle name="Hyperlink" xfId="449" builtinId="8" hidden="1"/>
    <cellStyle name="Hyperlink" xfId="453" builtinId="8" hidden="1"/>
    <cellStyle name="Hyperlink" xfId="455" builtinId="8" hidden="1"/>
    <cellStyle name="Hyperlink" xfId="457" builtinId="8" hidden="1"/>
    <cellStyle name="Hyperlink" xfId="463" builtinId="8" hidden="1"/>
    <cellStyle name="Hyperlink" xfId="465" builtinId="8" hidden="1"/>
    <cellStyle name="Hyperlink" xfId="467" builtinId="8" hidden="1"/>
    <cellStyle name="Hyperlink" xfId="471" builtinId="8" hidden="1"/>
    <cellStyle name="Hyperlink" xfId="473" builtinId="8" hidden="1"/>
    <cellStyle name="Hyperlink" xfId="475" builtinId="8" hidden="1"/>
    <cellStyle name="Hyperlink" xfId="479" builtinId="8" hidden="1"/>
    <cellStyle name="Hyperlink" xfId="481" builtinId="8" hidden="1"/>
    <cellStyle name="Hyperlink" xfId="483" builtinId="8" hidden="1"/>
    <cellStyle name="Hyperlink" xfId="487" builtinId="8" hidden="1"/>
    <cellStyle name="Hyperlink" xfId="489" builtinId="8" hidden="1"/>
    <cellStyle name="Hyperlink" xfId="493" builtinId="8" hidden="1"/>
    <cellStyle name="Hyperlink" xfId="497" builtinId="8" hidden="1"/>
    <cellStyle name="Hyperlink" xfId="499" builtinId="8" hidden="1"/>
    <cellStyle name="Hyperlink" xfId="501" builtinId="8" hidden="1"/>
    <cellStyle name="Hyperlink" xfId="505" builtinId="8" hidden="1"/>
    <cellStyle name="Hyperlink" xfId="507" builtinId="8" hidden="1"/>
    <cellStyle name="Hyperlink" xfId="509" builtinId="8" hidden="1"/>
    <cellStyle name="Hyperlink" xfId="459" builtinId="8" hidden="1"/>
    <cellStyle name="Hyperlink" xfId="427" builtinId="8" hidden="1"/>
    <cellStyle name="Hyperlink" xfId="395" builtinId="8" hidden="1"/>
    <cellStyle name="Hyperlink" xfId="331" builtinId="8" hidden="1"/>
    <cellStyle name="Hyperlink" xfId="299" builtinId="8" hidden="1"/>
    <cellStyle name="Hyperlink" xfId="267" builtinId="8" hidden="1"/>
    <cellStyle name="Hyperlink" xfId="143" builtinId="8" hidden="1"/>
    <cellStyle name="Hyperlink" xfId="145" builtinId="8" hidden="1"/>
    <cellStyle name="Hyperlink" xfId="147" builtinId="8" hidden="1"/>
    <cellStyle name="Hyperlink" xfId="151" builtinId="8" hidden="1"/>
    <cellStyle name="Hyperlink" xfId="153" builtinId="8" hidden="1"/>
    <cellStyle name="Hyperlink" xfId="155" builtinId="8" hidden="1"/>
    <cellStyle name="Hyperlink" xfId="159" builtinId="8" hidden="1"/>
    <cellStyle name="Hyperlink" xfId="161" builtinId="8" hidden="1"/>
    <cellStyle name="Hyperlink" xfId="163" builtinId="8" hidden="1"/>
    <cellStyle name="Hyperlink" xfId="167" builtinId="8" hidden="1"/>
    <cellStyle name="Hyperlink" xfId="169" builtinId="8" hidden="1"/>
    <cellStyle name="Hyperlink" xfId="171" builtinId="8" hidden="1"/>
    <cellStyle name="Hyperlink" xfId="175" builtinId="8" hidden="1"/>
    <cellStyle name="Hyperlink" xfId="177" builtinId="8" hidden="1"/>
    <cellStyle name="Hyperlink" xfId="179" builtinId="8" hidden="1"/>
    <cellStyle name="Hyperlink" xfId="183" builtinId="8" hidden="1"/>
    <cellStyle name="Hyperlink" xfId="185" builtinId="8" hidden="1"/>
    <cellStyle name="Hyperlink" xfId="187" builtinId="8" hidden="1"/>
    <cellStyle name="Hyperlink" xfId="191" builtinId="8" hidden="1"/>
    <cellStyle name="Hyperlink" xfId="193" builtinId="8" hidden="1"/>
    <cellStyle name="Hyperlink" xfId="195" builtinId="8" hidden="1"/>
    <cellStyle name="Hyperlink" xfId="199" builtinId="8" hidden="1"/>
    <cellStyle name="Hyperlink" xfId="201" builtinId="8" hidden="1"/>
    <cellStyle name="Hyperlink" xfId="205" builtinId="8" hidden="1"/>
    <cellStyle name="Hyperlink" xfId="209" builtinId="8" hidden="1"/>
    <cellStyle name="Hyperlink" xfId="211" builtinId="8" hidden="1"/>
    <cellStyle name="Hyperlink" xfId="213" builtinId="8" hidden="1"/>
    <cellStyle name="Hyperlink" xfId="217" builtinId="8" hidden="1"/>
    <cellStyle name="Hyperlink" xfId="219" builtinId="8" hidden="1"/>
    <cellStyle name="Hyperlink" xfId="221" builtinId="8" hidden="1"/>
    <cellStyle name="Hyperlink" xfId="225" builtinId="8" hidden="1"/>
    <cellStyle name="Hyperlink" xfId="227" builtinId="8" hidden="1"/>
    <cellStyle name="Hyperlink" xfId="229" builtinId="8" hidden="1"/>
    <cellStyle name="Hyperlink" xfId="233" builtinId="8" hidden="1"/>
    <cellStyle name="Hyperlink" xfId="235" builtinId="8" hidden="1"/>
    <cellStyle name="Hyperlink" xfId="237" builtinId="8" hidden="1"/>
    <cellStyle name="Hyperlink" xfId="241" builtinId="8" hidden="1"/>
    <cellStyle name="Hyperlink" xfId="243" builtinId="8" hidden="1"/>
    <cellStyle name="Hyperlink" xfId="245" builtinId="8" hidden="1"/>
    <cellStyle name="Hyperlink" xfId="249" builtinId="8" hidden="1"/>
    <cellStyle name="Hyperlink" xfId="251" builtinId="8" hidden="1"/>
    <cellStyle name="Hyperlink" xfId="253" builtinId="8" hidden="1"/>
    <cellStyle name="Hyperlink" xfId="139" builtinId="8" hidden="1"/>
    <cellStyle name="Hyperlink" xfId="85" builtinId="8" hidden="1"/>
    <cellStyle name="Hyperlink" xfId="87" builtinId="8" hidden="1"/>
    <cellStyle name="Hyperlink" xfId="91" builtinId="8" hidden="1"/>
    <cellStyle name="Hyperlink" xfId="93" builtinId="8" hidden="1"/>
    <cellStyle name="Hyperlink" xfId="95" builtinId="8" hidden="1"/>
    <cellStyle name="Hyperlink" xfId="99" builtinId="8" hidden="1"/>
    <cellStyle name="Hyperlink" xfId="101" builtinId="8" hidden="1"/>
    <cellStyle name="Hyperlink" xfId="103" builtinId="8" hidden="1"/>
    <cellStyle name="Hyperlink" xfId="107" builtinId="8" hidden="1"/>
    <cellStyle name="Hyperlink" xfId="109" builtinId="8" hidden="1"/>
    <cellStyle name="Hyperlink" xfId="111" builtinId="8" hidden="1"/>
    <cellStyle name="Hyperlink" xfId="115" builtinId="8" hidden="1"/>
    <cellStyle name="Hyperlink" xfId="117" builtinId="8" hidden="1"/>
    <cellStyle name="Hyperlink" xfId="119" builtinId="8" hidden="1"/>
    <cellStyle name="Hyperlink" xfId="123" builtinId="8" hidden="1"/>
    <cellStyle name="Hyperlink" xfId="125" builtinId="8" hidden="1"/>
    <cellStyle name="Hyperlink" xfId="127" builtinId="8" hidden="1"/>
    <cellStyle name="Hyperlink" xfId="131" builtinId="8" hidden="1"/>
    <cellStyle name="Hyperlink" xfId="133" builtinId="8" hidden="1"/>
    <cellStyle name="Hyperlink" xfId="135" builtinId="8" hidden="1"/>
    <cellStyle name="Hyperlink" xfId="59" builtinId="8" hidden="1"/>
    <cellStyle name="Hyperlink" xfId="61" builtinId="8" hidden="1"/>
    <cellStyle name="Hyperlink" xfId="63" builtinId="8" hidden="1"/>
    <cellStyle name="Hyperlink" xfId="67" builtinId="8" hidden="1"/>
    <cellStyle name="Hyperlink" xfId="69" builtinId="8" hidden="1"/>
    <cellStyle name="Hyperlink" xfId="71" builtinId="8" hidden="1"/>
    <cellStyle name="Hyperlink" xfId="75" builtinId="8" hidden="1"/>
    <cellStyle name="Hyperlink" xfId="77" builtinId="8" hidden="1"/>
    <cellStyle name="Hyperlink" xfId="79" builtinId="8" hidden="1"/>
    <cellStyle name="Hyperlink" xfId="83" builtinId="8" hidden="1"/>
    <cellStyle name="Hyperlink" xfId="45" builtinId="8" hidden="1"/>
    <cellStyle name="Hyperlink" xfId="47" builtinId="8" hidden="1"/>
    <cellStyle name="Hyperlink" xfId="51" builtinId="8" hidden="1"/>
    <cellStyle name="Hyperlink" xfId="53" builtinId="8" hidden="1"/>
    <cellStyle name="Hyperlink" xfId="55" builtinId="8" hidden="1"/>
    <cellStyle name="Hyperlink" xfId="39" builtinId="8" hidden="1"/>
    <cellStyle name="Hyperlink" xfId="41" builtinId="8" hidden="1"/>
    <cellStyle name="Hyperlink" xfId="43" builtinId="8" hidden="1"/>
    <cellStyle name="Hyperlink" xfId="37" builtinId="8" hidden="1"/>
    <cellStyle name="Hyperlink" xfId="33" builtinId="8" hidden="1"/>
    <cellStyle name="Hyperlink" xfId="35" builtinId="8" hidden="1"/>
    <cellStyle name="Hyperlink" xfId="57" builtinId="8" hidden="1"/>
    <cellStyle name="Hyperlink" xfId="49" builtinId="8" hidden="1"/>
    <cellStyle name="Hyperlink" xfId="81" builtinId="8" hidden="1"/>
    <cellStyle name="Hyperlink" xfId="73" builtinId="8" hidden="1"/>
    <cellStyle name="Hyperlink" xfId="65" builtinId="8" hidden="1"/>
    <cellStyle name="Hyperlink" xfId="137" builtinId="8" hidden="1"/>
    <cellStyle name="Hyperlink" xfId="129" builtinId="8" hidden="1"/>
    <cellStyle name="Hyperlink" xfId="121" builtinId="8" hidden="1"/>
    <cellStyle name="Hyperlink" xfId="113" builtinId="8" hidden="1"/>
    <cellStyle name="Hyperlink" xfId="105" builtinId="8" hidden="1"/>
    <cellStyle name="Hyperlink" xfId="97" builtinId="8" hidden="1"/>
    <cellStyle name="Hyperlink" xfId="89" builtinId="8" hidden="1"/>
    <cellStyle name="Hyperlink" xfId="203" builtinId="8" hidden="1"/>
    <cellStyle name="Hyperlink" xfId="247" builtinId="8" hidden="1"/>
    <cellStyle name="Hyperlink" xfId="239" builtinId="8" hidden="1"/>
    <cellStyle name="Hyperlink" xfId="231" builtinId="8" hidden="1"/>
    <cellStyle name="Hyperlink" xfId="223" builtinId="8" hidden="1"/>
    <cellStyle name="Hyperlink" xfId="215" builtinId="8" hidden="1"/>
    <cellStyle name="Hyperlink" xfId="207" builtinId="8" hidden="1"/>
    <cellStyle name="Hyperlink" xfId="197" builtinId="8" hidden="1"/>
    <cellStyle name="Hyperlink" xfId="189" builtinId="8" hidden="1"/>
    <cellStyle name="Hyperlink" xfId="181" builtinId="8" hidden="1"/>
    <cellStyle name="Hyperlink" xfId="173" builtinId="8" hidden="1"/>
    <cellStyle name="Hyperlink" xfId="165" builtinId="8" hidden="1"/>
    <cellStyle name="Hyperlink" xfId="157" builtinId="8" hidden="1"/>
    <cellStyle name="Hyperlink" xfId="149" builtinId="8" hidden="1"/>
    <cellStyle name="Hyperlink" xfId="141" builtinId="8" hidden="1"/>
    <cellStyle name="Hyperlink" xfId="363" builtinId="8" hidden="1"/>
    <cellStyle name="Hyperlink" xfId="491" builtinId="8" hidden="1"/>
    <cellStyle name="Hyperlink" xfId="503" builtinId="8" hidden="1"/>
    <cellStyle name="Hyperlink" xfId="495" builtinId="8" hidden="1"/>
    <cellStyle name="Hyperlink" xfId="485" builtinId="8" hidden="1"/>
    <cellStyle name="Hyperlink" xfId="477" builtinId="8" hidden="1"/>
    <cellStyle name="Hyperlink" xfId="469" builtinId="8" hidden="1"/>
    <cellStyle name="Hyperlink" xfId="461" builtinId="8" hidden="1"/>
    <cellStyle name="Hyperlink" xfId="451" builtinId="8" hidden="1"/>
    <cellStyle name="Hyperlink" xfId="443" builtinId="8" hidden="1"/>
    <cellStyle name="Hyperlink" xfId="435" builtinId="8" hidden="1"/>
    <cellStyle name="Hyperlink" xfId="425" builtinId="8" hidden="1"/>
    <cellStyle name="Hyperlink" xfId="417" builtinId="8" hidden="1"/>
    <cellStyle name="Hyperlink" xfId="409" builtinId="8" hidden="1"/>
    <cellStyle name="Hyperlink" xfId="401" builtinId="8" hidden="1"/>
    <cellStyle name="Hyperlink" xfId="391" builtinId="8" hidden="1"/>
    <cellStyle name="Hyperlink" xfId="383" builtinId="8" hidden="1"/>
    <cellStyle name="Hyperlink" xfId="375" builtinId="8" hidden="1"/>
    <cellStyle name="Hyperlink" xfId="367" builtinId="8" hidden="1"/>
    <cellStyle name="Hyperlink" xfId="357" builtinId="8" hidden="1"/>
    <cellStyle name="Hyperlink" xfId="349" builtinId="8" hidden="1"/>
    <cellStyle name="Hyperlink" xfId="341" builtinId="8" hidden="1"/>
    <cellStyle name="Hyperlink" xfId="333" builtinId="8" hidden="1"/>
    <cellStyle name="Hyperlink" xfId="323" builtinId="8" hidden="1"/>
    <cellStyle name="Hyperlink" xfId="315" builtinId="8" hidden="1"/>
    <cellStyle name="Hyperlink" xfId="307" builtinId="8" hidden="1"/>
    <cellStyle name="Hyperlink" xfId="297" builtinId="8" hidden="1"/>
    <cellStyle name="Hyperlink" xfId="289" builtinId="8" hidden="1"/>
    <cellStyle name="Hyperlink" xfId="281" builtinId="8" hidden="1"/>
    <cellStyle name="Hyperlink" xfId="273" builtinId="8" hidden="1"/>
    <cellStyle name="Hyperlink" xfId="263" builtinId="8" hidden="1"/>
    <cellStyle name="Hyperlink" xfId="255" builtinId="8" hidden="1"/>
    <cellStyle name="Hyperlink" xfId="571" builtinId="8" hidden="1"/>
    <cellStyle name="Hyperlink" xfId="635" builtinId="8" hidden="1"/>
    <cellStyle name="Hyperlink" xfId="699" builtinId="8" hidden="1"/>
    <cellStyle name="Hyperlink" xfId="763" builtinId="8" hidden="1"/>
    <cellStyle name="Hyperlink" xfId="827" builtinId="8" hidden="1"/>
    <cellStyle name="Hyperlink" xfId="891" builtinId="8" hidden="1"/>
    <cellStyle name="Hyperlink" xfId="955" builtinId="8" hidden="1"/>
    <cellStyle name="Hyperlink" xfId="1019" builtinId="8" hidden="1"/>
    <cellStyle name="Hyperlink" xfId="1083" builtinId="8" hidden="1"/>
    <cellStyle name="Hyperlink" xfId="1145" builtinId="8" hidden="1"/>
    <cellStyle name="Hyperlink" xfId="1137" builtinId="8" hidden="1"/>
    <cellStyle name="Hyperlink" xfId="1127" builtinId="8" hidden="1"/>
    <cellStyle name="Hyperlink" xfId="1119" builtinId="8" hidden="1"/>
    <cellStyle name="Hyperlink" xfId="1109" builtinId="8" hidden="1"/>
    <cellStyle name="Hyperlink" xfId="1101" builtinId="8" hidden="1"/>
    <cellStyle name="Hyperlink" xfId="1091" builtinId="8" hidden="1"/>
    <cellStyle name="Hyperlink" xfId="1081" builtinId="8" hidden="1"/>
    <cellStyle name="Hyperlink" xfId="1073" builtinId="8" hidden="1"/>
    <cellStyle name="Hyperlink" xfId="1063" builtinId="8" hidden="1"/>
    <cellStyle name="Hyperlink" xfId="1055" builtinId="8" hidden="1"/>
    <cellStyle name="Hyperlink" xfId="1045" builtinId="8" hidden="1"/>
    <cellStyle name="Hyperlink" xfId="1037" builtinId="8" hidden="1"/>
    <cellStyle name="Hyperlink" xfId="1027" builtinId="8" hidden="1"/>
    <cellStyle name="Hyperlink" xfId="1017" builtinId="8" hidden="1"/>
    <cellStyle name="Hyperlink" xfId="1009" builtinId="8" hidden="1"/>
    <cellStyle name="Hyperlink" xfId="999" builtinId="8" hidden="1"/>
    <cellStyle name="Hyperlink" xfId="991" builtinId="8" hidden="1"/>
    <cellStyle name="Hyperlink" xfId="981" builtinId="8" hidden="1"/>
    <cellStyle name="Hyperlink" xfId="973" builtinId="8" hidden="1"/>
    <cellStyle name="Hyperlink" xfId="963" builtinId="8" hidden="1"/>
    <cellStyle name="Hyperlink" xfId="953" builtinId="8" hidden="1"/>
    <cellStyle name="Hyperlink" xfId="945" builtinId="8" hidden="1"/>
    <cellStyle name="Hyperlink" xfId="935" builtinId="8" hidden="1"/>
    <cellStyle name="Hyperlink" xfId="927" builtinId="8" hidden="1"/>
    <cellStyle name="Hyperlink" xfId="917" builtinId="8" hidden="1"/>
    <cellStyle name="Hyperlink" xfId="909" builtinId="8" hidden="1"/>
    <cellStyle name="Hyperlink" xfId="899" builtinId="8" hidden="1"/>
    <cellStyle name="Hyperlink" xfId="889" builtinId="8" hidden="1"/>
    <cellStyle name="Hyperlink" xfId="881" builtinId="8" hidden="1"/>
    <cellStyle name="Hyperlink" xfId="871" builtinId="8" hidden="1"/>
    <cellStyle name="Hyperlink" xfId="863" builtinId="8" hidden="1"/>
    <cellStyle name="Hyperlink" xfId="853" builtinId="8" hidden="1"/>
    <cellStyle name="Hyperlink" xfId="845" builtinId="8" hidden="1"/>
    <cellStyle name="Hyperlink" xfId="835" builtinId="8" hidden="1"/>
    <cellStyle name="Hyperlink" xfId="825" builtinId="8" hidden="1"/>
    <cellStyle name="Hyperlink" xfId="817" builtinId="8" hidden="1"/>
    <cellStyle name="Hyperlink" xfId="807" builtinId="8" hidden="1"/>
    <cellStyle name="Hyperlink" xfId="799" builtinId="8" hidden="1"/>
    <cellStyle name="Hyperlink" xfId="789" builtinId="8" hidden="1"/>
    <cellStyle name="Hyperlink" xfId="781" builtinId="8" hidden="1"/>
    <cellStyle name="Hyperlink" xfId="771" builtinId="8" hidden="1"/>
    <cellStyle name="Hyperlink" xfId="761" builtinId="8" hidden="1"/>
    <cellStyle name="Hyperlink" xfId="753" builtinId="8" hidden="1"/>
    <cellStyle name="Hyperlink" xfId="743" builtinId="8" hidden="1"/>
    <cellStyle name="Hyperlink" xfId="735" builtinId="8" hidden="1"/>
    <cellStyle name="Hyperlink" xfId="725" builtinId="8" hidden="1"/>
    <cellStyle name="Hyperlink" xfId="717" builtinId="8" hidden="1"/>
    <cellStyle name="Hyperlink" xfId="707" builtinId="8" hidden="1"/>
    <cellStyle name="Hyperlink" xfId="697" builtinId="8" hidden="1"/>
    <cellStyle name="Hyperlink" xfId="689" builtinId="8" hidden="1"/>
    <cellStyle name="Hyperlink" xfId="679" builtinId="8" hidden="1"/>
    <cellStyle name="Hyperlink" xfId="671" builtinId="8" hidden="1"/>
    <cellStyle name="Hyperlink" xfId="661" builtinId="8" hidden="1"/>
    <cellStyle name="Hyperlink" xfId="653" builtinId="8" hidden="1"/>
    <cellStyle name="Hyperlink" xfId="643" builtinId="8" hidden="1"/>
    <cellStyle name="Hyperlink" xfId="633" builtinId="8" hidden="1"/>
    <cellStyle name="Hyperlink" xfId="625" builtinId="8" hidden="1"/>
    <cellStyle name="Hyperlink" xfId="615" builtinId="8" hidden="1"/>
    <cellStyle name="Hyperlink" xfId="607" builtinId="8" hidden="1"/>
    <cellStyle name="Hyperlink" xfId="597" builtinId="8" hidden="1"/>
    <cellStyle name="Hyperlink" xfId="589" builtinId="8" hidden="1"/>
    <cellStyle name="Hyperlink" xfId="579" builtinId="8" hidden="1"/>
    <cellStyle name="Hyperlink" xfId="569" builtinId="8" hidden="1"/>
    <cellStyle name="Hyperlink" xfId="561" builtinId="8" hidden="1"/>
    <cellStyle name="Hyperlink" xfId="551" builtinId="8" hidden="1"/>
    <cellStyle name="Hyperlink" xfId="543" builtinId="8" hidden="1"/>
    <cellStyle name="Hyperlink" xfId="533" builtinId="8" hidden="1"/>
    <cellStyle name="Hyperlink" xfId="525" builtinId="8" hidden="1"/>
    <cellStyle name="Hyperlink" xfId="515" builtinId="8" hidden="1"/>
    <cellStyle name="Hyperlink" xfId="1155" builtinId="8" hidden="1"/>
    <cellStyle name="Hyperlink" xfId="1187" builtinId="8" hidden="1"/>
    <cellStyle name="Hyperlink" xfId="1219" builtinId="8" hidden="1"/>
    <cellStyle name="Hyperlink" xfId="1251" builtinId="8" hidden="1"/>
    <cellStyle name="Hyperlink" xfId="1283" builtinId="8" hidden="1"/>
    <cellStyle name="Hyperlink" xfId="1315" builtinId="8" hidden="1"/>
    <cellStyle name="Hyperlink" xfId="1347" builtinId="8" hidden="1"/>
    <cellStyle name="Hyperlink" xfId="1379" builtinId="8" hidden="1"/>
    <cellStyle name="Hyperlink" xfId="1411" builtinId="8" hidden="1"/>
    <cellStyle name="Hyperlink" xfId="1443" builtinId="8" hidden="1"/>
    <cellStyle name="Hyperlink" xfId="1475" builtinId="8" hidden="1"/>
    <cellStyle name="Hyperlink" xfId="1507" builtinId="8" hidden="1"/>
    <cellStyle name="Hyperlink" xfId="1539" builtinId="8" hidden="1"/>
    <cellStyle name="Hyperlink" xfId="1571" builtinId="8" hidden="1"/>
    <cellStyle name="Hyperlink" xfId="1603" builtinId="8" hidden="1"/>
    <cellStyle name="Hyperlink" xfId="1635" builtinId="8" hidden="1"/>
    <cellStyle name="Hyperlink" xfId="1667" builtinId="8" hidden="1"/>
    <cellStyle name="Hyperlink" xfId="1699" builtinId="8" hidden="1"/>
    <cellStyle name="Hyperlink" xfId="1731" builtinId="8" hidden="1"/>
    <cellStyle name="Hyperlink" xfId="1763" builtinId="8" hidden="1"/>
    <cellStyle name="Hyperlink" xfId="1795" builtinId="8" hidden="1"/>
    <cellStyle name="Hyperlink" xfId="1827" builtinId="8" hidden="1"/>
    <cellStyle name="Hyperlink" xfId="1859" builtinId="8" hidden="1"/>
    <cellStyle name="Hyperlink" xfId="1891" builtinId="8" hidden="1"/>
    <cellStyle name="Hyperlink" xfId="1923" builtinId="8" hidden="1"/>
    <cellStyle name="Hyperlink" xfId="1955" builtinId="8" hidden="1"/>
    <cellStyle name="Hyperlink" xfId="1987" builtinId="8" hidden="1"/>
    <cellStyle name="Hyperlink" xfId="2019" builtinId="8" hidden="1"/>
    <cellStyle name="Hyperlink" xfId="2051" builtinId="8" hidden="1"/>
    <cellStyle name="Hyperlink" xfId="2083" builtinId="8" hidden="1"/>
    <cellStyle name="Hyperlink" xfId="2115" builtinId="8" hidden="1"/>
    <cellStyle name="Hyperlink" xfId="2147" builtinId="8" hidden="1"/>
    <cellStyle name="Hyperlink" xfId="2179" builtinId="8" hidden="1"/>
    <cellStyle name="Hyperlink" xfId="2211" builtinId="8" hidden="1"/>
    <cellStyle name="Hyperlink" xfId="2243" builtinId="8" hidden="1"/>
    <cellStyle name="Hyperlink" xfId="2275" builtinId="8" hidden="1"/>
    <cellStyle name="Hyperlink" xfId="2307" builtinId="8" hidden="1"/>
    <cellStyle name="Hyperlink" xfId="2339" builtinId="8" hidden="1"/>
    <cellStyle name="Hyperlink" xfId="2371" builtinId="8" hidden="1"/>
    <cellStyle name="Hyperlink" xfId="2403" builtinId="8" hidden="1"/>
    <cellStyle name="Hyperlink" xfId="2435" builtinId="8" hidden="1"/>
    <cellStyle name="Hyperlink" xfId="2467" builtinId="8" hidden="1"/>
    <cellStyle name="Hyperlink" xfId="2499" builtinId="8" hidden="1"/>
    <cellStyle name="Hyperlink" xfId="2640" builtinId="8" hidden="1"/>
    <cellStyle name="Hyperlink" xfId="2672" builtinId="8" hidden="1"/>
    <cellStyle name="Hyperlink" xfId="2704" builtinId="8" hidden="1"/>
    <cellStyle name="Hyperlink" xfId="2736" builtinId="8" hidden="1"/>
    <cellStyle name="Hyperlink" xfId="2768" builtinId="8" hidden="1"/>
    <cellStyle name="Hyperlink" xfId="2800" builtinId="8" hidden="1"/>
    <cellStyle name="Hyperlink" xfId="2832" builtinId="8" hidden="1"/>
    <cellStyle name="Hyperlink" xfId="2864" builtinId="8" hidden="1"/>
    <cellStyle name="Hyperlink" xfId="2896" builtinId="8" hidden="1"/>
    <cellStyle name="Hyperlink" xfId="2928" builtinId="8" hidden="1"/>
    <cellStyle name="Hyperlink" xfId="2960" builtinId="8" hidden="1"/>
    <cellStyle name="Hyperlink" xfId="2992" builtinId="8" hidden="1"/>
    <cellStyle name="Hyperlink" xfId="3024" builtinId="8" hidden="1"/>
    <cellStyle name="Hyperlink" xfId="3056" builtinId="8" hidden="1"/>
    <cellStyle name="Hyperlink" xfId="3088" builtinId="8" hidden="1"/>
    <cellStyle name="Hyperlink" xfId="3120" builtinId="8" hidden="1"/>
    <cellStyle name="Hyperlink" xfId="3152" builtinId="8" hidden="1"/>
    <cellStyle name="Hyperlink" xfId="3184" builtinId="8" hidden="1"/>
    <cellStyle name="Hyperlink" xfId="3216" builtinId="8" hidden="1"/>
    <cellStyle name="Hyperlink" xfId="3248" builtinId="8" hidden="1"/>
    <cellStyle name="Hyperlink" xfId="3280" builtinId="8" hidden="1"/>
    <cellStyle name="Hyperlink" xfId="3312" builtinId="8" hidden="1"/>
    <cellStyle name="Hyperlink" xfId="3318" builtinId="8" hidden="1"/>
    <cellStyle name="Hyperlink" xfId="3308" builtinId="8" hidden="1"/>
    <cellStyle name="Hyperlink" xfId="3298" builtinId="8" hidden="1"/>
    <cellStyle name="Hyperlink" xfId="3286" builtinId="8" hidden="1"/>
    <cellStyle name="Hyperlink" xfId="3276" builtinId="8" hidden="1"/>
    <cellStyle name="Hyperlink" xfId="3266" builtinId="8" hidden="1"/>
    <cellStyle name="Hyperlink" xfId="3254" builtinId="8" hidden="1"/>
    <cellStyle name="Hyperlink" xfId="3244" builtinId="8" hidden="1"/>
    <cellStyle name="Hyperlink" xfId="3234" builtinId="8" hidden="1"/>
    <cellStyle name="Hyperlink" xfId="3222" builtinId="8" hidden="1"/>
    <cellStyle name="Hyperlink" xfId="3212" builtinId="8" hidden="1"/>
    <cellStyle name="Hyperlink" xfId="3202" builtinId="8" hidden="1"/>
    <cellStyle name="Hyperlink" xfId="3190" builtinId="8" hidden="1"/>
    <cellStyle name="Hyperlink" xfId="3180" builtinId="8" hidden="1"/>
    <cellStyle name="Hyperlink" xfId="3170" builtinId="8" hidden="1"/>
    <cellStyle name="Hyperlink" xfId="3158" builtinId="8" hidden="1"/>
    <cellStyle name="Hyperlink" xfId="3148" builtinId="8" hidden="1"/>
    <cellStyle name="Hyperlink" xfId="3138" builtinId="8" hidden="1"/>
    <cellStyle name="Hyperlink" xfId="3126" builtinId="8" hidden="1"/>
    <cellStyle name="Hyperlink" xfId="3116" builtinId="8" hidden="1"/>
    <cellStyle name="Hyperlink" xfId="3106" builtinId="8" hidden="1"/>
    <cellStyle name="Hyperlink" xfId="3094" builtinId="8" hidden="1"/>
    <cellStyle name="Hyperlink" xfId="3084" builtinId="8" hidden="1"/>
    <cellStyle name="Hyperlink" xfId="3074" builtinId="8" hidden="1"/>
    <cellStyle name="Hyperlink" xfId="3062" builtinId="8" hidden="1"/>
    <cellStyle name="Hyperlink" xfId="3052" builtinId="8" hidden="1"/>
    <cellStyle name="Hyperlink" xfId="3042" builtinId="8" hidden="1"/>
    <cellStyle name="Hyperlink" xfId="3030" builtinId="8" hidden="1"/>
    <cellStyle name="Hyperlink" xfId="3020" builtinId="8" hidden="1"/>
    <cellStyle name="Hyperlink" xfId="3010" builtinId="8" hidden="1"/>
    <cellStyle name="Hyperlink" xfId="2998" builtinId="8" hidden="1"/>
    <cellStyle name="Hyperlink" xfId="2988" builtinId="8" hidden="1"/>
    <cellStyle name="Hyperlink" xfId="2978" builtinId="8" hidden="1"/>
    <cellStyle name="Hyperlink" xfId="2966" builtinId="8" hidden="1"/>
    <cellStyle name="Hyperlink" xfId="2956" builtinId="8" hidden="1"/>
    <cellStyle name="Hyperlink" xfId="2946" builtinId="8" hidden="1"/>
    <cellStyle name="Hyperlink" xfId="2934" builtinId="8" hidden="1"/>
    <cellStyle name="Hyperlink" xfId="2924" builtinId="8" hidden="1"/>
    <cellStyle name="Hyperlink" xfId="2914" builtinId="8" hidden="1"/>
    <cellStyle name="Hyperlink" xfId="2902" builtinId="8" hidden="1"/>
    <cellStyle name="Hyperlink" xfId="2892" builtinId="8" hidden="1"/>
    <cellStyle name="Hyperlink" xfId="2882" builtinId="8" hidden="1"/>
    <cellStyle name="Hyperlink" xfId="2870" builtinId="8" hidden="1"/>
    <cellStyle name="Hyperlink" xfId="2860" builtinId="8" hidden="1"/>
    <cellStyle name="Hyperlink" xfId="2850" builtinId="8" hidden="1"/>
    <cellStyle name="Hyperlink" xfId="2838" builtinId="8" hidden="1"/>
    <cellStyle name="Hyperlink" xfId="2828" builtinId="8" hidden="1"/>
    <cellStyle name="Hyperlink" xfId="2818" builtinId="8" hidden="1"/>
    <cellStyle name="Hyperlink" xfId="2806" builtinId="8" hidden="1"/>
    <cellStyle name="Hyperlink" xfId="2796" builtinId="8" hidden="1"/>
    <cellStyle name="Hyperlink" xfId="2786" builtinId="8" hidden="1"/>
    <cellStyle name="Hyperlink" xfId="2774" builtinId="8" hidden="1"/>
    <cellStyle name="Hyperlink" xfId="2764" builtinId="8" hidden="1"/>
    <cellStyle name="Hyperlink" xfId="2754" builtinId="8" hidden="1"/>
    <cellStyle name="Hyperlink" xfId="2742" builtinId="8" hidden="1"/>
    <cellStyle name="Hyperlink" xfId="1785" builtinId="8" hidden="1"/>
    <cellStyle name="Hyperlink" xfId="1789" builtinId="8" hidden="1"/>
    <cellStyle name="Hyperlink" xfId="1791" builtinId="8" hidden="1"/>
    <cellStyle name="Hyperlink" xfId="1793" builtinId="8" hidden="1"/>
    <cellStyle name="Hyperlink" xfId="1797" builtinId="8" hidden="1"/>
    <cellStyle name="Hyperlink" xfId="1799" builtinId="8" hidden="1"/>
    <cellStyle name="Hyperlink" xfId="1805" builtinId="8" hidden="1"/>
    <cellStyle name="Hyperlink" xfId="1807" builtinId="8" hidden="1"/>
    <cellStyle name="Hyperlink" xfId="1809" builtinId="8" hidden="1"/>
    <cellStyle name="Hyperlink" xfId="1813" builtinId="8" hidden="1"/>
    <cellStyle name="Hyperlink" xfId="1815" builtinId="8" hidden="1"/>
    <cellStyle name="Hyperlink" xfId="1817" builtinId="8" hidden="1"/>
    <cellStyle name="Hyperlink" xfId="1821" builtinId="8" hidden="1"/>
    <cellStyle name="Hyperlink" xfId="1825" builtinId="8" hidden="1"/>
    <cellStyle name="Hyperlink" xfId="1829" builtinId="8" hidden="1"/>
    <cellStyle name="Hyperlink" xfId="1831" builtinId="8" hidden="1"/>
    <cellStyle name="Hyperlink" xfId="1833" builtinId="8" hidden="1"/>
    <cellStyle name="Hyperlink" xfId="1837" builtinId="8" hidden="1"/>
    <cellStyle name="Hyperlink" xfId="1839" builtinId="8" hidden="1"/>
    <cellStyle name="Hyperlink" xfId="1841" builtinId="8" hidden="1"/>
    <cellStyle name="Hyperlink" xfId="1847" builtinId="8" hidden="1"/>
    <cellStyle name="Hyperlink" xfId="1849" builtinId="8" hidden="1"/>
    <cellStyle name="Hyperlink" xfId="1853" builtinId="8" hidden="1"/>
    <cellStyle name="Hyperlink" xfId="1855" builtinId="8" hidden="1"/>
    <cellStyle name="Hyperlink" xfId="1857" builtinId="8" hidden="1"/>
    <cellStyle name="Hyperlink" xfId="1861" builtinId="8" hidden="1"/>
    <cellStyle name="Hyperlink" xfId="1863" builtinId="8" hidden="1"/>
    <cellStyle name="Hyperlink" xfId="1869" builtinId="8" hidden="1"/>
    <cellStyle name="Hyperlink" xfId="1871" builtinId="8" hidden="1"/>
    <cellStyle name="Hyperlink" xfId="1873" builtinId="8" hidden="1"/>
    <cellStyle name="Hyperlink" xfId="1877" builtinId="8" hidden="1"/>
    <cellStyle name="Hyperlink" xfId="1879" builtinId="8" hidden="1"/>
    <cellStyle name="Hyperlink" xfId="1881" builtinId="8" hidden="1"/>
    <cellStyle name="Hyperlink" xfId="1885" builtinId="8" hidden="1"/>
    <cellStyle name="Hyperlink" xfId="1889" builtinId="8" hidden="1"/>
    <cellStyle name="Hyperlink" xfId="1893" builtinId="8" hidden="1"/>
    <cellStyle name="Hyperlink" xfId="1895" builtinId="8" hidden="1"/>
    <cellStyle name="Hyperlink" xfId="1897" builtinId="8" hidden="1"/>
    <cellStyle name="Hyperlink" xfId="1901" builtinId="8" hidden="1"/>
    <cellStyle name="Hyperlink" xfId="1903" builtinId="8" hidden="1"/>
    <cellStyle name="Hyperlink" xfId="1905" builtinId="8" hidden="1"/>
    <cellStyle name="Hyperlink" xfId="1911" builtinId="8" hidden="1"/>
    <cellStyle name="Hyperlink" xfId="1913" builtinId="8" hidden="1"/>
    <cellStyle name="Hyperlink" xfId="1917" builtinId="8" hidden="1"/>
    <cellStyle name="Hyperlink" xfId="1919" builtinId="8" hidden="1"/>
    <cellStyle name="Hyperlink" xfId="1921" builtinId="8" hidden="1"/>
    <cellStyle name="Hyperlink" xfId="1925" builtinId="8" hidden="1"/>
    <cellStyle name="Hyperlink" xfId="1927" builtinId="8" hidden="1"/>
    <cellStyle name="Hyperlink" xfId="1933" builtinId="8" hidden="1"/>
    <cellStyle name="Hyperlink" xfId="1935" builtinId="8" hidden="1"/>
    <cellStyle name="Hyperlink" xfId="1937" builtinId="8" hidden="1"/>
    <cellStyle name="Hyperlink" xfId="1941" builtinId="8" hidden="1"/>
    <cellStyle name="Hyperlink" xfId="1943" builtinId="8" hidden="1"/>
    <cellStyle name="Hyperlink" xfId="1945" builtinId="8" hidden="1"/>
    <cellStyle name="Hyperlink" xfId="1949" builtinId="8" hidden="1"/>
    <cellStyle name="Hyperlink" xfId="1953" builtinId="8" hidden="1"/>
    <cellStyle name="Hyperlink" xfId="1957" builtinId="8" hidden="1"/>
    <cellStyle name="Hyperlink" xfId="1959" builtinId="8" hidden="1"/>
    <cellStyle name="Hyperlink" xfId="1961" builtinId="8" hidden="1"/>
    <cellStyle name="Hyperlink" xfId="1965" builtinId="8" hidden="1"/>
    <cellStyle name="Hyperlink" xfId="1967" builtinId="8" hidden="1"/>
    <cellStyle name="Hyperlink" xfId="1969" builtinId="8" hidden="1"/>
    <cellStyle name="Hyperlink" xfId="1975" builtinId="8" hidden="1"/>
    <cellStyle name="Hyperlink" xfId="1977" builtinId="8" hidden="1"/>
    <cellStyle name="Hyperlink" xfId="1981" builtinId="8" hidden="1"/>
    <cellStyle name="Hyperlink" xfId="1983" builtinId="8" hidden="1"/>
    <cellStyle name="Hyperlink" xfId="1985" builtinId="8" hidden="1"/>
    <cellStyle name="Hyperlink" xfId="1989" builtinId="8" hidden="1"/>
    <cellStyle name="Hyperlink" xfId="1991" builtinId="8" hidden="1"/>
    <cellStyle name="Hyperlink" xfId="1997" builtinId="8" hidden="1"/>
    <cellStyle name="Hyperlink" xfId="1999" builtinId="8" hidden="1"/>
    <cellStyle name="Hyperlink" xfId="2001" builtinId="8" hidden="1"/>
    <cellStyle name="Hyperlink" xfId="2005" builtinId="8" hidden="1"/>
    <cellStyle name="Hyperlink" xfId="2007" builtinId="8" hidden="1"/>
    <cellStyle name="Hyperlink" xfId="2009" builtinId="8" hidden="1"/>
    <cellStyle name="Hyperlink" xfId="2013" builtinId="8" hidden="1"/>
    <cellStyle name="Hyperlink" xfId="2017" builtinId="8" hidden="1"/>
    <cellStyle name="Hyperlink" xfId="2021" builtinId="8" hidden="1"/>
    <cellStyle name="Hyperlink" xfId="2023" builtinId="8" hidden="1"/>
    <cellStyle name="Hyperlink" xfId="2025" builtinId="8" hidden="1"/>
    <cellStyle name="Hyperlink" xfId="2029" builtinId="8" hidden="1"/>
    <cellStyle name="Hyperlink" xfId="2031" builtinId="8" hidden="1"/>
    <cellStyle name="Hyperlink" xfId="2033" builtinId="8" hidden="1"/>
    <cellStyle name="Hyperlink" xfId="2039" builtinId="8" hidden="1"/>
    <cellStyle name="Hyperlink" xfId="2041" builtinId="8" hidden="1"/>
    <cellStyle name="Hyperlink" xfId="2045" builtinId="8" hidden="1"/>
    <cellStyle name="Hyperlink" xfId="2047" builtinId="8" hidden="1"/>
    <cellStyle name="Hyperlink" xfId="2049" builtinId="8" hidden="1"/>
    <cellStyle name="Hyperlink" xfId="2053" builtinId="8" hidden="1"/>
    <cellStyle name="Hyperlink" xfId="2055" builtinId="8" hidden="1"/>
    <cellStyle name="Hyperlink" xfId="2061" builtinId="8" hidden="1"/>
    <cellStyle name="Hyperlink" xfId="2063" builtinId="8" hidden="1"/>
    <cellStyle name="Hyperlink" xfId="2065" builtinId="8" hidden="1"/>
    <cellStyle name="Hyperlink" xfId="2069" builtinId="8" hidden="1"/>
    <cellStyle name="Hyperlink" xfId="2071" builtinId="8" hidden="1"/>
    <cellStyle name="Hyperlink" xfId="2073" builtinId="8" hidden="1"/>
    <cellStyle name="Hyperlink" xfId="2077" builtinId="8" hidden="1"/>
    <cellStyle name="Hyperlink" xfId="2081" builtinId="8" hidden="1"/>
    <cellStyle name="Hyperlink" xfId="2085" builtinId="8" hidden="1"/>
    <cellStyle name="Hyperlink" xfId="2087" builtinId="8" hidden="1"/>
    <cellStyle name="Hyperlink" xfId="2089" builtinId="8" hidden="1"/>
    <cellStyle name="Hyperlink" xfId="2093" builtinId="8" hidden="1"/>
    <cellStyle name="Hyperlink" xfId="2095" builtinId="8" hidden="1"/>
    <cellStyle name="Hyperlink" xfId="2097" builtinId="8" hidden="1"/>
    <cellStyle name="Hyperlink" xfId="2103" builtinId="8" hidden="1"/>
    <cellStyle name="Hyperlink" xfId="2105" builtinId="8" hidden="1"/>
    <cellStyle name="Hyperlink" xfId="2109" builtinId="8" hidden="1"/>
    <cellStyle name="Hyperlink" xfId="2111" builtinId="8" hidden="1"/>
    <cellStyle name="Hyperlink" xfId="2113" builtinId="8" hidden="1"/>
    <cellStyle name="Hyperlink" xfId="2117" builtinId="8" hidden="1"/>
    <cellStyle name="Hyperlink" xfId="2119" builtinId="8" hidden="1"/>
    <cellStyle name="Hyperlink" xfId="2125" builtinId="8" hidden="1"/>
    <cellStyle name="Hyperlink" xfId="2127" builtinId="8" hidden="1"/>
    <cellStyle name="Hyperlink" xfId="2129" builtinId="8" hidden="1"/>
    <cellStyle name="Hyperlink" xfId="2133" builtinId="8" hidden="1"/>
    <cellStyle name="Hyperlink" xfId="2135" builtinId="8" hidden="1"/>
    <cellStyle name="Hyperlink" xfId="2137" builtinId="8" hidden="1"/>
    <cellStyle name="Hyperlink" xfId="2141" builtinId="8" hidden="1"/>
    <cellStyle name="Hyperlink" xfId="2145" builtinId="8" hidden="1"/>
    <cellStyle name="Hyperlink" xfId="2149" builtinId="8" hidden="1"/>
    <cellStyle name="Hyperlink" xfId="2151" builtinId="8" hidden="1"/>
    <cellStyle name="Hyperlink" xfId="2153" builtinId="8" hidden="1"/>
    <cellStyle name="Hyperlink" xfId="2157" builtinId="8" hidden="1"/>
    <cellStyle name="Hyperlink" xfId="2159" builtinId="8" hidden="1"/>
    <cellStyle name="Hyperlink" xfId="2161" builtinId="8" hidden="1"/>
    <cellStyle name="Hyperlink" xfId="2167" builtinId="8" hidden="1"/>
    <cellStyle name="Hyperlink" xfId="2169" builtinId="8" hidden="1"/>
    <cellStyle name="Hyperlink" xfId="2173" builtinId="8" hidden="1"/>
    <cellStyle name="Hyperlink" xfId="2175" builtinId="8" hidden="1"/>
    <cellStyle name="Hyperlink" xfId="2177" builtinId="8" hidden="1"/>
    <cellStyle name="Hyperlink" xfId="2181" builtinId="8" hidden="1"/>
    <cellStyle name="Hyperlink" xfId="2183" builtinId="8" hidden="1"/>
    <cellStyle name="Hyperlink" xfId="2189" builtinId="8" hidden="1"/>
    <cellStyle name="Hyperlink" xfId="2191" builtinId="8" hidden="1"/>
    <cellStyle name="Hyperlink" xfId="2193" builtinId="8" hidden="1"/>
    <cellStyle name="Hyperlink" xfId="2197" builtinId="8" hidden="1"/>
    <cellStyle name="Hyperlink" xfId="2199" builtinId="8" hidden="1"/>
    <cellStyle name="Hyperlink" xfId="2201" builtinId="8" hidden="1"/>
    <cellStyle name="Hyperlink" xfId="2205" builtinId="8" hidden="1"/>
    <cellStyle name="Hyperlink" xfId="2209" builtinId="8" hidden="1"/>
    <cellStyle name="Hyperlink" xfId="2213" builtinId="8" hidden="1"/>
    <cellStyle name="Hyperlink" xfId="2215" builtinId="8" hidden="1"/>
    <cellStyle name="Hyperlink" xfId="2217" builtinId="8" hidden="1"/>
    <cellStyle name="Hyperlink" xfId="2221" builtinId="8" hidden="1"/>
    <cellStyle name="Hyperlink" xfId="2223" builtinId="8" hidden="1"/>
    <cellStyle name="Hyperlink" xfId="2225" builtinId="8" hidden="1"/>
    <cellStyle name="Hyperlink" xfId="2231" builtinId="8" hidden="1"/>
    <cellStyle name="Hyperlink" xfId="2233" builtinId="8" hidden="1"/>
    <cellStyle name="Hyperlink" xfId="2237" builtinId="8" hidden="1"/>
    <cellStyle name="Hyperlink" xfId="2239" builtinId="8" hidden="1"/>
    <cellStyle name="Hyperlink" xfId="2241" builtinId="8" hidden="1"/>
    <cellStyle name="Hyperlink" xfId="2245" builtinId="8" hidden="1"/>
    <cellStyle name="Hyperlink" xfId="2247" builtinId="8" hidden="1"/>
    <cellStyle name="Hyperlink" xfId="2253" builtinId="8" hidden="1"/>
    <cellStyle name="Hyperlink" xfId="2255" builtinId="8" hidden="1"/>
    <cellStyle name="Hyperlink" xfId="2257" builtinId="8" hidden="1"/>
    <cellStyle name="Hyperlink" xfId="2261" builtinId="8" hidden="1"/>
    <cellStyle name="Hyperlink" xfId="2263" builtinId="8" hidden="1"/>
    <cellStyle name="Hyperlink" xfId="2265" builtinId="8" hidden="1"/>
    <cellStyle name="Hyperlink" xfId="2269" builtinId="8" hidden="1"/>
    <cellStyle name="Hyperlink" xfId="2273" builtinId="8" hidden="1"/>
    <cellStyle name="Hyperlink" xfId="2277" builtinId="8" hidden="1"/>
    <cellStyle name="Hyperlink" xfId="2279" builtinId="8" hidden="1"/>
    <cellStyle name="Hyperlink" xfId="2281" builtinId="8" hidden="1"/>
    <cellStyle name="Hyperlink" xfId="2285" builtinId="8" hidden="1"/>
    <cellStyle name="Hyperlink" xfId="2287" builtinId="8" hidden="1"/>
    <cellStyle name="Hyperlink" xfId="2289" builtinId="8" hidden="1"/>
    <cellStyle name="Hyperlink" xfId="2295" builtinId="8" hidden="1"/>
    <cellStyle name="Hyperlink" xfId="2297" builtinId="8" hidden="1"/>
    <cellStyle name="Hyperlink" xfId="2301" builtinId="8" hidden="1"/>
    <cellStyle name="Hyperlink" xfId="2303" builtinId="8" hidden="1"/>
    <cellStyle name="Hyperlink" xfId="2305" builtinId="8" hidden="1"/>
    <cellStyle name="Hyperlink" xfId="2309" builtinId="8" hidden="1"/>
    <cellStyle name="Hyperlink" xfId="2311" builtinId="8" hidden="1"/>
    <cellStyle name="Hyperlink" xfId="2317" builtinId="8" hidden="1"/>
    <cellStyle name="Hyperlink" xfId="2319" builtinId="8" hidden="1"/>
    <cellStyle name="Hyperlink" xfId="2321" builtinId="8" hidden="1"/>
    <cellStyle name="Hyperlink" xfId="2325" builtinId="8" hidden="1"/>
    <cellStyle name="Hyperlink" xfId="2327" builtinId="8" hidden="1"/>
    <cellStyle name="Hyperlink" xfId="2329" builtinId="8" hidden="1"/>
    <cellStyle name="Hyperlink" xfId="2333" builtinId="8" hidden="1"/>
    <cellStyle name="Hyperlink" xfId="2337" builtinId="8" hidden="1"/>
    <cellStyle name="Hyperlink" xfId="2341" builtinId="8" hidden="1"/>
    <cellStyle name="Hyperlink" xfId="2343" builtinId="8" hidden="1"/>
    <cellStyle name="Hyperlink" xfId="2345" builtinId="8" hidden="1"/>
    <cellStyle name="Hyperlink" xfId="2349" builtinId="8" hidden="1"/>
    <cellStyle name="Hyperlink" xfId="2351" builtinId="8" hidden="1"/>
    <cellStyle name="Hyperlink" xfId="2353" builtinId="8" hidden="1"/>
    <cellStyle name="Hyperlink" xfId="2359" builtinId="8" hidden="1"/>
    <cellStyle name="Hyperlink" xfId="2361" builtinId="8" hidden="1"/>
    <cellStyle name="Hyperlink" xfId="2365" builtinId="8" hidden="1"/>
    <cellStyle name="Hyperlink" xfId="2367" builtinId="8" hidden="1"/>
    <cellStyle name="Hyperlink" xfId="2369" builtinId="8" hidden="1"/>
    <cellStyle name="Hyperlink" xfId="2373" builtinId="8" hidden="1"/>
    <cellStyle name="Hyperlink" xfId="2375" builtinId="8" hidden="1"/>
    <cellStyle name="Hyperlink" xfId="2381" builtinId="8" hidden="1"/>
    <cellStyle name="Hyperlink" xfId="2383" builtinId="8" hidden="1"/>
    <cellStyle name="Hyperlink" xfId="2385" builtinId="8" hidden="1"/>
    <cellStyle name="Hyperlink" xfId="2389" builtinId="8" hidden="1"/>
    <cellStyle name="Hyperlink" xfId="2391" builtinId="8" hidden="1"/>
    <cellStyle name="Hyperlink" xfId="2393" builtinId="8" hidden="1"/>
    <cellStyle name="Hyperlink" xfId="2397" builtinId="8" hidden="1"/>
    <cellStyle name="Hyperlink" xfId="2401" builtinId="8" hidden="1"/>
    <cellStyle name="Hyperlink" xfId="2405" builtinId="8" hidden="1"/>
    <cellStyle name="Hyperlink" xfId="2407" builtinId="8" hidden="1"/>
    <cellStyle name="Hyperlink" xfId="2409" builtinId="8" hidden="1"/>
    <cellStyle name="Hyperlink" xfId="2413" builtinId="8" hidden="1"/>
    <cellStyle name="Hyperlink" xfId="2415" builtinId="8" hidden="1"/>
    <cellStyle name="Hyperlink" xfId="2417" builtinId="8" hidden="1"/>
    <cellStyle name="Hyperlink" xfId="2423" builtinId="8" hidden="1"/>
    <cellStyle name="Hyperlink" xfId="2425" builtinId="8" hidden="1"/>
    <cellStyle name="Hyperlink" xfId="2429" builtinId="8" hidden="1"/>
    <cellStyle name="Hyperlink" xfId="2431" builtinId="8" hidden="1"/>
    <cellStyle name="Hyperlink" xfId="2433" builtinId="8" hidden="1"/>
    <cellStyle name="Hyperlink" xfId="2437" builtinId="8" hidden="1"/>
    <cellStyle name="Hyperlink" xfId="2439" builtinId="8" hidden="1"/>
    <cellStyle name="Hyperlink" xfId="2445" builtinId="8" hidden="1"/>
    <cellStyle name="Hyperlink" xfId="2447" builtinId="8" hidden="1"/>
    <cellStyle name="Hyperlink" xfId="2449" builtinId="8" hidden="1"/>
    <cellStyle name="Hyperlink" xfId="2453" builtinId="8" hidden="1"/>
    <cellStyle name="Hyperlink" xfId="2455" builtinId="8" hidden="1"/>
    <cellStyle name="Hyperlink" xfId="2457" builtinId="8" hidden="1"/>
    <cellStyle name="Hyperlink" xfId="2461" builtinId="8" hidden="1"/>
    <cellStyle name="Hyperlink" xfId="2465" builtinId="8" hidden="1"/>
    <cellStyle name="Hyperlink" xfId="2469" builtinId="8" hidden="1"/>
    <cellStyle name="Hyperlink" xfId="2471" builtinId="8" hidden="1"/>
    <cellStyle name="Hyperlink" xfId="2473" builtinId="8" hidden="1"/>
    <cellStyle name="Hyperlink" xfId="2477" builtinId="8" hidden="1"/>
    <cellStyle name="Hyperlink" xfId="2479" builtinId="8" hidden="1"/>
    <cellStyle name="Hyperlink" xfId="2481" builtinId="8" hidden="1"/>
    <cellStyle name="Hyperlink" xfId="2487" builtinId="8" hidden="1"/>
    <cellStyle name="Hyperlink" xfId="2489" builtinId="8" hidden="1"/>
    <cellStyle name="Hyperlink" xfId="2493" builtinId="8" hidden="1"/>
    <cellStyle name="Hyperlink" xfId="2495" builtinId="8" hidden="1"/>
    <cellStyle name="Hyperlink" xfId="2497" builtinId="8" hidden="1"/>
    <cellStyle name="Hyperlink" xfId="2501" builtinId="8" hidden="1"/>
    <cellStyle name="Hyperlink" xfId="2503" builtinId="8" hidden="1"/>
    <cellStyle name="Hyperlink" xfId="2509" builtinId="8" hidden="1"/>
    <cellStyle name="Hyperlink" xfId="2512" builtinId="8" hidden="1"/>
    <cellStyle name="Hyperlink" xfId="2514" builtinId="8" hidden="1"/>
    <cellStyle name="Hyperlink" xfId="2626" builtinId="8" hidden="1"/>
    <cellStyle name="Hyperlink" xfId="2628" builtinId="8" hidden="1"/>
    <cellStyle name="Hyperlink" xfId="2630" builtinId="8" hidden="1"/>
    <cellStyle name="Hyperlink" xfId="2634" builtinId="8" hidden="1"/>
    <cellStyle name="Hyperlink" xfId="2638" builtinId="8" hidden="1"/>
    <cellStyle name="Hyperlink" xfId="2642" builtinId="8" hidden="1"/>
    <cellStyle name="Hyperlink" xfId="2644" builtinId="8" hidden="1"/>
    <cellStyle name="Hyperlink" xfId="2646" builtinId="8" hidden="1"/>
    <cellStyle name="Hyperlink" xfId="2650" builtinId="8" hidden="1"/>
    <cellStyle name="Hyperlink" xfId="2652" builtinId="8" hidden="1"/>
    <cellStyle name="Hyperlink" xfId="2654" builtinId="8" hidden="1"/>
    <cellStyle name="Hyperlink" xfId="2660" builtinId="8" hidden="1"/>
    <cellStyle name="Hyperlink" xfId="2662" builtinId="8" hidden="1"/>
    <cellStyle name="Hyperlink" xfId="2666" builtinId="8" hidden="1"/>
    <cellStyle name="Hyperlink" xfId="2668" builtinId="8" hidden="1"/>
    <cellStyle name="Hyperlink" xfId="2670" builtinId="8" hidden="1"/>
    <cellStyle name="Hyperlink" xfId="2674" builtinId="8" hidden="1"/>
    <cellStyle name="Hyperlink" xfId="2676" builtinId="8" hidden="1"/>
    <cellStyle name="Hyperlink" xfId="2682" builtinId="8" hidden="1"/>
    <cellStyle name="Hyperlink" xfId="2684" builtinId="8" hidden="1"/>
    <cellStyle name="Hyperlink" xfId="2686" builtinId="8" hidden="1"/>
    <cellStyle name="Hyperlink" xfId="2690" builtinId="8" hidden="1"/>
    <cellStyle name="Hyperlink" xfId="2692" builtinId="8" hidden="1"/>
    <cellStyle name="Hyperlink" xfId="2694" builtinId="8" hidden="1"/>
    <cellStyle name="Hyperlink" xfId="2698" builtinId="8" hidden="1"/>
    <cellStyle name="Hyperlink" xfId="2702" builtinId="8" hidden="1"/>
    <cellStyle name="Hyperlink" xfId="2706" builtinId="8" hidden="1"/>
    <cellStyle name="Hyperlink" xfId="2708" builtinId="8" hidden="1"/>
    <cellStyle name="Hyperlink" xfId="2710" builtinId="8" hidden="1"/>
    <cellStyle name="Hyperlink" xfId="2714" builtinId="8" hidden="1"/>
    <cellStyle name="Hyperlink" xfId="2716" builtinId="8" hidden="1"/>
    <cellStyle name="Hyperlink" xfId="2718" builtinId="8" hidden="1"/>
    <cellStyle name="Hyperlink" xfId="2724" builtinId="8" hidden="1"/>
    <cellStyle name="Hyperlink" xfId="2726" builtinId="8" hidden="1"/>
    <cellStyle name="Hyperlink" xfId="2730" builtinId="8" hidden="1"/>
    <cellStyle name="Hyperlink" xfId="2732" builtinId="8" hidden="1"/>
    <cellStyle name="Hyperlink" xfId="2734" builtinId="8" hidden="1"/>
    <cellStyle name="Hyperlink" xfId="2738" builtinId="8" hidden="1"/>
    <cellStyle name="Hyperlink" xfId="2740" builtinId="8" hidden="1"/>
    <cellStyle name="Hyperlink" xfId="2722" builtinId="8" hidden="1"/>
    <cellStyle name="Hyperlink" xfId="2700" builtinId="8" hidden="1"/>
    <cellStyle name="Hyperlink" xfId="2678" builtinId="8" hidden="1"/>
    <cellStyle name="Hyperlink" xfId="2658" builtinId="8" hidden="1"/>
    <cellStyle name="Hyperlink" xfId="2636" builtinId="8" hidden="1"/>
    <cellStyle name="Hyperlink" xfId="2505" builtinId="8" hidden="1"/>
    <cellStyle name="Hyperlink" xfId="2485" builtinId="8" hidden="1"/>
    <cellStyle name="Hyperlink" xfId="2463" builtinId="8" hidden="1"/>
    <cellStyle name="Hyperlink" xfId="2441" builtinId="8" hidden="1"/>
    <cellStyle name="Hyperlink" xfId="2421" builtinId="8" hidden="1"/>
    <cellStyle name="Hyperlink" xfId="2399" builtinId="8" hidden="1"/>
    <cellStyle name="Hyperlink" xfId="2377" builtinId="8" hidden="1"/>
    <cellStyle name="Hyperlink" xfId="2357" builtinId="8" hidden="1"/>
    <cellStyle name="Hyperlink" xfId="2335" builtinId="8" hidden="1"/>
    <cellStyle name="Hyperlink" xfId="2313" builtinId="8" hidden="1"/>
    <cellStyle name="Hyperlink" xfId="2293" builtinId="8" hidden="1"/>
    <cellStyle name="Hyperlink" xfId="2271" builtinId="8" hidden="1"/>
    <cellStyle name="Hyperlink" xfId="2249" builtinId="8" hidden="1"/>
    <cellStyle name="Hyperlink" xfId="2229" builtinId="8" hidden="1"/>
    <cellStyle name="Hyperlink" xfId="2207" builtinId="8" hidden="1"/>
    <cellStyle name="Hyperlink" xfId="2185" builtinId="8" hidden="1"/>
    <cellStyle name="Hyperlink" xfId="2165" builtinId="8" hidden="1"/>
    <cellStyle name="Hyperlink" xfId="2143" builtinId="8" hidden="1"/>
    <cellStyle name="Hyperlink" xfId="2121" builtinId="8" hidden="1"/>
    <cellStyle name="Hyperlink" xfId="2101" builtinId="8" hidden="1"/>
    <cellStyle name="Hyperlink" xfId="2079" builtinId="8" hidden="1"/>
    <cellStyle name="Hyperlink" xfId="2057" builtinId="8" hidden="1"/>
    <cellStyle name="Hyperlink" xfId="2037" builtinId="8" hidden="1"/>
    <cellStyle name="Hyperlink" xfId="2015" builtinId="8" hidden="1"/>
    <cellStyle name="Hyperlink" xfId="1993" builtinId="8" hidden="1"/>
    <cellStyle name="Hyperlink" xfId="1973" builtinId="8" hidden="1"/>
    <cellStyle name="Hyperlink" xfId="1951" builtinId="8" hidden="1"/>
    <cellStyle name="Hyperlink" xfId="1929" builtinId="8" hidden="1"/>
    <cellStyle name="Hyperlink" xfId="1909" builtinId="8" hidden="1"/>
    <cellStyle name="Hyperlink" xfId="1887" builtinId="8" hidden="1"/>
    <cellStyle name="Hyperlink" xfId="1865" builtinId="8" hidden="1"/>
    <cellStyle name="Hyperlink" xfId="1845" builtinId="8" hidden="1"/>
    <cellStyle name="Hyperlink" xfId="1823" builtinId="8" hidden="1"/>
    <cellStyle name="Hyperlink" xfId="1801" builtinId="8" hidden="1"/>
    <cellStyle name="Hyperlink" xfId="1445" builtinId="8" hidden="1"/>
    <cellStyle name="Hyperlink" xfId="1447" builtinId="8" hidden="1"/>
    <cellStyle name="Hyperlink" xfId="1449" builtinId="8" hidden="1"/>
    <cellStyle name="Hyperlink" xfId="1453" builtinId="8" hidden="1"/>
    <cellStyle name="Hyperlink" xfId="1455" builtinId="8" hidden="1"/>
    <cellStyle name="Hyperlink" xfId="1457" builtinId="8" hidden="1"/>
    <cellStyle name="Hyperlink" xfId="1463" builtinId="8" hidden="1"/>
    <cellStyle name="Hyperlink" xfId="1465" builtinId="8" hidden="1"/>
    <cellStyle name="Hyperlink" xfId="1469" builtinId="8" hidden="1"/>
    <cellStyle name="Hyperlink" xfId="1471" builtinId="8" hidden="1"/>
    <cellStyle name="Hyperlink" xfId="1473" builtinId="8" hidden="1"/>
    <cellStyle name="Hyperlink" xfId="1477" builtinId="8" hidden="1"/>
    <cellStyle name="Hyperlink" xfId="1479" builtinId="8" hidden="1"/>
    <cellStyle name="Hyperlink" xfId="1481" builtinId="8" hidden="1"/>
    <cellStyle name="Hyperlink" xfId="1485" builtinId="8" hidden="1"/>
    <cellStyle name="Hyperlink" xfId="1487" builtinId="8" hidden="1"/>
    <cellStyle name="Hyperlink" xfId="1489" builtinId="8" hidden="1"/>
    <cellStyle name="Hyperlink" xfId="1493" builtinId="8" hidden="1"/>
    <cellStyle name="Hyperlink" xfId="1495" builtinId="8" hidden="1"/>
    <cellStyle name="Hyperlink" xfId="1497" builtinId="8" hidden="1"/>
    <cellStyle name="Hyperlink" xfId="1501" builtinId="8" hidden="1"/>
    <cellStyle name="Hyperlink" xfId="1505" builtinId="8" hidden="1"/>
    <cellStyle name="Hyperlink" xfId="1509" builtinId="8" hidden="1"/>
    <cellStyle name="Hyperlink" xfId="1511" builtinId="8" hidden="1"/>
    <cellStyle name="Hyperlink" xfId="1513" builtinId="8" hidden="1"/>
    <cellStyle name="Hyperlink" xfId="1517" builtinId="8" hidden="1"/>
    <cellStyle name="Hyperlink" xfId="1519" builtinId="8" hidden="1"/>
    <cellStyle name="Hyperlink" xfId="1521" builtinId="8" hidden="1"/>
    <cellStyle name="Hyperlink" xfId="1525" builtinId="8" hidden="1"/>
    <cellStyle name="Hyperlink" xfId="1527" builtinId="8" hidden="1"/>
    <cellStyle name="Hyperlink" xfId="1529" builtinId="8" hidden="1"/>
    <cellStyle name="Hyperlink" xfId="1533" builtinId="8" hidden="1"/>
    <cellStyle name="Hyperlink" xfId="1535" builtinId="8" hidden="1"/>
    <cellStyle name="Hyperlink" xfId="1537" builtinId="8" hidden="1"/>
    <cellStyle name="Hyperlink" xfId="1541" builtinId="8" hidden="1"/>
    <cellStyle name="Hyperlink" xfId="1543" builtinId="8" hidden="1"/>
    <cellStyle name="Hyperlink" xfId="1549" builtinId="8" hidden="1"/>
    <cellStyle name="Hyperlink" xfId="1551" builtinId="8" hidden="1"/>
    <cellStyle name="Hyperlink" xfId="1553" builtinId="8" hidden="1"/>
    <cellStyle name="Hyperlink" xfId="1557" builtinId="8" hidden="1"/>
    <cellStyle name="Hyperlink" xfId="1559" builtinId="8" hidden="1"/>
    <cellStyle name="Hyperlink" xfId="1561" builtinId="8" hidden="1"/>
    <cellStyle name="Hyperlink" xfId="1565" builtinId="8" hidden="1"/>
    <cellStyle name="Hyperlink" xfId="1567" builtinId="8" hidden="1"/>
    <cellStyle name="Hyperlink" xfId="1569" builtinId="8" hidden="1"/>
    <cellStyle name="Hyperlink" xfId="1573" builtinId="8" hidden="1"/>
    <cellStyle name="Hyperlink" xfId="1575" builtinId="8" hidden="1"/>
    <cellStyle name="Hyperlink" xfId="1577" builtinId="8" hidden="1"/>
    <cellStyle name="Hyperlink" xfId="1581" builtinId="8" hidden="1"/>
    <cellStyle name="Hyperlink" xfId="1583" builtinId="8" hidden="1"/>
    <cellStyle name="Hyperlink" xfId="1585" builtinId="8" hidden="1"/>
    <cellStyle name="Hyperlink" xfId="1591" builtinId="8" hidden="1"/>
    <cellStyle name="Hyperlink" xfId="1593" builtinId="8" hidden="1"/>
    <cellStyle name="Hyperlink" xfId="1597" builtinId="8" hidden="1"/>
    <cellStyle name="Hyperlink" xfId="1599" builtinId="8" hidden="1"/>
    <cellStyle name="Hyperlink" xfId="1601" builtinId="8" hidden="1"/>
    <cellStyle name="Hyperlink" xfId="1605" builtinId="8" hidden="1"/>
    <cellStyle name="Hyperlink" xfId="1607" builtinId="8" hidden="1"/>
    <cellStyle name="Hyperlink" xfId="1609" builtinId="8" hidden="1"/>
    <cellStyle name="Hyperlink" xfId="1613" builtinId="8" hidden="1"/>
    <cellStyle name="Hyperlink" xfId="1615" builtinId="8" hidden="1"/>
    <cellStyle name="Hyperlink" xfId="1617" builtinId="8" hidden="1"/>
    <cellStyle name="Hyperlink" xfId="1621" builtinId="8" hidden="1"/>
    <cellStyle name="Hyperlink" xfId="1623" builtinId="8" hidden="1"/>
    <cellStyle name="Hyperlink" xfId="1625" builtinId="8" hidden="1"/>
    <cellStyle name="Hyperlink" xfId="1629" builtinId="8" hidden="1"/>
    <cellStyle name="Hyperlink" xfId="1633" builtinId="8" hidden="1"/>
    <cellStyle name="Hyperlink" xfId="1637" builtinId="8" hidden="1"/>
    <cellStyle name="Hyperlink" xfId="1639" builtinId="8" hidden="1"/>
    <cellStyle name="Hyperlink" xfId="1641" builtinId="8" hidden="1"/>
    <cellStyle name="Hyperlink" xfId="1645" builtinId="8" hidden="1"/>
    <cellStyle name="Hyperlink" xfId="1647" builtinId="8" hidden="1"/>
    <cellStyle name="Hyperlink" xfId="1649" builtinId="8" hidden="1"/>
    <cellStyle name="Hyperlink" xfId="1653" builtinId="8" hidden="1"/>
    <cellStyle name="Hyperlink" xfId="1655" builtinId="8" hidden="1"/>
    <cellStyle name="Hyperlink" xfId="1657" builtinId="8" hidden="1"/>
    <cellStyle name="Hyperlink" xfId="1661" builtinId="8" hidden="1"/>
    <cellStyle name="Hyperlink" xfId="1663" builtinId="8" hidden="1"/>
    <cellStyle name="Hyperlink" xfId="1665" builtinId="8" hidden="1"/>
    <cellStyle name="Hyperlink" xfId="1669" builtinId="8" hidden="1"/>
    <cellStyle name="Hyperlink" xfId="1671" builtinId="8" hidden="1"/>
    <cellStyle name="Hyperlink" xfId="1677" builtinId="8" hidden="1"/>
    <cellStyle name="Hyperlink" xfId="1679" builtinId="8" hidden="1"/>
    <cellStyle name="Hyperlink" xfId="1681" builtinId="8" hidden="1"/>
    <cellStyle name="Hyperlink" xfId="1685" builtinId="8" hidden="1"/>
    <cellStyle name="Hyperlink" xfId="1687" builtinId="8" hidden="1"/>
    <cellStyle name="Hyperlink" xfId="1689" builtinId="8" hidden="1"/>
    <cellStyle name="Hyperlink" xfId="1693" builtinId="8" hidden="1"/>
    <cellStyle name="Hyperlink" xfId="1695" builtinId="8" hidden="1"/>
    <cellStyle name="Hyperlink" xfId="1697" builtinId="8" hidden="1"/>
    <cellStyle name="Hyperlink" xfId="1701" builtinId="8" hidden="1"/>
    <cellStyle name="Hyperlink" xfId="1703" builtinId="8" hidden="1"/>
    <cellStyle name="Hyperlink" xfId="1705" builtinId="8" hidden="1"/>
    <cellStyle name="Hyperlink" xfId="1709" builtinId="8" hidden="1"/>
    <cellStyle name="Hyperlink" xfId="1711" builtinId="8" hidden="1"/>
    <cellStyle name="Hyperlink" xfId="1713" builtinId="8" hidden="1"/>
    <cellStyle name="Hyperlink" xfId="1719" builtinId="8" hidden="1"/>
    <cellStyle name="Hyperlink" xfId="1721" builtinId="8" hidden="1"/>
    <cellStyle name="Hyperlink" xfId="1725" builtinId="8" hidden="1"/>
    <cellStyle name="Hyperlink" xfId="1727" builtinId="8" hidden="1"/>
    <cellStyle name="Hyperlink" xfId="1729" builtinId="8" hidden="1"/>
    <cellStyle name="Hyperlink" xfId="1733" builtinId="8" hidden="1"/>
    <cellStyle name="Hyperlink" xfId="1735" builtinId="8" hidden="1"/>
    <cellStyle name="Hyperlink" xfId="1737" builtinId="8" hidden="1"/>
    <cellStyle name="Hyperlink" xfId="1741" builtinId="8" hidden="1"/>
    <cellStyle name="Hyperlink" xfId="1743" builtinId="8" hidden="1"/>
    <cellStyle name="Hyperlink" xfId="1745" builtinId="8" hidden="1"/>
    <cellStyle name="Hyperlink" xfId="1749" builtinId="8" hidden="1"/>
    <cellStyle name="Hyperlink" xfId="1751" builtinId="8" hidden="1"/>
    <cellStyle name="Hyperlink" xfId="1753" builtinId="8" hidden="1"/>
    <cellStyle name="Hyperlink" xfId="1757" builtinId="8" hidden="1"/>
    <cellStyle name="Hyperlink" xfId="1761" builtinId="8" hidden="1"/>
    <cellStyle name="Hyperlink" xfId="1765" builtinId="8" hidden="1"/>
    <cellStyle name="Hyperlink" xfId="1767" builtinId="8" hidden="1"/>
    <cellStyle name="Hyperlink" xfId="1769" builtinId="8" hidden="1"/>
    <cellStyle name="Hyperlink" xfId="1773" builtinId="8" hidden="1"/>
    <cellStyle name="Hyperlink" xfId="1775" builtinId="8" hidden="1"/>
    <cellStyle name="Hyperlink" xfId="1777" builtinId="8" hidden="1"/>
    <cellStyle name="Hyperlink" xfId="1781" builtinId="8" hidden="1"/>
    <cellStyle name="Hyperlink" xfId="1783" builtinId="8" hidden="1"/>
    <cellStyle name="Hyperlink" xfId="1759" builtinId="8" hidden="1"/>
    <cellStyle name="Hyperlink" xfId="1717" builtinId="8" hidden="1"/>
    <cellStyle name="Hyperlink" xfId="1673" builtinId="8" hidden="1"/>
    <cellStyle name="Hyperlink" xfId="1631" builtinId="8" hidden="1"/>
    <cellStyle name="Hyperlink" xfId="1589" builtinId="8" hidden="1"/>
    <cellStyle name="Hyperlink" xfId="1545" builtinId="8" hidden="1"/>
    <cellStyle name="Hyperlink" xfId="1503" builtinId="8" hidden="1"/>
    <cellStyle name="Hyperlink" xfId="1461" builtinId="8" hidden="1"/>
    <cellStyle name="Hyperlink" xfId="1293" builtinId="8" hidden="1"/>
    <cellStyle name="Hyperlink" xfId="1295" builtinId="8" hidden="1"/>
    <cellStyle name="Hyperlink" xfId="1297" builtinId="8" hidden="1"/>
    <cellStyle name="Hyperlink" xfId="1301" builtinId="8" hidden="1"/>
    <cellStyle name="Hyperlink" xfId="1303" builtinId="8" hidden="1"/>
    <cellStyle name="Hyperlink" xfId="1305" builtinId="8" hidden="1"/>
    <cellStyle name="Hyperlink" xfId="1309" builtinId="8" hidden="1"/>
    <cellStyle name="Hyperlink" xfId="1311" builtinId="8" hidden="1"/>
    <cellStyle name="Hyperlink" xfId="1313" builtinId="8" hidden="1"/>
    <cellStyle name="Hyperlink" xfId="1317" builtinId="8" hidden="1"/>
    <cellStyle name="Hyperlink" xfId="1319" builtinId="8" hidden="1"/>
    <cellStyle name="Hyperlink" xfId="1321" builtinId="8" hidden="1"/>
    <cellStyle name="Hyperlink" xfId="1325" builtinId="8" hidden="1"/>
    <cellStyle name="Hyperlink" xfId="1327" builtinId="8" hidden="1"/>
    <cellStyle name="Hyperlink" xfId="1329" builtinId="8" hidden="1"/>
    <cellStyle name="Hyperlink" xfId="1333" builtinId="8" hidden="1"/>
    <cellStyle name="Hyperlink" xfId="1335" builtinId="8" hidden="1"/>
    <cellStyle name="Hyperlink" xfId="1337" builtinId="8" hidden="1"/>
    <cellStyle name="Hyperlink" xfId="1341" builtinId="8" hidden="1"/>
    <cellStyle name="Hyperlink" xfId="1343" builtinId="8" hidden="1"/>
    <cellStyle name="Hyperlink" xfId="1345" builtinId="8" hidden="1"/>
    <cellStyle name="Hyperlink" xfId="1349" builtinId="8" hidden="1"/>
    <cellStyle name="Hyperlink" xfId="1351" builtinId="8" hidden="1"/>
    <cellStyle name="Hyperlink" xfId="1353" builtinId="8" hidden="1"/>
    <cellStyle name="Hyperlink" xfId="1357" builtinId="8" hidden="1"/>
    <cellStyle name="Hyperlink" xfId="1359" builtinId="8" hidden="1"/>
    <cellStyle name="Hyperlink" xfId="1361" builtinId="8" hidden="1"/>
    <cellStyle name="Hyperlink" xfId="1365" builtinId="8" hidden="1"/>
    <cellStyle name="Hyperlink" xfId="1367" builtinId="8" hidden="1"/>
    <cellStyle name="Hyperlink" xfId="1369" builtinId="8" hidden="1"/>
    <cellStyle name="Hyperlink" xfId="1373" builtinId="8" hidden="1"/>
    <cellStyle name="Hyperlink" xfId="1377" builtinId="8" hidden="1"/>
    <cellStyle name="Hyperlink" xfId="1381" builtinId="8" hidden="1"/>
    <cellStyle name="Hyperlink" xfId="1383" builtinId="8" hidden="1"/>
    <cellStyle name="Hyperlink" xfId="1385" builtinId="8" hidden="1"/>
    <cellStyle name="Hyperlink" xfId="1389" builtinId="8" hidden="1"/>
    <cellStyle name="Hyperlink" xfId="1391" builtinId="8" hidden="1"/>
    <cellStyle name="Hyperlink" xfId="1393" builtinId="8" hidden="1"/>
    <cellStyle name="Hyperlink" xfId="1397" builtinId="8" hidden="1"/>
    <cellStyle name="Hyperlink" xfId="1399" builtinId="8" hidden="1"/>
    <cellStyle name="Hyperlink" xfId="1401" builtinId="8" hidden="1"/>
    <cellStyle name="Hyperlink" xfId="1405" builtinId="8" hidden="1"/>
    <cellStyle name="Hyperlink" xfId="1407" builtinId="8" hidden="1"/>
    <cellStyle name="Hyperlink" xfId="1409" builtinId="8" hidden="1"/>
    <cellStyle name="Hyperlink" xfId="1413" builtinId="8" hidden="1"/>
    <cellStyle name="Hyperlink" xfId="1415" builtinId="8" hidden="1"/>
    <cellStyle name="Hyperlink" xfId="1417" builtinId="8" hidden="1"/>
    <cellStyle name="Hyperlink" xfId="1421" builtinId="8" hidden="1"/>
    <cellStyle name="Hyperlink" xfId="1423" builtinId="8" hidden="1"/>
    <cellStyle name="Hyperlink" xfId="1425" builtinId="8" hidden="1"/>
    <cellStyle name="Hyperlink" xfId="1429" builtinId="8" hidden="1"/>
    <cellStyle name="Hyperlink" xfId="1431" builtinId="8" hidden="1"/>
    <cellStyle name="Hyperlink" xfId="1433" builtinId="8" hidden="1"/>
    <cellStyle name="Hyperlink" xfId="1437" builtinId="8" hidden="1"/>
    <cellStyle name="Hyperlink" xfId="1439" builtinId="8" hidden="1"/>
    <cellStyle name="Hyperlink" xfId="1441" builtinId="8" hidden="1"/>
    <cellStyle name="Hyperlink" xfId="1375" builtinId="8" hidden="1"/>
    <cellStyle name="Hyperlink" xfId="1289" builtinId="8" hidden="1"/>
    <cellStyle name="Hyperlink" xfId="1217" builtinId="8" hidden="1"/>
    <cellStyle name="Hyperlink" xfId="1221" builtinId="8" hidden="1"/>
    <cellStyle name="Hyperlink" xfId="1223" builtinId="8" hidden="1"/>
    <cellStyle name="Hyperlink" xfId="1225" builtinId="8" hidden="1"/>
    <cellStyle name="Hyperlink" xfId="1229" builtinId="8" hidden="1"/>
    <cellStyle name="Hyperlink" xfId="1231" builtinId="8" hidden="1"/>
    <cellStyle name="Hyperlink" xfId="1233" builtinId="8" hidden="1"/>
    <cellStyle name="Hyperlink" xfId="1237" builtinId="8" hidden="1"/>
    <cellStyle name="Hyperlink" xfId="1239" builtinId="8" hidden="1"/>
    <cellStyle name="Hyperlink" xfId="1241" builtinId="8" hidden="1"/>
    <cellStyle name="Hyperlink" xfId="1245" builtinId="8" hidden="1"/>
    <cellStyle name="Hyperlink" xfId="1247" builtinId="8" hidden="1"/>
    <cellStyle name="Hyperlink" xfId="1249" builtinId="8" hidden="1"/>
    <cellStyle name="Hyperlink" xfId="1253" builtinId="8" hidden="1"/>
    <cellStyle name="Hyperlink" xfId="1255" builtinId="8" hidden="1"/>
    <cellStyle name="Hyperlink" xfId="1257" builtinId="8" hidden="1"/>
    <cellStyle name="Hyperlink" xfId="1261" builtinId="8" hidden="1"/>
    <cellStyle name="Hyperlink" xfId="1263" builtinId="8" hidden="1"/>
    <cellStyle name="Hyperlink" xfId="1265" builtinId="8" hidden="1"/>
    <cellStyle name="Hyperlink" xfId="1269" builtinId="8" hidden="1"/>
    <cellStyle name="Hyperlink" xfId="1271" builtinId="8" hidden="1"/>
    <cellStyle name="Hyperlink" xfId="1273" builtinId="8" hidden="1"/>
    <cellStyle name="Hyperlink" xfId="1277" builtinId="8" hidden="1"/>
    <cellStyle name="Hyperlink" xfId="1279" builtinId="8" hidden="1"/>
    <cellStyle name="Hyperlink" xfId="1281" builtinId="8" hidden="1"/>
    <cellStyle name="Hyperlink" xfId="1285" builtinId="8" hidden="1"/>
    <cellStyle name="Hyperlink" xfId="1287" builtinId="8" hidden="1"/>
    <cellStyle name="Hyperlink" xfId="1183" builtinId="8" hidden="1"/>
    <cellStyle name="Hyperlink" xfId="1185" builtinId="8" hidden="1"/>
    <cellStyle name="Hyperlink" xfId="1189" builtinId="8" hidden="1"/>
    <cellStyle name="Hyperlink" xfId="1191" builtinId="8" hidden="1"/>
    <cellStyle name="Hyperlink" xfId="1193" builtinId="8" hidden="1"/>
    <cellStyle name="Hyperlink" xfId="1197" builtinId="8" hidden="1"/>
    <cellStyle name="Hyperlink" xfId="1199" builtinId="8" hidden="1"/>
    <cellStyle name="Hyperlink" xfId="1201" builtinId="8" hidden="1"/>
    <cellStyle name="Hyperlink" xfId="1205" builtinId="8" hidden="1"/>
    <cellStyle name="Hyperlink" xfId="1207" builtinId="8" hidden="1"/>
    <cellStyle name="Hyperlink" xfId="1209" builtinId="8" hidden="1"/>
    <cellStyle name="Hyperlink" xfId="1213" builtinId="8" hidden="1"/>
    <cellStyle name="Hyperlink" xfId="1215" builtinId="8" hidden="1"/>
    <cellStyle name="Hyperlink" xfId="1165" builtinId="8" hidden="1"/>
    <cellStyle name="Hyperlink" xfId="1167" builtinId="8" hidden="1"/>
    <cellStyle name="Hyperlink" xfId="1169" builtinId="8" hidden="1"/>
    <cellStyle name="Hyperlink" xfId="1173" builtinId="8" hidden="1"/>
    <cellStyle name="Hyperlink" xfId="1175" builtinId="8" hidden="1"/>
    <cellStyle name="Hyperlink" xfId="1177" builtinId="8" hidden="1"/>
    <cellStyle name="Hyperlink" xfId="1181" builtinId="8" hidden="1"/>
    <cellStyle name="Hyperlink" xfId="1157" builtinId="8" hidden="1"/>
    <cellStyle name="Hyperlink" xfId="1159" builtinId="8" hidden="1"/>
    <cellStyle name="Hyperlink" xfId="1161" builtinId="8" hidden="1"/>
    <cellStyle name="Hyperlink" xfId="1151" builtinId="8" hidden="1"/>
    <cellStyle name="Hyperlink" xfId="1153" builtinId="8" hidden="1"/>
    <cellStyle name="Hyperlink" xfId="1149" builtinId="8" hidden="1"/>
    <cellStyle name="Hyperlink 2" xfId="2564" xr:uid="{00000000-0005-0000-0000-0000A70C0000}"/>
    <cellStyle name="Input" xfId="2565" xr:uid="{00000000-0005-0000-0000-0000A80C0000}"/>
    <cellStyle name="Invoer 2" xfId="2566" xr:uid="{00000000-0005-0000-0000-0000A90C0000}"/>
    <cellStyle name="Komma" xfId="10" builtinId="3"/>
    <cellStyle name="Komma 2" xfId="2567" xr:uid="{00000000-0005-0000-0000-0000AC0C0000}"/>
    <cellStyle name="Komma0" xfId="2568" xr:uid="{00000000-0005-0000-0000-0000AD0C0000}"/>
    <cellStyle name="kop" xfId="11" xr:uid="{00000000-0005-0000-0000-0000AE0C0000}"/>
    <cellStyle name="Kop 1 2" xfId="2569" xr:uid="{00000000-0005-0000-0000-0000AF0C0000}"/>
    <cellStyle name="Kop 2 2" xfId="2570" xr:uid="{00000000-0005-0000-0000-0000B00C0000}"/>
    <cellStyle name="Kop 3 2" xfId="2571" xr:uid="{00000000-0005-0000-0000-0000B10C0000}"/>
    <cellStyle name="Kop 4 2" xfId="2572" xr:uid="{00000000-0005-0000-0000-0000B20C0000}"/>
    <cellStyle name="Koppen_rekenblad" xfId="12" xr:uid="{00000000-0005-0000-0000-0000B30C0000}"/>
    <cellStyle name="koppenrekenblad2" xfId="13" xr:uid="{00000000-0005-0000-0000-0000B40C0000}"/>
    <cellStyle name="Linked Cell" xfId="2573" xr:uid="{00000000-0005-0000-0000-0000B50C0000}"/>
    <cellStyle name="m2" xfId="14" xr:uid="{00000000-0005-0000-0000-0000B60C0000}"/>
    <cellStyle name="Neutraal" xfId="15" xr:uid="{00000000-0005-0000-0000-0000B70C0000}"/>
    <cellStyle name="Neutraal 2" xfId="2574" xr:uid="{00000000-0005-0000-0000-0000B80C0000}"/>
    <cellStyle name="Neutral" xfId="2575" xr:uid="{00000000-0005-0000-0000-0000B90C0000}"/>
    <cellStyle name="Normaal 2" xfId="2511" xr:uid="{00000000-0005-0000-0000-0000BB0C0000}"/>
    <cellStyle name="Normaal 3" xfId="2516" xr:uid="{00000000-0005-0000-0000-0000BC0C0000}"/>
    <cellStyle name="Normaal 4" xfId="2576" xr:uid="{00000000-0005-0000-0000-0000BD0C0000}"/>
    <cellStyle name="Normal_ KLM-CTR(STA)-Recap.xls" xfId="16" xr:uid="{00000000-0005-0000-0000-0000BE0C0000}"/>
    <cellStyle name="Normal_AFRPPRIJS.xls" xfId="17" xr:uid="{00000000-0005-0000-0000-0000C00C0000}"/>
    <cellStyle name="Normal_ATIR-Calc-Uurtarief 2001" xfId="18" xr:uid="{00000000-0005-0000-0000-0000C10C0000}"/>
    <cellStyle name="Normal_CALCULATIEBLAD.XLS" xfId="19" xr:uid="{00000000-0005-0000-0000-0000C20C0000}"/>
    <cellStyle name="Normal_GH-Calc_perceel_1_en_2.xls" xfId="20" xr:uid="{00000000-0005-0000-0000-0000C30C0000}"/>
    <cellStyle name="Normal_GH-Calc_perceel_1_en_2.xls 2" xfId="3327" xr:uid="{506EE6C4-0FEC-3745-8C8B-2EE313FB7477}"/>
    <cellStyle name="Normal_MACHINEKST.xls" xfId="21" xr:uid="{00000000-0005-0000-0000-0000C50C0000}"/>
    <cellStyle name="Normal_schoonmaaktot.xls" xfId="22" xr:uid="{00000000-0005-0000-0000-0000C70C0000}"/>
    <cellStyle name="Normal_Uurtarieven 2000 LEVERANCIER" xfId="23" xr:uid="{00000000-0005-0000-0000-0000C80C0000}"/>
    <cellStyle name="Normal_Workbook1_AFRPPRIJS.xls" xfId="24" xr:uid="{00000000-0005-0000-0000-0000C90C0000}"/>
    <cellStyle name="Note" xfId="2577" xr:uid="{00000000-0005-0000-0000-0000CA0C0000}"/>
    <cellStyle name="Note 2" xfId="2578" xr:uid="{00000000-0005-0000-0000-0000CB0C0000}"/>
    <cellStyle name="Note_1.3-Basis ruimtestaat" xfId="2579" xr:uid="{00000000-0005-0000-0000-0000CC0C0000}"/>
    <cellStyle name="Notitie 2" xfId="2580" xr:uid="{00000000-0005-0000-0000-0000CD0C0000}"/>
    <cellStyle name="Ongedefinieerd" xfId="25" xr:uid="{00000000-0005-0000-0000-0000CE0C0000}"/>
    <cellStyle name="Ongeldig 2" xfId="2581" xr:uid="{00000000-0005-0000-0000-0000CF0C0000}"/>
    <cellStyle name="Output" xfId="2582" xr:uid="{00000000-0005-0000-0000-0000D00C0000}"/>
    <cellStyle name="Procent" xfId="26" builtinId="5"/>
    <cellStyle name="Procent 2" xfId="2517" xr:uid="{00000000-0005-0000-0000-0000D20C0000}"/>
    <cellStyle name="Procent 2 2" xfId="2583" xr:uid="{00000000-0005-0000-0000-0000D30C0000}"/>
    <cellStyle name="Procent 2 3" xfId="2584" xr:uid="{00000000-0005-0000-0000-0000D40C0000}"/>
    <cellStyle name="Procent 2 4" xfId="3330" xr:uid="{36EDFA12-488F-884E-946A-6E8E14137617}"/>
    <cellStyle name="Procent 3" xfId="2585" xr:uid="{00000000-0005-0000-0000-0000D50C0000}"/>
    <cellStyle name="Procent 3 2" xfId="2586" xr:uid="{00000000-0005-0000-0000-0000D60C0000}"/>
    <cellStyle name="Procent 4" xfId="2587" xr:uid="{00000000-0005-0000-0000-0000D70C0000}"/>
    <cellStyle name="Procent 4 2" xfId="2588" xr:uid="{00000000-0005-0000-0000-0000D80C0000}"/>
    <cellStyle name="Procent 5" xfId="2589" xr:uid="{00000000-0005-0000-0000-0000D90C0000}"/>
    <cellStyle name="Ruimtestaat_Koppen" xfId="27" xr:uid="{00000000-0005-0000-0000-0000DA0C0000}"/>
    <cellStyle name="Standaard" xfId="0" builtinId="0"/>
    <cellStyle name="Standaard 10" xfId="2590" xr:uid="{00000000-0005-0000-0000-0000DB0C0000}"/>
    <cellStyle name="Standaard 11" xfId="2591" xr:uid="{00000000-0005-0000-0000-0000DC0C0000}"/>
    <cellStyle name="Standaard 11 2" xfId="2592" xr:uid="{00000000-0005-0000-0000-0000DD0C0000}"/>
    <cellStyle name="Standaard 12" xfId="2593" xr:uid="{00000000-0005-0000-0000-0000DE0C0000}"/>
    <cellStyle name="Standaard 13" xfId="2594" xr:uid="{00000000-0005-0000-0000-0000DF0C0000}"/>
    <cellStyle name="Standaard 14" xfId="3326" xr:uid="{657A85D1-B4A8-5E43-BBDF-81C8D89D9809}"/>
    <cellStyle name="Standaard 15" xfId="3329" xr:uid="{FB2D81FC-2D8A-B644-89CF-9584FF7B0086}"/>
    <cellStyle name="Standaard 16" xfId="3328" xr:uid="{1931E60C-0645-ED49-8B48-1FF66EF630D2}"/>
    <cellStyle name="Standaard 2" xfId="2595" xr:uid="{00000000-0005-0000-0000-0000E00C0000}"/>
    <cellStyle name="Standaard 2 2" xfId="2596" xr:uid="{00000000-0005-0000-0000-0000E10C0000}"/>
    <cellStyle name="Standaard 2_1.3a-Voorbewerking" xfId="2597" xr:uid="{00000000-0005-0000-0000-0000E20C0000}"/>
    <cellStyle name="Standaard 3" xfId="2598" xr:uid="{00000000-0005-0000-0000-0000E30C0000}"/>
    <cellStyle name="Standaard 3 2" xfId="2599" xr:uid="{00000000-0005-0000-0000-0000E40C0000}"/>
    <cellStyle name="Standaard 4" xfId="2600" xr:uid="{00000000-0005-0000-0000-0000E50C0000}"/>
    <cellStyle name="Standaard 4 2" xfId="2601" xr:uid="{00000000-0005-0000-0000-0000E60C0000}"/>
    <cellStyle name="Standaard 5" xfId="2602" xr:uid="{00000000-0005-0000-0000-0000E70C0000}"/>
    <cellStyle name="Standaard 5 2" xfId="2603" xr:uid="{00000000-0005-0000-0000-0000E80C0000}"/>
    <cellStyle name="Standaard 6" xfId="2604" xr:uid="{00000000-0005-0000-0000-0000E90C0000}"/>
    <cellStyle name="Standaard 6 2" xfId="2605" xr:uid="{00000000-0005-0000-0000-0000EA0C0000}"/>
    <cellStyle name="Standaard 7" xfId="2606" xr:uid="{00000000-0005-0000-0000-0000EB0C0000}"/>
    <cellStyle name="Standaard 7 2" xfId="2607" xr:uid="{00000000-0005-0000-0000-0000EC0C0000}"/>
    <cellStyle name="Standaard 8" xfId="2608" xr:uid="{00000000-0005-0000-0000-0000ED0C0000}"/>
    <cellStyle name="Standaard 9" xfId="2609" xr:uid="{00000000-0005-0000-0000-0000EE0C0000}"/>
    <cellStyle name="Standaard 9 2" xfId="2610" xr:uid="{00000000-0005-0000-0000-0000EF0C0000}"/>
    <cellStyle name="Standaard_Blad1" xfId="28" xr:uid="{00000000-0005-0000-0000-0000F00C0000}"/>
    <cellStyle name="Titel" xfId="29" xr:uid="{00000000-0005-0000-0000-0000F10C0000}"/>
    <cellStyle name="Titel 2" xfId="2611" xr:uid="{00000000-0005-0000-0000-0000F20C0000}"/>
    <cellStyle name="Title" xfId="2612" xr:uid="{00000000-0005-0000-0000-0000F30C0000}"/>
    <cellStyle name="Totaal" xfId="30" xr:uid="{00000000-0005-0000-0000-0000F40C0000}"/>
    <cellStyle name="Totaal 2" xfId="2613" xr:uid="{00000000-0005-0000-0000-0000F50C0000}"/>
    <cellStyle name="Total" xfId="2614" xr:uid="{00000000-0005-0000-0000-0000F60C0000}"/>
    <cellStyle name="Uitvoer 2" xfId="2615" xr:uid="{00000000-0005-0000-0000-0000F70C0000}"/>
    <cellStyle name="Valuta" xfId="31" builtinId="4"/>
    <cellStyle name="Valuta 2" xfId="2616" xr:uid="{00000000-0005-0000-0000-0000F90C0000}"/>
    <cellStyle name="Valuta 2 2" xfId="2617" xr:uid="{00000000-0005-0000-0000-0000FA0C0000}"/>
    <cellStyle name="Valuta 2 3" xfId="2618" xr:uid="{00000000-0005-0000-0000-0000FB0C0000}"/>
    <cellStyle name="Valuta 3" xfId="2619" xr:uid="{00000000-0005-0000-0000-0000FC0C0000}"/>
    <cellStyle name="Valuta 3 2" xfId="3331" xr:uid="{5453A939-70CC-5E4C-9850-594A154A3F3E}"/>
    <cellStyle name="Valuta0" xfId="2620" xr:uid="{00000000-0005-0000-0000-0000FD0C0000}"/>
    <cellStyle name="Verklarende tekst 2" xfId="2621" xr:uid="{00000000-0005-0000-0000-0000FE0C0000}"/>
    <cellStyle name="Waarschuwingstekst" xfId="32" xr:uid="{00000000-0005-0000-0000-0000FF0C0000}"/>
    <cellStyle name="Waarschuwingstekst 2" xfId="2622" xr:uid="{00000000-0005-0000-0000-0000000D0000}"/>
    <cellStyle name="Warning Text" xfId="2623" xr:uid="{00000000-0005-0000-0000-0000010D0000}"/>
  </cellStyles>
  <dxfs count="131">
    <dxf>
      <font>
        <b val="0"/>
        <i val="0"/>
        <color theme="1"/>
      </font>
      <fill>
        <patternFill>
          <bgColor theme="0"/>
        </patternFill>
      </fill>
    </dxf>
    <dxf>
      <font>
        <color theme="1"/>
      </font>
      <fill>
        <patternFill>
          <bgColor theme="0"/>
        </patternFill>
      </fill>
    </dxf>
    <dxf>
      <font>
        <b val="0"/>
        <i val="0"/>
        <color theme="1"/>
      </font>
      <fill>
        <patternFill>
          <bgColor theme="0"/>
        </patternFill>
      </fill>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theme="1"/>
      </font>
      <fill>
        <patternFill patternType="none">
          <fgColor indexed="64"/>
          <bgColor auto="1"/>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theme="1"/>
      </font>
      <fill>
        <patternFill patternType="none">
          <fgColor indexed="64"/>
          <bgColor auto="1"/>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theme="1"/>
      </font>
      <fill>
        <patternFill patternType="none">
          <fgColor indexed="64"/>
          <bgColor auto="1"/>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theme="1"/>
      </font>
      <fill>
        <patternFill patternType="none">
          <fgColor indexed="64"/>
          <bgColor auto="1"/>
        </patternFill>
      </fill>
      <border>
        <left style="thin">
          <color theme="2" tint="-0.499984740745262"/>
        </left>
        <right style="thin">
          <color theme="2" tint="-0.499984740745262"/>
        </right>
        <top style="thin">
          <color theme="2" tint="-0.499984740745262"/>
        </top>
        <bottom style="thin">
          <color theme="2" tint="-0.499984740745262"/>
        </bottom>
      </border>
    </dxf>
    <dxf>
      <font>
        <b/>
        <i/>
        <condense val="0"/>
        <extend val="0"/>
        <color indexed="9"/>
      </font>
      <fill>
        <patternFill>
          <bgColor indexed="10"/>
        </patternFill>
      </fill>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b/>
        <i/>
        <color theme="1"/>
      </font>
      <fill>
        <patternFill patternType="none">
          <fgColor indexed="64"/>
          <bgColor auto="1"/>
        </patternFill>
      </fill>
      <border>
        <left style="thin">
          <color theme="2" tint="-0.499984740745262"/>
        </left>
        <right style="thin">
          <color theme="2" tint="-0.499984740745262"/>
        </right>
        <top style="thin">
          <color theme="2" tint="-0.499984740745262"/>
        </top>
        <bottom style="thin">
          <color theme="2" tint="-0.499984740745262"/>
        </bottom>
      </border>
    </dxf>
    <dxf>
      <font>
        <b/>
        <i/>
        <color theme="1"/>
      </font>
      <fill>
        <patternFill patternType="none">
          <fgColor indexed="64"/>
          <bgColor auto="1"/>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strike val="0"/>
        <color theme="1"/>
      </font>
      <fill>
        <patternFill>
          <bgColor theme="0"/>
        </patternFill>
      </fill>
    </dxf>
    <dxf>
      <font>
        <strike val="0"/>
        <color theme="1"/>
      </font>
      <fill>
        <patternFill>
          <bgColor theme="0"/>
        </patternFill>
      </fill>
    </dxf>
    <dxf>
      <font>
        <strike val="0"/>
        <color theme="1"/>
      </font>
      <fill>
        <patternFill>
          <bgColor theme="0"/>
        </patternFill>
      </fill>
    </dxf>
    <dxf>
      <font>
        <strike val="0"/>
        <color theme="1"/>
      </font>
      <fill>
        <patternFill>
          <bgColor theme="0"/>
        </patternFill>
      </fill>
    </dxf>
    <dxf>
      <font>
        <strike val="0"/>
        <color theme="1"/>
      </font>
      <fill>
        <patternFill>
          <bgColor theme="0"/>
        </patternFill>
      </fill>
    </dxf>
    <dxf>
      <font>
        <strike val="0"/>
        <color theme="1"/>
      </font>
      <fill>
        <patternFill>
          <bgColor theme="0"/>
        </patternFill>
      </fill>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strike val="0"/>
        <color theme="1"/>
      </font>
      <fill>
        <patternFill>
          <bgColor theme="0"/>
        </patternFill>
      </fill>
    </dxf>
    <dxf>
      <font>
        <strike val="0"/>
        <color theme="1"/>
      </font>
      <fill>
        <patternFill>
          <bgColor theme="0"/>
        </patternFill>
      </fill>
    </dxf>
    <dxf>
      <font>
        <b/>
        <i val="0"/>
        <strike val="0"/>
        <color theme="0"/>
      </font>
      <fill>
        <patternFill patternType="solid">
          <fgColor indexed="64"/>
          <bgColor rgb="FFFF0000"/>
        </patternFill>
      </fill>
    </dxf>
    <dxf>
      <font>
        <color auto="1"/>
      </font>
      <fill>
        <patternFill patternType="solid">
          <fgColor indexed="64"/>
          <bgColor theme="0"/>
        </patternFill>
      </fill>
      <border>
        <left style="thin">
          <color theme="0" tint="-0.249977111117893"/>
        </left>
        <right style="thin">
          <color theme="0" tint="-0.249977111117893"/>
        </right>
        <top style="thin">
          <color theme="0" tint="-0.249977111117893"/>
        </top>
        <bottom style="thin">
          <color theme="0" tint="-0.249977111117893"/>
        </bottom>
      </border>
    </dxf>
    <dxf>
      <font>
        <color auto="1"/>
      </font>
      <fill>
        <patternFill patternType="solid">
          <fgColor indexed="64"/>
          <bgColor theme="0"/>
        </patternFill>
      </fill>
      <border>
        <left style="thin">
          <color theme="0" tint="-0.249977111117893"/>
        </left>
        <right style="thin">
          <color theme="0" tint="-0.249977111117893"/>
        </right>
        <top style="thin">
          <color theme="0" tint="-0.249977111117893"/>
        </top>
        <bottom style="thin">
          <color theme="0" tint="-0.249977111117893"/>
        </bottom>
      </border>
    </dxf>
    <dxf>
      <font>
        <b/>
        <i val="0"/>
        <strike val="0"/>
        <color theme="0"/>
      </font>
      <fill>
        <patternFill>
          <bgColor rgb="FFD7A800"/>
        </patternFill>
      </fill>
    </dxf>
    <dxf>
      <font>
        <b/>
        <i val="0"/>
        <color theme="1"/>
      </font>
      <fill>
        <patternFill>
          <bgColor theme="8" tint="0.39994506668294322"/>
        </patternFill>
      </fill>
    </dxf>
    <dxf>
      <font>
        <strike val="0"/>
        <u val="none"/>
        <color theme="0"/>
      </font>
      <fill>
        <patternFill>
          <bgColor theme="8" tint="-0.499984740745262"/>
        </patternFill>
      </fill>
    </dxf>
    <dxf>
      <fill>
        <patternFill patternType="solid">
          <fgColor rgb="FFFBE7CE"/>
          <bgColor rgb="FF000000"/>
        </patternFill>
      </fill>
    </dxf>
    <dxf>
      <font>
        <color auto="1"/>
      </font>
      <fill>
        <patternFill patternType="solid">
          <fgColor indexed="64"/>
          <bgColor theme="0"/>
        </patternFill>
      </fill>
      <border>
        <left style="thin">
          <color theme="0" tint="-0.249977111117893"/>
        </left>
        <right style="thin">
          <color theme="0" tint="-0.249977111117893"/>
        </right>
        <top style="thin">
          <color theme="0" tint="-0.249977111117893"/>
        </top>
        <bottom style="thin">
          <color theme="0" tint="-0.249977111117893"/>
        </bottom>
      </border>
    </dxf>
    <dxf>
      <font>
        <color auto="1"/>
      </font>
      <fill>
        <patternFill patternType="solid">
          <fgColor indexed="64"/>
          <bgColor theme="0"/>
        </patternFill>
      </fill>
      <border>
        <left style="thin">
          <color theme="0" tint="-0.249977111117893"/>
        </left>
        <right style="thin">
          <color theme="0" tint="-0.249977111117893"/>
        </right>
        <top style="thin">
          <color theme="0" tint="-0.249977111117893"/>
        </top>
        <bottom style="thin">
          <color theme="0" tint="-0.249977111117893"/>
        </bottom>
      </border>
    </dxf>
    <dxf>
      <font>
        <b/>
        <i val="0"/>
        <strike val="0"/>
        <color theme="0"/>
      </font>
      <fill>
        <patternFill>
          <bgColor rgb="FFD7A800"/>
        </patternFill>
      </fill>
    </dxf>
    <dxf>
      <font>
        <b/>
        <i val="0"/>
        <color theme="1"/>
      </font>
      <fill>
        <patternFill>
          <bgColor theme="8" tint="0.39994506668294322"/>
        </patternFill>
      </fill>
    </dxf>
    <dxf>
      <font>
        <strike val="0"/>
        <u val="none"/>
        <color theme="0"/>
      </font>
      <fill>
        <patternFill>
          <bgColor theme="8" tint="-0.499984740745262"/>
        </patternFill>
      </fill>
    </dxf>
    <dxf>
      <font>
        <color theme="1"/>
      </font>
      <fill>
        <patternFill>
          <bgColor theme="0"/>
        </patternFill>
      </fill>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249977111117893"/>
        </left>
        <right style="thin">
          <color theme="0" tint="-0.249977111117893"/>
        </right>
        <top style="thin">
          <color theme="0" tint="-0.249977111117893"/>
        </top>
        <bottom style="thin">
          <color theme="0" tint="-0.249977111117893"/>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b/>
        <i/>
        <condense val="0"/>
        <extend val="0"/>
        <color indexed="9"/>
      </font>
      <fill>
        <patternFill>
          <bgColor indexed="10"/>
        </patternFill>
      </fill>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A800"/>
      <color rgb="FFFCFDF9"/>
      <color rgb="FF54637B"/>
      <color rgb="FFC4BA47"/>
      <color rgb="FF455266"/>
      <color rgb="FF424242"/>
      <color rgb="FF407879"/>
      <color rgb="FF78A742"/>
      <color rgb="FFA9A879"/>
      <color rgb="FFB7B0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63500</xdr:colOff>
      <xdr:row>8</xdr:row>
      <xdr:rowOff>0</xdr:rowOff>
    </xdr:from>
    <xdr:to>
      <xdr:col>8</xdr:col>
      <xdr:colOff>939800</xdr:colOff>
      <xdr:row>9</xdr:row>
      <xdr:rowOff>76200</xdr:rowOff>
    </xdr:to>
    <xdr:sp macro="" textlink="">
      <xdr:nvSpPr>
        <xdr:cNvPr id="2" name="Pijl links 1">
          <a:extLst>
            <a:ext uri="{FF2B5EF4-FFF2-40B4-BE49-F238E27FC236}">
              <a16:creationId xmlns:a16="http://schemas.microsoft.com/office/drawing/2014/main" id="{00000000-0008-0000-0000-000002000000}"/>
            </a:ext>
          </a:extLst>
        </xdr:cNvPr>
        <xdr:cNvSpPr/>
      </xdr:nvSpPr>
      <xdr:spPr bwMode="auto">
        <a:xfrm>
          <a:off x="7264400" y="1473200"/>
          <a:ext cx="1828800" cy="279400"/>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chemeClr val="bg2">
              <a:lumMod val="25000"/>
            </a:schemeClr>
          </a:solidFill>
          <a:prstDash val="solid"/>
          <a:round/>
          <a:headEnd type="none" w="med" len="med"/>
          <a:tailEnd type="none" w="med" len="med"/>
        </a:ln>
        <a:effectLst>
          <a:outerShdw blurRad="63500" dist="38099" dir="2700000" sx="107000" sy="107000" algn="ctr" rotWithShape="0">
            <a:schemeClr val="bg1">
              <a:lumMod val="75000"/>
              <a:alpha val="43000"/>
            </a:schemeClr>
          </a:outerShdw>
        </a:effectLst>
      </xdr:spPr>
      <xdr:txBody>
        <a:bodyPr vertOverflow="clip" horzOverflow="clip" wrap="square" lIns="18288" tIns="0" rIns="0" bIns="0" rtlCol="0" anchor="t" upright="1"/>
        <a:lstStyle/>
        <a:p>
          <a:pPr algn="l"/>
          <a:endParaRPr lang="nl-NL" sz="1100"/>
        </a:p>
      </xdr:txBody>
    </xdr:sp>
    <xdr:clientData/>
  </xdr:twoCellAnchor>
  <xdr:twoCellAnchor>
    <xdr:from>
      <xdr:col>11</xdr:col>
      <xdr:colOff>38100</xdr:colOff>
      <xdr:row>8</xdr:row>
      <xdr:rowOff>0</xdr:rowOff>
    </xdr:from>
    <xdr:to>
      <xdr:col>12</xdr:col>
      <xdr:colOff>914400</xdr:colOff>
      <xdr:row>9</xdr:row>
      <xdr:rowOff>76200</xdr:rowOff>
    </xdr:to>
    <xdr:sp macro="" textlink="">
      <xdr:nvSpPr>
        <xdr:cNvPr id="3" name="Pijl links 2">
          <a:extLst>
            <a:ext uri="{FF2B5EF4-FFF2-40B4-BE49-F238E27FC236}">
              <a16:creationId xmlns:a16="http://schemas.microsoft.com/office/drawing/2014/main" id="{00000000-0008-0000-0000-000003000000}"/>
            </a:ext>
          </a:extLst>
        </xdr:cNvPr>
        <xdr:cNvSpPr/>
      </xdr:nvSpPr>
      <xdr:spPr bwMode="auto">
        <a:xfrm>
          <a:off x="11582400" y="1473200"/>
          <a:ext cx="1828800" cy="279400"/>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chemeClr val="bg2">
              <a:lumMod val="25000"/>
            </a:schemeClr>
          </a:solidFill>
          <a:prstDash val="solid"/>
          <a:round/>
          <a:headEnd type="none" w="med" len="med"/>
          <a:tailEnd type="none" w="med" len="med"/>
        </a:ln>
        <a:effectLst>
          <a:outerShdw blurRad="63500" dist="38099" dir="2700000" sx="107000" sy="107000" algn="ctr" rotWithShape="0">
            <a:schemeClr val="bg1">
              <a:lumMod val="75000"/>
              <a:alpha val="43000"/>
            </a:schemeClr>
          </a:outerShdw>
        </a:effectLst>
      </xdr:spPr>
      <xdr:txBody>
        <a:bodyPr vertOverflow="clip" horzOverflow="clip" wrap="square" lIns="18288" tIns="0" rIns="0" bIns="0" rtlCol="0" anchor="t" upright="1"/>
        <a:lstStyle/>
        <a:p>
          <a:pPr algn="l"/>
          <a:endParaRPr lang="nl-NL" sz="1100"/>
        </a:p>
      </xdr:txBody>
    </xdr:sp>
    <xdr:clientData/>
  </xdr:twoCellAnchor>
  <xdr:twoCellAnchor>
    <xdr:from>
      <xdr:col>7</xdr:col>
      <xdr:colOff>50800</xdr:colOff>
      <xdr:row>24</xdr:row>
      <xdr:rowOff>0</xdr:rowOff>
    </xdr:from>
    <xdr:to>
      <xdr:col>8</xdr:col>
      <xdr:colOff>927100</xdr:colOff>
      <xdr:row>25</xdr:row>
      <xdr:rowOff>76200</xdr:rowOff>
    </xdr:to>
    <xdr:sp macro="" textlink="">
      <xdr:nvSpPr>
        <xdr:cNvPr id="4" name="Pijl links 3">
          <a:extLst>
            <a:ext uri="{FF2B5EF4-FFF2-40B4-BE49-F238E27FC236}">
              <a16:creationId xmlns:a16="http://schemas.microsoft.com/office/drawing/2014/main" id="{00000000-0008-0000-0000-000004000000}"/>
            </a:ext>
          </a:extLst>
        </xdr:cNvPr>
        <xdr:cNvSpPr/>
      </xdr:nvSpPr>
      <xdr:spPr bwMode="auto">
        <a:xfrm>
          <a:off x="7251700" y="4533900"/>
          <a:ext cx="1828800" cy="279400"/>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chemeClr val="bg2">
              <a:lumMod val="25000"/>
            </a:schemeClr>
          </a:solidFill>
          <a:prstDash val="solid"/>
          <a:round/>
          <a:headEnd type="none" w="med" len="med"/>
          <a:tailEnd type="none" w="med" len="med"/>
        </a:ln>
        <a:effectLst>
          <a:outerShdw blurRad="63500" dist="38099" dir="2700000" sx="107000" sy="107000" algn="ctr" rotWithShape="0">
            <a:schemeClr val="bg1">
              <a:lumMod val="75000"/>
              <a:alpha val="43000"/>
            </a:schemeClr>
          </a:outerShdw>
        </a:effectLst>
      </xdr:spPr>
      <xdr:txBody>
        <a:bodyPr vertOverflow="clip" horzOverflow="clip" wrap="square" lIns="18288" tIns="0" rIns="0" bIns="0" rtlCol="0" anchor="t" upright="1"/>
        <a:lstStyle/>
        <a:p>
          <a:pPr algn="l"/>
          <a:endParaRPr lang="nl-NL" sz="1100"/>
        </a:p>
      </xdr:txBody>
    </xdr:sp>
    <xdr:clientData/>
  </xdr:twoCellAnchor>
  <xdr:twoCellAnchor>
    <xdr:from>
      <xdr:col>11</xdr:col>
      <xdr:colOff>76200</xdr:colOff>
      <xdr:row>24</xdr:row>
      <xdr:rowOff>0</xdr:rowOff>
    </xdr:from>
    <xdr:to>
      <xdr:col>13</xdr:col>
      <xdr:colOff>0</xdr:colOff>
      <xdr:row>25</xdr:row>
      <xdr:rowOff>76200</xdr:rowOff>
    </xdr:to>
    <xdr:sp macro="" textlink="">
      <xdr:nvSpPr>
        <xdr:cNvPr id="5" name="Pijl links 4">
          <a:extLst>
            <a:ext uri="{FF2B5EF4-FFF2-40B4-BE49-F238E27FC236}">
              <a16:creationId xmlns:a16="http://schemas.microsoft.com/office/drawing/2014/main" id="{00000000-0008-0000-0000-000005000000}"/>
            </a:ext>
          </a:extLst>
        </xdr:cNvPr>
        <xdr:cNvSpPr/>
      </xdr:nvSpPr>
      <xdr:spPr bwMode="auto">
        <a:xfrm>
          <a:off x="11620500" y="4533900"/>
          <a:ext cx="1828800" cy="279400"/>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chemeClr val="bg2">
              <a:lumMod val="25000"/>
            </a:schemeClr>
          </a:solidFill>
          <a:prstDash val="solid"/>
          <a:round/>
          <a:headEnd type="none" w="med" len="med"/>
          <a:tailEnd type="none" w="med" len="med"/>
        </a:ln>
        <a:effectLst>
          <a:outerShdw blurRad="63500" dist="38099" dir="2700000" sx="107000" sy="107000" algn="ctr" rotWithShape="0">
            <a:schemeClr val="bg1">
              <a:lumMod val="75000"/>
              <a:alpha val="43000"/>
            </a:schemeClr>
          </a:outerShdw>
        </a:effectLst>
      </xdr:spPr>
      <xdr:txBody>
        <a:bodyPr vertOverflow="clip" horzOverflow="clip" wrap="square" lIns="18288" tIns="0" rIns="0" bIns="0" rtlCol="0" anchor="t" upright="1"/>
        <a:lstStyle/>
        <a:p>
          <a:pPr algn="l"/>
          <a:endParaRPr lang="nl-NL" sz="1100"/>
        </a:p>
      </xdr:txBody>
    </xdr:sp>
    <xdr:clientData/>
  </xdr:twoCellAnchor>
  <xdr:twoCellAnchor>
    <xdr:from>
      <xdr:col>7</xdr:col>
      <xdr:colOff>63500</xdr:colOff>
      <xdr:row>39</xdr:row>
      <xdr:rowOff>0</xdr:rowOff>
    </xdr:from>
    <xdr:to>
      <xdr:col>8</xdr:col>
      <xdr:colOff>939800</xdr:colOff>
      <xdr:row>40</xdr:row>
      <xdr:rowOff>114300</xdr:rowOff>
    </xdr:to>
    <xdr:sp macro="" textlink="">
      <xdr:nvSpPr>
        <xdr:cNvPr id="6" name="Pijl links 5">
          <a:extLst>
            <a:ext uri="{FF2B5EF4-FFF2-40B4-BE49-F238E27FC236}">
              <a16:creationId xmlns:a16="http://schemas.microsoft.com/office/drawing/2014/main" id="{00000000-0008-0000-0000-000006000000}"/>
            </a:ext>
          </a:extLst>
        </xdr:cNvPr>
        <xdr:cNvSpPr/>
      </xdr:nvSpPr>
      <xdr:spPr bwMode="auto">
        <a:xfrm>
          <a:off x="7264400" y="7277100"/>
          <a:ext cx="1828800" cy="279400"/>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chemeClr val="bg2">
              <a:lumMod val="25000"/>
            </a:schemeClr>
          </a:solidFill>
          <a:prstDash val="solid"/>
          <a:round/>
          <a:headEnd type="none" w="med" len="med"/>
          <a:tailEnd type="none" w="med" len="med"/>
        </a:ln>
        <a:effectLst>
          <a:outerShdw blurRad="63500" dist="38099" dir="2700000" sx="107000" sy="107000" algn="ctr" rotWithShape="0">
            <a:schemeClr val="bg1">
              <a:lumMod val="75000"/>
              <a:alpha val="43000"/>
            </a:schemeClr>
          </a:outerShdw>
        </a:effectLst>
      </xdr:spPr>
      <xdr:txBody>
        <a:bodyPr vertOverflow="clip" horzOverflow="clip" wrap="square" lIns="18288" tIns="0" rIns="0" bIns="0" rtlCol="0" anchor="t" upright="1"/>
        <a:lstStyle/>
        <a:p>
          <a:pPr algn="l"/>
          <a:endParaRPr lang="nl-NL" sz="1100"/>
        </a:p>
      </xdr:txBody>
    </xdr:sp>
    <xdr:clientData/>
  </xdr:twoCellAnchor>
  <xdr:twoCellAnchor>
    <xdr:from>
      <xdr:col>0</xdr:col>
      <xdr:colOff>0</xdr:colOff>
      <xdr:row>0</xdr:row>
      <xdr:rowOff>12700</xdr:rowOff>
    </xdr:from>
    <xdr:to>
      <xdr:col>4</xdr:col>
      <xdr:colOff>736690</xdr:colOff>
      <xdr:row>15</xdr:row>
      <xdr:rowOff>114300</xdr:rowOff>
    </xdr:to>
    <xdr:grpSp>
      <xdr:nvGrpSpPr>
        <xdr:cNvPr id="7" name="Groeperen 6">
          <a:extLst>
            <a:ext uri="{FF2B5EF4-FFF2-40B4-BE49-F238E27FC236}">
              <a16:creationId xmlns:a16="http://schemas.microsoft.com/office/drawing/2014/main" id="{00000000-0008-0000-0000-000007000000}"/>
            </a:ext>
          </a:extLst>
        </xdr:cNvPr>
        <xdr:cNvGrpSpPr/>
      </xdr:nvGrpSpPr>
      <xdr:grpSpPr>
        <a:xfrm>
          <a:off x="0" y="12700"/>
          <a:ext cx="3832315" cy="3035300"/>
          <a:chOff x="0" y="12700"/>
          <a:chExt cx="4546690" cy="2997200"/>
        </a:xfrm>
      </xdr:grpSpPr>
      <xdr:pic>
        <xdr:nvPicPr>
          <xdr:cNvPr id="8" name="Afbeelding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0" y="12700"/>
            <a:ext cx="4546690" cy="2997200"/>
          </a:xfrm>
          <a:prstGeom prst="rect">
            <a:avLst/>
          </a:prstGeom>
        </xdr:spPr>
      </xdr:pic>
      <xdr:sp macro="" textlink="">
        <xdr:nvSpPr>
          <xdr:cNvPr id="9" name="Rechthoek 8">
            <a:extLst>
              <a:ext uri="{FF2B5EF4-FFF2-40B4-BE49-F238E27FC236}">
                <a16:creationId xmlns:a16="http://schemas.microsoft.com/office/drawing/2014/main" id="{00000000-0008-0000-0000-000009000000}"/>
              </a:ext>
            </a:extLst>
          </xdr:cNvPr>
          <xdr:cNvSpPr/>
        </xdr:nvSpPr>
        <xdr:spPr bwMode="auto">
          <a:xfrm>
            <a:off x="1092200" y="1290320"/>
            <a:ext cx="2552700" cy="525780"/>
          </a:xfrm>
          <a:prstGeom prst="rect">
            <a:avLst/>
          </a:prstGeom>
          <a:solidFill>
            <a:srgbClr val="FAFAFA"/>
          </a:solidFill>
          <a:ln w="9525" cap="flat" cmpd="sng" algn="ctr">
            <a:noFill/>
            <a:prstDash val="solid"/>
            <a:round/>
            <a:headEnd type="none" w="med" len="med"/>
            <a:tailEnd type="none" w="med" len="med"/>
          </a:ln>
          <a:effectLst/>
        </xdr:spPr>
        <xdr:txBody>
          <a:bodyPr wrap="square"/>
          <a:lstStyle/>
          <a:p>
            <a:endParaRPr lang="nl-NL"/>
          </a:p>
        </xdr:txBody>
      </xdr:sp>
    </xdr:grpSp>
    <xdr:clientData/>
  </xdr:twoCellAnchor>
  <xdr:oneCellAnchor>
    <xdr:from>
      <xdr:col>1</xdr:col>
      <xdr:colOff>508000</xdr:colOff>
      <xdr:row>6</xdr:row>
      <xdr:rowOff>127000</xdr:rowOff>
    </xdr:from>
    <xdr:ext cx="2515882" cy="933076"/>
    <xdr:sp macro="" textlink="">
      <xdr:nvSpPr>
        <xdr:cNvPr id="10" name="Tekstvak 9">
          <a:extLst>
            <a:ext uri="{FF2B5EF4-FFF2-40B4-BE49-F238E27FC236}">
              <a16:creationId xmlns:a16="http://schemas.microsoft.com/office/drawing/2014/main" id="{00000000-0008-0000-0000-00000A000000}"/>
            </a:ext>
          </a:extLst>
        </xdr:cNvPr>
        <xdr:cNvSpPr txBox="1"/>
      </xdr:nvSpPr>
      <xdr:spPr>
        <a:xfrm>
          <a:off x="1193800" y="1270000"/>
          <a:ext cx="2515882" cy="9330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2400">
              <a:latin typeface="Avenir Book" panose="02000503020000020003" pitchFamily="2" charset="0"/>
              <a:cs typeface="Verdana"/>
            </a:rPr>
            <a:t>Handleiding </a:t>
          </a:r>
        </a:p>
        <a:p>
          <a:r>
            <a:rPr lang="nl-NL" sz="2400">
              <a:latin typeface="Avenir Book" panose="02000503020000020003" pitchFamily="2" charset="0"/>
              <a:cs typeface="Verdana"/>
            </a:rPr>
            <a:t>calculatiemodule</a:t>
          </a:r>
        </a:p>
      </xdr:txBody>
    </xdr:sp>
    <xdr:clientData/>
  </xdr:oneCellAnchor>
  <xdr:twoCellAnchor>
    <xdr:from>
      <xdr:col>0</xdr:col>
      <xdr:colOff>622300</xdr:colOff>
      <xdr:row>30</xdr:row>
      <xdr:rowOff>190500</xdr:rowOff>
    </xdr:from>
    <xdr:to>
      <xdr:col>4</xdr:col>
      <xdr:colOff>228600</xdr:colOff>
      <xdr:row>37</xdr:row>
      <xdr:rowOff>50800</xdr:rowOff>
    </xdr:to>
    <xdr:sp macro="" textlink="">
      <xdr:nvSpPr>
        <xdr:cNvPr id="12" name="Rechthoek 11">
          <a:extLst>
            <a:ext uri="{FF2B5EF4-FFF2-40B4-BE49-F238E27FC236}">
              <a16:creationId xmlns:a16="http://schemas.microsoft.com/office/drawing/2014/main" id="{00000000-0008-0000-0000-00000C000000}"/>
            </a:ext>
          </a:extLst>
        </xdr:cNvPr>
        <xdr:cNvSpPr/>
      </xdr:nvSpPr>
      <xdr:spPr bwMode="auto">
        <a:xfrm>
          <a:off x="622300" y="5943600"/>
          <a:ext cx="2514600" cy="1054100"/>
        </a:xfrm>
        <a:prstGeom prst="rect">
          <a:avLst/>
        </a:prstGeom>
        <a:solidFill>
          <a:schemeClr val="bg1">
            <a:lumMod val="85000"/>
            <a:alpha val="64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nl-NL" sz="1200">
              <a:latin typeface="Verdana"/>
              <a:cs typeface="Verdana"/>
            </a:rPr>
            <a:t>Gearceerde stappen zijn niet van toepassing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759918</xdr:colOff>
      <xdr:row>58</xdr:row>
      <xdr:rowOff>93689</xdr:rowOff>
    </xdr:from>
    <xdr:to>
      <xdr:col>10</xdr:col>
      <xdr:colOff>305424</xdr:colOff>
      <xdr:row>62</xdr:row>
      <xdr:rowOff>62459</xdr:rowOff>
    </xdr:to>
    <xdr:sp macro="" textlink="">
      <xdr:nvSpPr>
        <xdr:cNvPr id="2" name="Afgeronde rechthoek 1">
          <a:extLst>
            <a:ext uri="{FF2B5EF4-FFF2-40B4-BE49-F238E27FC236}">
              <a16:creationId xmlns:a16="http://schemas.microsoft.com/office/drawing/2014/main" id="{3410D66B-4398-0D42-BD93-1BD793C7340D}"/>
            </a:ext>
          </a:extLst>
        </xdr:cNvPr>
        <xdr:cNvSpPr/>
      </xdr:nvSpPr>
      <xdr:spPr bwMode="auto">
        <a:xfrm>
          <a:off x="7411803" y="10805410"/>
          <a:ext cx="5177228" cy="791147"/>
        </a:xfrm>
        <a:prstGeom prst="roundRect">
          <a:avLst/>
        </a:prstGeom>
        <a:noFill/>
        <a:ln>
          <a:solidFill>
            <a:srgbClr val="455266"/>
          </a:solidFill>
          <a:headEnd type="none" w="med" len="med"/>
          <a:tailEnd type="none" w="med" len="med"/>
        </a:ln>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style>
        <a:lnRef idx="2">
          <a:schemeClr val="accent3"/>
        </a:lnRef>
        <a:fillRef idx="1">
          <a:schemeClr val="lt1"/>
        </a:fillRef>
        <a:effectRef idx="0">
          <a:schemeClr val="accent3"/>
        </a:effectRef>
        <a:fontRef idx="minor">
          <a:schemeClr val="dk1"/>
        </a:fontRef>
      </xdr:style>
      <xdr:txBody>
        <a:bodyPr vertOverflow="clip" wrap="square" lIns="18288" tIns="0" rIns="0" bIns="0" rtlCol="0" anchor="ctr" upright="1"/>
        <a:lstStyle/>
        <a:p>
          <a:pPr algn="l"/>
          <a:endParaRPr lang="nl-NL" sz="1100"/>
        </a:p>
      </xdr:txBody>
    </xdr:sp>
    <xdr:clientData/>
  </xdr:twoCellAnchor>
  <xdr:twoCellAnchor>
    <xdr:from>
      <xdr:col>5</xdr:col>
      <xdr:colOff>759918</xdr:colOff>
      <xdr:row>76</xdr:row>
      <xdr:rowOff>93689</xdr:rowOff>
    </xdr:from>
    <xdr:to>
      <xdr:col>10</xdr:col>
      <xdr:colOff>305424</xdr:colOff>
      <xdr:row>80</xdr:row>
      <xdr:rowOff>62459</xdr:rowOff>
    </xdr:to>
    <xdr:sp macro="" textlink="">
      <xdr:nvSpPr>
        <xdr:cNvPr id="3" name="Afgeronde rechthoek 2">
          <a:extLst>
            <a:ext uri="{FF2B5EF4-FFF2-40B4-BE49-F238E27FC236}">
              <a16:creationId xmlns:a16="http://schemas.microsoft.com/office/drawing/2014/main" id="{5A469482-48CE-A349-B865-226CA7C390FB}"/>
            </a:ext>
          </a:extLst>
        </xdr:cNvPr>
        <xdr:cNvSpPr/>
      </xdr:nvSpPr>
      <xdr:spPr bwMode="auto">
        <a:xfrm>
          <a:off x="7411803" y="11148935"/>
          <a:ext cx="5177228" cy="791147"/>
        </a:xfrm>
        <a:prstGeom prst="roundRect">
          <a:avLst/>
        </a:prstGeom>
        <a:noFill/>
        <a:ln>
          <a:solidFill>
            <a:srgbClr val="455266"/>
          </a:solidFill>
          <a:headEnd type="none" w="med" len="med"/>
          <a:tailEnd type="none" w="med" len="med"/>
        </a:ln>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style>
        <a:lnRef idx="2">
          <a:schemeClr val="accent3"/>
        </a:lnRef>
        <a:fillRef idx="1">
          <a:schemeClr val="lt1"/>
        </a:fillRef>
        <a:effectRef idx="0">
          <a:schemeClr val="accent3"/>
        </a:effectRef>
        <a:fontRef idx="minor">
          <a:schemeClr val="dk1"/>
        </a:fontRef>
      </xdr:style>
      <xdr:txBody>
        <a:bodyPr vertOverflow="clip" wrap="square" lIns="18288" tIns="0" rIns="0" bIns="0" rtlCol="0" anchor="ctr" upright="1"/>
        <a:lstStyle/>
        <a:p>
          <a:pPr algn="l"/>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155511</xdr:colOff>
      <xdr:row>88</xdr:row>
      <xdr:rowOff>114300</xdr:rowOff>
    </xdr:from>
    <xdr:to>
      <xdr:col>13</xdr:col>
      <xdr:colOff>25919</xdr:colOff>
      <xdr:row>90</xdr:row>
      <xdr:rowOff>90714</xdr:rowOff>
    </xdr:to>
    <xdr:sp macro="" textlink="">
      <xdr:nvSpPr>
        <xdr:cNvPr id="2" name="Afgeronde rechthoek 1">
          <a:extLst>
            <a:ext uri="{FF2B5EF4-FFF2-40B4-BE49-F238E27FC236}">
              <a16:creationId xmlns:a16="http://schemas.microsoft.com/office/drawing/2014/main" id="{37E86FD2-5500-1240-9247-08516A7E0537}"/>
            </a:ext>
          </a:extLst>
        </xdr:cNvPr>
        <xdr:cNvSpPr/>
      </xdr:nvSpPr>
      <xdr:spPr bwMode="auto">
        <a:xfrm>
          <a:off x="2941735" y="13047565"/>
          <a:ext cx="16613674" cy="391108"/>
        </a:xfrm>
        <a:prstGeom prst="roundRect">
          <a:avLst/>
        </a:prstGeom>
        <a:noFill/>
        <a:ln>
          <a:solidFill>
            <a:srgbClr val="455266"/>
          </a:solidFill>
          <a:headEnd type="none" w="med" len="med"/>
          <a:tailEnd type="none" w="med" len="med"/>
        </a:ln>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style>
        <a:lnRef idx="2">
          <a:schemeClr val="accent3"/>
        </a:lnRef>
        <a:fillRef idx="1">
          <a:schemeClr val="lt1"/>
        </a:fillRef>
        <a:effectRef idx="0">
          <a:schemeClr val="accent3"/>
        </a:effectRef>
        <a:fontRef idx="minor">
          <a:schemeClr val="dk1"/>
        </a:fontRef>
      </xdr:style>
      <xdr:txBody>
        <a:bodyPr vertOverflow="clip" wrap="square" lIns="18288" tIns="0" rIns="0" bIns="0" rtlCol="0" anchor="ctr" upright="1"/>
        <a:lstStyle/>
        <a:p>
          <a:pPr algn="l"/>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C:\Users\ron.ANCORABV\Documents\SPOOR\ICCA\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C:\C\Users\r.sakko\AppData\Local\Microsoft\Windows\INetCache\Content.Outlook\U4RJF6YL\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C:\Users\piet\Documents\%20%20ICCA\Dashboard\01.%20SPURD\02.%202018\01.%20SPURD%20gym\01.%20HSO\02.%20Contractmodule\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C:\Users\ron.ANCORABV\Documents\SPOOR\ICCA\Victoria%20Calculatiemodel%20P2%20V1%2001%20jul%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3 (3)"/>
      <sheetName val="Blad3 (2)"/>
      <sheetName val="Blad2"/>
      <sheetName val="Blad3"/>
      <sheetName val="Blad4"/>
      <sheetName val="Psychiatrie"/>
      <sheetName val="Nummers"/>
      <sheetName val="Menu"/>
      <sheetName val="Tijdnormen"/>
      <sheetName val="Frekwenties"/>
      <sheetName val="Vloeren"/>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Kengetal"/>
      <sheetName val="1.5 Opbouw uurtarieven"/>
      <sheetName val="1.3-Basis ruimtestaat"/>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rugblik">
  <a:themeElements>
    <a:clrScheme name="Terugblik">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Terugblik">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Terugblik">
      <a:fillStyleLst>
        <a:solidFill>
          <a:schemeClr val="phClr"/>
        </a:solidFill>
        <a:gradFill rotWithShape="1">
          <a:gsLst>
            <a:gs pos="0">
              <a:schemeClr val="phClr">
                <a:tint val="65000"/>
                <a:shade val="92000"/>
                <a:satMod val="130000"/>
              </a:schemeClr>
            </a:gs>
            <a:gs pos="45000">
              <a:schemeClr val="phClr">
                <a:tint val="60000"/>
                <a:shade val="99000"/>
                <a:satMod val="120000"/>
              </a:schemeClr>
            </a:gs>
            <a:gs pos="100000">
              <a:schemeClr val="phClr">
                <a:tint val="55000"/>
                <a:satMod val="140000"/>
              </a:schemeClr>
            </a:gs>
          </a:gsLst>
          <a:path path="circle">
            <a:fillToRect l="100000" t="100000" r="100000" b="100000"/>
          </a:path>
        </a:gradFill>
        <a:gradFill rotWithShape="1">
          <a:gsLst>
            <a:gs pos="0">
              <a:schemeClr val="phClr">
                <a:shade val="85000"/>
                <a:satMod val="130000"/>
              </a:schemeClr>
            </a:gs>
            <a:gs pos="34000">
              <a:schemeClr val="phClr">
                <a:shade val="87000"/>
                <a:satMod val="125000"/>
              </a:schemeClr>
            </a:gs>
            <a:gs pos="70000">
              <a:schemeClr val="phClr">
                <a:tint val="100000"/>
                <a:shade val="90000"/>
                <a:satMod val="130000"/>
              </a:schemeClr>
            </a:gs>
            <a:gs pos="100000">
              <a:schemeClr val="phClr">
                <a:tint val="100000"/>
                <a:shade val="100000"/>
                <a:satMod val="110000"/>
              </a:schemeClr>
            </a:gs>
          </a:gsLst>
          <a:path path="circle">
            <a:fillToRect l="100000" t="100000" r="100000" b="100000"/>
          </a:path>
        </a:gradFill>
      </a:fillStyleLst>
      <a:lnStyleLst>
        <a:ln w="12700"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44450" dist="25400" dir="2700000" algn="br" rotWithShape="0">
              <a:srgbClr val="000000">
                <a:alpha val="60000"/>
              </a:srgbClr>
            </a:outerShdw>
          </a:effectLst>
          <a:scene3d>
            <a:camera prst="orthographicFront">
              <a:rot lat="0" lon="0" rev="0"/>
            </a:camera>
            <a:lightRig rig="threePt" dir="t">
              <a:rot lat="0" lon="0" rev="19800000"/>
            </a:lightRig>
          </a:scene3d>
          <a:sp3d prstMaterial="flat">
            <a:bevelT w="25400" h="31750"/>
          </a:sp3d>
        </a:effectStyle>
      </a:effectStyleLst>
      <a:bgFillStyleLst>
        <a:solidFill>
          <a:schemeClr val="phClr"/>
        </a:solidFill>
        <a:solidFill>
          <a:schemeClr val="phClr">
            <a:tint val="90000"/>
            <a:shade val="97000"/>
            <a:satMod val="130000"/>
          </a:schemeClr>
        </a:solidFill>
        <a:gradFill rotWithShape="1">
          <a:gsLst>
            <a:gs pos="0">
              <a:schemeClr val="phClr">
                <a:tint val="96000"/>
                <a:shade val="99000"/>
                <a:satMod val="140000"/>
              </a:schemeClr>
            </a:gs>
            <a:gs pos="65000">
              <a:schemeClr val="phClr">
                <a:tint val="100000"/>
                <a:shade val="80000"/>
                <a:satMod val="130000"/>
              </a:schemeClr>
            </a:gs>
            <a:gs pos="100000">
              <a:schemeClr val="phClr">
                <a:tint val="100000"/>
                <a:shade val="48000"/>
                <a:satMod val="120000"/>
              </a:schemeClr>
            </a:gs>
          </a:gsLst>
          <a:lin ang="16200000" scaled="0"/>
        </a:gradFill>
      </a:bgFillStyleLst>
    </a:fmtScheme>
  </a:themeElements>
  <a:objectDefaults/>
  <a:extraClrSchemeLst/>
  <a:extLst>
    <a:ext uri="{05A4C25C-085E-4340-85A3-A5531E510DB2}">
      <thm15:themeFamily xmlns:thm15="http://schemas.microsoft.com/office/thememl/2012/main" name="Retrospect" id="{5F128B03-DCCA-4EEB-AB3B-CF2899314A46}" vid="{3F1AAB62-24C6-49D2-8E01-B56FAC9A3DCD}"/>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image" Target="../media/image1.png"/></Relationships>
</file>

<file path=xl/worksheets/_rels/sheet11.xml.rels><?xml version="1.0" encoding="UTF-8" standalone="yes"?>
<Relationships xmlns="http://schemas.openxmlformats.org/package/2006/relationships"><Relationship Id="rId1" Type="http://schemas.openxmlformats.org/officeDocument/2006/relationships/image" Target="../media/image1.png"/></Relationships>
</file>

<file path=xl/worksheets/_rels/sheet12.xml.rels><?xml version="1.0" encoding="UTF-8" standalone="yes"?>
<Relationships xmlns="http://schemas.openxmlformats.org/package/2006/relationships"><Relationship Id="rId1" Type="http://schemas.openxmlformats.org/officeDocument/2006/relationships/image" Target="../media/image3.png"/></Relationships>
</file>

<file path=xl/worksheets/_rels/sheet13.xml.rels><?xml version="1.0" encoding="UTF-8" standalone="yes"?>
<Relationships xmlns="http://schemas.openxmlformats.org/package/2006/relationships"><Relationship Id="rId1" Type="http://schemas.openxmlformats.org/officeDocument/2006/relationships/image" Target="../media/image5.png"/></Relationships>
</file>

<file path=xl/worksheets/_rels/sheet2.xml.rels><?xml version="1.0" encoding="UTF-8" standalone="yes"?>
<Relationships xmlns="http://schemas.openxmlformats.org/package/2006/relationships"><Relationship Id="rId1" Type="http://schemas.openxmlformats.org/officeDocument/2006/relationships/image" Target="../media/image1.png"/></Relationships>
</file>

<file path=xl/worksheets/_rels/sheet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image" Target="../media/image1.png"/></Relationships>
</file>

<file path=xl/worksheets/_rels/sheet6.xml.rels><?xml version="1.0" encoding="UTF-8" standalone="yes"?>
<Relationships xmlns="http://schemas.openxmlformats.org/package/2006/relationships"><Relationship Id="rId1" Type="http://schemas.openxmlformats.org/officeDocument/2006/relationships/image" Target="../media/image1.png"/></Relationships>
</file>

<file path=xl/worksheets/_rels/sheet7.xml.rels><?xml version="1.0" encoding="UTF-8" standalone="yes"?>
<Relationships xmlns="http://schemas.openxmlformats.org/package/2006/relationships"><Relationship Id="rId1" Type="http://schemas.openxmlformats.org/officeDocument/2006/relationships/image" Target="../media/image3.png"/></Relationships>
</file>

<file path=xl/worksheets/_rels/sheet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3:P159"/>
  <sheetViews>
    <sheetView showGridLines="0" showRowColHeaders="0" workbookViewId="0"/>
  </sheetViews>
  <sheetFormatPr defaultColWidth="10.85546875" defaultRowHeight="15"/>
  <cols>
    <col min="1" max="1" width="10.85546875" style="337"/>
    <col min="2" max="2" width="14" style="337" customWidth="1"/>
    <col min="3" max="5" width="10.85546875" style="337"/>
    <col min="6" max="6" width="18.85546875" style="583" customWidth="1"/>
    <col min="7" max="7" width="23.140625" style="337" customWidth="1"/>
    <col min="8" max="9" width="10.85546875" style="337"/>
    <col min="10" max="10" width="23.140625" style="337" customWidth="1"/>
    <col min="11" max="11" width="15.140625" style="337" customWidth="1"/>
    <col min="12" max="13" width="10.85546875" style="337"/>
    <col min="14" max="14" width="13.85546875" style="337" customWidth="1"/>
    <col min="15" max="15" width="32.85546875" style="337" customWidth="1"/>
    <col min="16" max="16384" width="10.85546875" style="337"/>
  </cols>
  <sheetData>
    <row r="3" spans="6:15">
      <c r="F3" s="582" t="s">
        <v>0</v>
      </c>
      <c r="J3" s="582" t="s">
        <v>1</v>
      </c>
      <c r="N3" s="582" t="s">
        <v>2</v>
      </c>
    </row>
    <row r="4" spans="6:15" ht="12.95" customHeight="1">
      <c r="J4" s="583"/>
      <c r="N4" s="584"/>
    </row>
    <row r="5" spans="6:15" ht="15.95" customHeight="1">
      <c r="F5" s="748" t="s">
        <v>3</v>
      </c>
      <c r="G5" s="749"/>
      <c r="J5" s="748" t="s">
        <v>4</v>
      </c>
      <c r="K5" s="749"/>
      <c r="N5" s="748" t="s">
        <v>5</v>
      </c>
      <c r="O5" s="749"/>
    </row>
    <row r="6" spans="6:15" ht="15.95" customHeight="1">
      <c r="F6" s="750"/>
      <c r="G6" s="751"/>
      <c r="J6" s="750"/>
      <c r="K6" s="751"/>
      <c r="N6" s="750"/>
      <c r="O6" s="751"/>
    </row>
    <row r="7" spans="6:15" ht="15.95" customHeight="1">
      <c r="F7" s="750"/>
      <c r="G7" s="751"/>
      <c r="J7" s="750"/>
      <c r="K7" s="751"/>
      <c r="N7" s="750"/>
      <c r="O7" s="751"/>
    </row>
    <row r="8" spans="6:15" ht="15.95" customHeight="1">
      <c r="F8" s="750"/>
      <c r="G8" s="751"/>
      <c r="J8" s="750"/>
      <c r="K8" s="751"/>
      <c r="N8" s="750"/>
      <c r="O8" s="751"/>
    </row>
    <row r="9" spans="6:15" ht="15.95" customHeight="1">
      <c r="F9" s="750"/>
      <c r="G9" s="751"/>
      <c r="J9" s="750"/>
      <c r="K9" s="751"/>
      <c r="N9" s="750"/>
      <c r="O9" s="751"/>
    </row>
    <row r="10" spans="6:15" ht="15.95" customHeight="1">
      <c r="F10" s="750"/>
      <c r="G10" s="751"/>
      <c r="J10" s="750"/>
      <c r="K10" s="751"/>
      <c r="N10" s="750"/>
      <c r="O10" s="751"/>
    </row>
    <row r="11" spans="6:15" ht="15.95" customHeight="1">
      <c r="F11" s="750"/>
      <c r="G11" s="751"/>
      <c r="J11" s="750"/>
      <c r="K11" s="751"/>
      <c r="N11" s="750"/>
      <c r="O11" s="751"/>
    </row>
    <row r="12" spans="6:15" ht="15.95" customHeight="1">
      <c r="F12" s="750"/>
      <c r="G12" s="751"/>
      <c r="J12" s="750"/>
      <c r="K12" s="751"/>
      <c r="N12" s="750"/>
      <c r="O12" s="751"/>
    </row>
    <row r="13" spans="6:15" ht="15.95" customHeight="1">
      <c r="F13" s="750"/>
      <c r="G13" s="751"/>
      <c r="J13" s="750"/>
      <c r="K13" s="751"/>
      <c r="N13" s="750"/>
      <c r="O13" s="751"/>
    </row>
    <row r="14" spans="6:15" ht="15.95" customHeight="1">
      <c r="F14" s="750"/>
      <c r="G14" s="751"/>
      <c r="J14" s="750"/>
      <c r="K14" s="751"/>
      <c r="N14" s="750"/>
      <c r="O14" s="751"/>
    </row>
    <row r="15" spans="6:15" ht="15.95" customHeight="1">
      <c r="F15" s="752"/>
      <c r="G15" s="753"/>
      <c r="J15" s="752"/>
      <c r="K15" s="753"/>
      <c r="N15" s="752"/>
      <c r="O15" s="753"/>
    </row>
    <row r="19" spans="2:15">
      <c r="B19" s="337" t="s">
        <v>6</v>
      </c>
      <c r="F19" s="582" t="s">
        <v>7</v>
      </c>
      <c r="J19" s="582" t="s">
        <v>8</v>
      </c>
      <c r="N19" s="582" t="s">
        <v>9</v>
      </c>
    </row>
    <row r="20" spans="2:15">
      <c r="B20" s="337" t="s">
        <v>10</v>
      </c>
      <c r="F20" s="584"/>
      <c r="J20" s="584"/>
    </row>
    <row r="21" spans="2:15" ht="15.95" customHeight="1">
      <c r="F21" s="748" t="s">
        <v>11</v>
      </c>
      <c r="G21" s="749"/>
      <c r="J21" s="748" t="s">
        <v>12</v>
      </c>
      <c r="K21" s="749"/>
      <c r="N21" s="748" t="s">
        <v>13</v>
      </c>
      <c r="O21" s="749"/>
    </row>
    <row r="22" spans="2:15" ht="15.95" customHeight="1">
      <c r="B22" s="337" t="s">
        <v>14</v>
      </c>
      <c r="F22" s="750"/>
      <c r="G22" s="751"/>
      <c r="J22" s="750"/>
      <c r="K22" s="751"/>
      <c r="N22" s="750"/>
      <c r="O22" s="751"/>
    </row>
    <row r="23" spans="2:15" ht="15.95" customHeight="1">
      <c r="B23" s="337" t="s">
        <v>15</v>
      </c>
      <c r="F23" s="750"/>
      <c r="G23" s="751"/>
      <c r="J23" s="750"/>
      <c r="K23" s="751"/>
      <c r="N23" s="750"/>
      <c r="O23" s="751"/>
    </row>
    <row r="24" spans="2:15" ht="15.95" customHeight="1">
      <c r="B24" s="337" t="s">
        <v>16</v>
      </c>
      <c r="F24" s="750"/>
      <c r="G24" s="751"/>
      <c r="J24" s="750"/>
      <c r="K24" s="751"/>
      <c r="N24" s="750"/>
      <c r="O24" s="751"/>
    </row>
    <row r="25" spans="2:15" ht="15.95" customHeight="1" thickBot="1">
      <c r="F25" s="750"/>
      <c r="G25" s="751"/>
      <c r="J25" s="750"/>
      <c r="K25" s="751"/>
      <c r="N25" s="750"/>
      <c r="O25" s="751"/>
    </row>
    <row r="26" spans="2:15" ht="15.95" customHeight="1" thickBot="1">
      <c r="B26" s="585"/>
      <c r="C26" s="560" t="s">
        <v>17</v>
      </c>
      <c r="F26" s="750"/>
      <c r="G26" s="751"/>
      <c r="J26" s="750"/>
      <c r="K26" s="751"/>
      <c r="N26" s="750"/>
      <c r="O26" s="751"/>
    </row>
    <row r="27" spans="2:15" ht="15.95" customHeight="1" thickBot="1">
      <c r="B27" s="586"/>
      <c r="C27" s="560" t="s">
        <v>18</v>
      </c>
      <c r="F27" s="750"/>
      <c r="G27" s="751"/>
      <c r="J27" s="750"/>
      <c r="K27" s="751"/>
      <c r="N27" s="750"/>
      <c r="O27" s="751"/>
    </row>
    <row r="28" spans="2:15" ht="15.95" customHeight="1" thickBot="1">
      <c r="B28" s="601"/>
      <c r="C28" s="560" t="s">
        <v>19</v>
      </c>
      <c r="F28" s="750"/>
      <c r="G28" s="751"/>
      <c r="J28" s="750"/>
      <c r="K28" s="751"/>
      <c r="N28" s="750"/>
      <c r="O28" s="751"/>
    </row>
    <row r="29" spans="2:15" ht="15.95" customHeight="1">
      <c r="F29" s="750"/>
      <c r="G29" s="751"/>
      <c r="J29" s="750"/>
      <c r="K29" s="751"/>
      <c r="N29" s="750"/>
      <c r="O29" s="751"/>
    </row>
    <row r="30" spans="2:15" ht="15.95" customHeight="1">
      <c r="F30" s="750"/>
      <c r="G30" s="751"/>
      <c r="J30" s="750"/>
      <c r="K30" s="751"/>
      <c r="N30" s="750"/>
      <c r="O30" s="751"/>
    </row>
    <row r="31" spans="2:15" ht="15.95" customHeight="1">
      <c r="F31" s="752"/>
      <c r="G31" s="753"/>
      <c r="J31" s="752"/>
      <c r="K31" s="753"/>
      <c r="N31" s="752"/>
      <c r="O31" s="753"/>
    </row>
    <row r="34" spans="2:16">
      <c r="F34" s="582" t="s">
        <v>20</v>
      </c>
      <c r="J34" s="730" t="s">
        <v>21</v>
      </c>
      <c r="K34" s="731"/>
      <c r="N34" s="582" t="s">
        <v>22</v>
      </c>
    </row>
    <row r="35" spans="2:16">
      <c r="M35" s="643"/>
      <c r="P35" s="643"/>
    </row>
    <row r="36" spans="2:16" ht="12.95" customHeight="1">
      <c r="F36" s="748" t="s">
        <v>23</v>
      </c>
      <c r="G36" s="749"/>
      <c r="J36" s="754" t="s">
        <v>24</v>
      </c>
      <c r="K36" s="755"/>
      <c r="M36" s="643"/>
      <c r="N36" s="760" t="s">
        <v>24</v>
      </c>
      <c r="O36" s="761"/>
      <c r="P36" s="643"/>
    </row>
    <row r="37" spans="2:16">
      <c r="F37" s="750"/>
      <c r="G37" s="751"/>
      <c r="J37" s="756"/>
      <c r="K37" s="757"/>
      <c r="M37" s="643"/>
      <c r="N37" s="762"/>
      <c r="O37" s="763"/>
      <c r="P37" s="643"/>
    </row>
    <row r="38" spans="2:16" ht="15.95" thickBot="1">
      <c r="F38" s="750"/>
      <c r="G38" s="751"/>
      <c r="J38" s="756"/>
      <c r="K38" s="757"/>
      <c r="M38" s="643"/>
      <c r="N38" s="762"/>
      <c r="O38" s="763"/>
      <c r="P38" s="643"/>
    </row>
    <row r="39" spans="2:16">
      <c r="B39" s="739" t="s">
        <v>25</v>
      </c>
      <c r="C39" s="740"/>
      <c r="D39" s="741"/>
      <c r="F39" s="750"/>
      <c r="G39" s="751"/>
      <c r="J39" s="756"/>
      <c r="K39" s="757"/>
      <c r="M39" s="643"/>
      <c r="N39" s="762"/>
      <c r="O39" s="763"/>
      <c r="P39" s="643"/>
    </row>
    <row r="40" spans="2:16">
      <c r="B40" s="742"/>
      <c r="C40" s="743"/>
      <c r="D40" s="744"/>
      <c r="F40" s="750"/>
      <c r="G40" s="751"/>
      <c r="J40" s="756"/>
      <c r="K40" s="757"/>
      <c r="M40" s="643"/>
      <c r="N40" s="762"/>
      <c r="O40" s="763"/>
      <c r="P40" s="643"/>
    </row>
    <row r="41" spans="2:16">
      <c r="B41" s="742"/>
      <c r="C41" s="743"/>
      <c r="D41" s="744"/>
      <c r="F41" s="750"/>
      <c r="G41" s="751"/>
      <c r="J41" s="756"/>
      <c r="K41" s="757"/>
      <c r="M41" s="643"/>
      <c r="N41" s="762"/>
      <c r="O41" s="763"/>
      <c r="P41" s="643"/>
    </row>
    <row r="42" spans="2:16">
      <c r="B42" s="742"/>
      <c r="C42" s="743"/>
      <c r="D42" s="744"/>
      <c r="F42" s="750"/>
      <c r="G42" s="751"/>
      <c r="J42" s="756"/>
      <c r="K42" s="757"/>
      <c r="M42" s="643"/>
      <c r="N42" s="762"/>
      <c r="O42" s="763"/>
      <c r="P42" s="643"/>
    </row>
    <row r="43" spans="2:16">
      <c r="B43" s="742"/>
      <c r="C43" s="743"/>
      <c r="D43" s="744"/>
      <c r="F43" s="750"/>
      <c r="G43" s="751"/>
      <c r="J43" s="756"/>
      <c r="K43" s="757"/>
      <c r="N43" s="762"/>
      <c r="O43" s="763"/>
    </row>
    <row r="44" spans="2:16">
      <c r="B44" s="742"/>
      <c r="C44" s="743"/>
      <c r="D44" s="744"/>
      <c r="F44" s="750"/>
      <c r="G44" s="751"/>
      <c r="J44" s="756"/>
      <c r="K44" s="757"/>
      <c r="N44" s="762"/>
      <c r="O44" s="763"/>
    </row>
    <row r="45" spans="2:16">
      <c r="B45" s="742"/>
      <c r="C45" s="743"/>
      <c r="D45" s="744"/>
      <c r="F45" s="750"/>
      <c r="G45" s="751"/>
      <c r="J45" s="756"/>
      <c r="K45" s="757"/>
      <c r="N45" s="762"/>
      <c r="O45" s="763"/>
    </row>
    <row r="46" spans="2:16">
      <c r="B46" s="742"/>
      <c r="C46" s="743"/>
      <c r="D46" s="744"/>
      <c r="F46" s="752"/>
      <c r="G46" s="753"/>
      <c r="J46" s="758"/>
      <c r="K46" s="759"/>
      <c r="N46" s="764"/>
      <c r="O46" s="765"/>
    </row>
    <row r="47" spans="2:16">
      <c r="B47" s="742"/>
      <c r="C47" s="743"/>
      <c r="D47" s="744"/>
    </row>
    <row r="48" spans="2:16">
      <c r="B48" s="742"/>
      <c r="C48" s="743"/>
      <c r="D48" s="744"/>
    </row>
    <row r="49" spans="2:13">
      <c r="B49" s="742"/>
      <c r="C49" s="743"/>
      <c r="D49" s="744"/>
    </row>
    <row r="50" spans="2:13" ht="17.100000000000001">
      <c r="B50" s="742"/>
      <c r="C50" s="743"/>
      <c r="D50" s="744"/>
      <c r="F50" s="582" t="s">
        <v>26</v>
      </c>
      <c r="J50" s="582" t="s">
        <v>27</v>
      </c>
      <c r="M50" s="587" t="s">
        <v>28</v>
      </c>
    </row>
    <row r="51" spans="2:13" ht="18" thickBot="1">
      <c r="B51" s="745"/>
      <c r="C51" s="746"/>
      <c r="D51" s="747"/>
      <c r="F51" s="584"/>
      <c r="M51" s="588" t="s">
        <v>29</v>
      </c>
    </row>
    <row r="52" spans="2:13" ht="17.100000000000001">
      <c r="F52" s="748" t="s">
        <v>30</v>
      </c>
      <c r="G52" s="749"/>
      <c r="J52" s="748" t="s">
        <v>31</v>
      </c>
      <c r="K52" s="749"/>
      <c r="M52" s="588"/>
    </row>
    <row r="53" spans="2:13" ht="17.100000000000001">
      <c r="F53" s="750"/>
      <c r="G53" s="751"/>
      <c r="J53" s="750"/>
      <c r="K53" s="751"/>
      <c r="M53" s="588" t="s">
        <v>32</v>
      </c>
    </row>
    <row r="54" spans="2:13" ht="17.100000000000001">
      <c r="F54" s="750"/>
      <c r="G54" s="751"/>
      <c r="J54" s="750"/>
      <c r="K54" s="751"/>
      <c r="M54" s="588" t="s">
        <v>33</v>
      </c>
    </row>
    <row r="55" spans="2:13" ht="17.100000000000001">
      <c r="F55" s="750"/>
      <c r="G55" s="751"/>
      <c r="J55" s="750"/>
      <c r="K55" s="751"/>
      <c r="M55" s="588"/>
    </row>
    <row r="56" spans="2:13" ht="17.100000000000001">
      <c r="F56" s="750"/>
      <c r="G56" s="751"/>
      <c r="J56" s="750"/>
      <c r="K56" s="751"/>
      <c r="M56" s="588" t="s">
        <v>34</v>
      </c>
    </row>
    <row r="57" spans="2:13">
      <c r="F57" s="750"/>
      <c r="G57" s="751"/>
      <c r="J57" s="750"/>
      <c r="K57" s="751"/>
    </row>
    <row r="58" spans="2:13" ht="17.100000000000001">
      <c r="F58" s="750"/>
      <c r="G58" s="751"/>
      <c r="J58" s="750"/>
      <c r="K58" s="751"/>
      <c r="M58" s="588" t="s">
        <v>35</v>
      </c>
    </row>
    <row r="59" spans="2:13">
      <c r="F59" s="750"/>
      <c r="G59" s="751"/>
      <c r="J59" s="750"/>
      <c r="K59" s="751"/>
    </row>
    <row r="60" spans="2:13">
      <c r="F60" s="750"/>
      <c r="G60" s="751"/>
      <c r="J60" s="750"/>
      <c r="K60" s="751"/>
      <c r="M60" s="584"/>
    </row>
    <row r="61" spans="2:13">
      <c r="F61" s="750"/>
      <c r="G61" s="751"/>
      <c r="J61" s="750"/>
      <c r="K61" s="751"/>
    </row>
    <row r="62" spans="2:13">
      <c r="F62" s="752"/>
      <c r="G62" s="753"/>
      <c r="J62" s="752"/>
      <c r="K62" s="753"/>
    </row>
    <row r="63" spans="2:13" ht="12.95" customHeight="1">
      <c r="F63" s="584"/>
    </row>
    <row r="64" spans="2:13">
      <c r="F64" s="584"/>
    </row>
    <row r="65" spans="6:6">
      <c r="F65" s="584"/>
    </row>
    <row r="66" spans="6:6">
      <c r="F66" s="584"/>
    </row>
    <row r="67" spans="6:6">
      <c r="F67" s="584"/>
    </row>
    <row r="68" spans="6:6">
      <c r="F68" s="584"/>
    </row>
    <row r="77" spans="6:6">
      <c r="F77" s="584"/>
    </row>
    <row r="78" spans="6:6">
      <c r="F78" s="584"/>
    </row>
    <row r="79" spans="6:6">
      <c r="F79" s="584"/>
    </row>
    <row r="80" spans="6:6">
      <c r="F80" s="584"/>
    </row>
    <row r="81" spans="6:6">
      <c r="F81" s="584"/>
    </row>
    <row r="82" spans="6:6">
      <c r="F82" s="584"/>
    </row>
    <row r="83" spans="6:6">
      <c r="F83" s="584"/>
    </row>
    <row r="84" spans="6:6">
      <c r="F84" s="584"/>
    </row>
    <row r="85" spans="6:6">
      <c r="F85" s="584"/>
    </row>
    <row r="86" spans="6:6">
      <c r="F86" s="584"/>
    </row>
    <row r="87" spans="6:6">
      <c r="F87" s="584"/>
    </row>
    <row r="88" spans="6:6">
      <c r="F88" s="584"/>
    </row>
    <row r="89" spans="6:6">
      <c r="F89" s="584"/>
    </row>
    <row r="90" spans="6:6">
      <c r="F90" s="584"/>
    </row>
    <row r="91" spans="6:6">
      <c r="F91" s="584"/>
    </row>
    <row r="92" spans="6:6">
      <c r="F92" s="584"/>
    </row>
    <row r="93" spans="6:6">
      <c r="F93" s="584"/>
    </row>
    <row r="94" spans="6:6">
      <c r="F94" s="584"/>
    </row>
    <row r="95" spans="6:6">
      <c r="F95" s="584"/>
    </row>
    <row r="96" spans="6:6">
      <c r="F96" s="584"/>
    </row>
    <row r="97" spans="6:6" ht="12.95" customHeight="1">
      <c r="F97" s="584"/>
    </row>
    <row r="98" spans="6:6">
      <c r="F98" s="584"/>
    </row>
    <row r="99" spans="6:6">
      <c r="F99" s="584"/>
    </row>
    <row r="100" spans="6:6">
      <c r="F100" s="584"/>
    </row>
    <row r="101" spans="6:6">
      <c r="F101" s="584"/>
    </row>
    <row r="102" spans="6:6">
      <c r="F102" s="584"/>
    </row>
    <row r="103" spans="6:6">
      <c r="F103" s="584"/>
    </row>
    <row r="104" spans="6:6">
      <c r="F104" s="584"/>
    </row>
    <row r="105" spans="6:6">
      <c r="F105" s="584"/>
    </row>
    <row r="106" spans="6:6">
      <c r="F106" s="584"/>
    </row>
    <row r="107" spans="6:6">
      <c r="F107" s="584"/>
    </row>
    <row r="108" spans="6:6">
      <c r="F108" s="584"/>
    </row>
    <row r="109" spans="6:6">
      <c r="F109" s="584"/>
    </row>
    <row r="110" spans="6:6">
      <c r="F110" s="584"/>
    </row>
    <row r="111" spans="6:6">
      <c r="F111" s="584"/>
    </row>
    <row r="112" spans="6:6">
      <c r="F112" s="584"/>
    </row>
    <row r="113" spans="6:6">
      <c r="F113" s="584"/>
    </row>
    <row r="114" spans="6:6">
      <c r="F114" s="584"/>
    </row>
    <row r="115" spans="6:6">
      <c r="F115" s="584"/>
    </row>
    <row r="116" spans="6:6">
      <c r="F116" s="584"/>
    </row>
    <row r="117" spans="6:6">
      <c r="F117" s="584"/>
    </row>
    <row r="118" spans="6:6">
      <c r="F118" s="584"/>
    </row>
    <row r="119" spans="6:6">
      <c r="F119" s="584"/>
    </row>
    <row r="120" spans="6:6">
      <c r="F120" s="584"/>
    </row>
    <row r="121" spans="6:6">
      <c r="F121" s="584"/>
    </row>
    <row r="122" spans="6:6">
      <c r="F122" s="584"/>
    </row>
    <row r="123" spans="6:6">
      <c r="F123" s="584"/>
    </row>
    <row r="152" spans="6:6">
      <c r="F152" s="584"/>
    </row>
    <row r="153" spans="6:6">
      <c r="F153" s="584"/>
    </row>
    <row r="154" spans="6:6">
      <c r="F154" s="584"/>
    </row>
    <row r="155" spans="6:6">
      <c r="F155" s="584"/>
    </row>
    <row r="156" spans="6:6">
      <c r="F156" s="584"/>
    </row>
    <row r="157" spans="6:6">
      <c r="F157" s="584"/>
    </row>
    <row r="158" spans="6:6">
      <c r="F158" s="584"/>
    </row>
    <row r="159" spans="6:6">
      <c r="F159" s="584"/>
    </row>
  </sheetData>
  <mergeCells count="12">
    <mergeCell ref="N5:O15"/>
    <mergeCell ref="F21:G31"/>
    <mergeCell ref="J21:K31"/>
    <mergeCell ref="N21:O31"/>
    <mergeCell ref="F36:G46"/>
    <mergeCell ref="J36:K46"/>
    <mergeCell ref="N36:O46"/>
    <mergeCell ref="B39:D51"/>
    <mergeCell ref="F52:G62"/>
    <mergeCell ref="J52:K62"/>
    <mergeCell ref="F5:G15"/>
    <mergeCell ref="J5:K15"/>
  </mergeCells>
  <pageMargins left="0.75" right="0.75" top="1" bottom="1" header="0.5" footer="0.5"/>
  <pageSetup paperSize="9" scale="94" orientation="portrait" horizontalDpi="4294967292" verticalDpi="4294967292"/>
  <rowBreaks count="2" manualBreakCount="2">
    <brk id="45" min="5" max="7" man="1"/>
    <brk id="93" min="5" max="7" man="1"/>
  </rowBreaks>
  <drawing r:id="rId1"/>
  <pictur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pageSetUpPr fitToPage="1"/>
  </sheetPr>
  <dimension ref="B1:J144"/>
  <sheetViews>
    <sheetView showGridLines="0" showRowColHeaders="0" showZeros="0" showOutlineSymbols="0" zoomScale="96" zoomScaleNormal="100" zoomScaleSheetLayoutView="75" zoomScalePageLayoutView="125" workbookViewId="0"/>
  </sheetViews>
  <sheetFormatPr defaultColWidth="10.85546875" defaultRowHeight="15"/>
  <cols>
    <col min="1" max="1" width="8.140625" style="242" customWidth="1"/>
    <col min="2" max="2" width="15.140625" style="242" customWidth="1"/>
    <col min="3" max="3" width="34.140625" style="242" bestFit="1" customWidth="1"/>
    <col min="4" max="4" width="6.140625" style="242" customWidth="1"/>
    <col min="5" max="5" width="38.85546875" style="242" customWidth="1"/>
    <col min="6" max="6" width="45" style="242" customWidth="1"/>
    <col min="7" max="7" width="15.85546875" style="242" customWidth="1"/>
    <col min="8" max="8" width="19.85546875" style="242" customWidth="1"/>
    <col min="9" max="9" width="5.85546875" style="242" customWidth="1"/>
    <col min="10" max="10" width="19" style="242" customWidth="1"/>
    <col min="11" max="16384" width="10.85546875" style="242"/>
  </cols>
  <sheetData>
    <row r="1" spans="2:9" ht="9.9499999999999993" customHeight="1" thickBot="1">
      <c r="E1" s="27"/>
      <c r="F1" s="27"/>
      <c r="G1" s="94"/>
      <c r="H1" s="94"/>
      <c r="I1" s="94"/>
    </row>
    <row r="2" spans="2:9" ht="9.9499999999999993" customHeight="1">
      <c r="E2" s="97"/>
      <c r="F2" s="97"/>
      <c r="G2" s="94"/>
      <c r="H2" s="94"/>
      <c r="I2" s="94"/>
    </row>
    <row r="4" spans="2:9" ht="17.100000000000001">
      <c r="E4" s="489" t="s">
        <v>91</v>
      </c>
      <c r="F4" s="490" t="s">
        <v>424</v>
      </c>
      <c r="G4" s="463"/>
    </row>
    <row r="5" spans="2:9" ht="17.100000000000001">
      <c r="E5" s="200" t="s">
        <v>93</v>
      </c>
      <c r="F5" s="204" t="str">
        <f>Voorblad!$E$16</f>
        <v>Invest-NL</v>
      </c>
      <c r="G5" s="463"/>
    </row>
    <row r="6" spans="2:9" ht="17.100000000000001">
      <c r="E6" s="200" t="s">
        <v>94</v>
      </c>
      <c r="F6" s="204" t="str">
        <f>'1.0-Contractblad'!$E$7</f>
        <v>Kingsfordweg 43-117 Amsterdam</v>
      </c>
      <c r="G6" s="464"/>
      <c r="H6" s="464"/>
    </row>
    <row r="7" spans="2:9" ht="17.100000000000001">
      <c r="E7" s="200" t="s">
        <v>43</v>
      </c>
      <c r="F7" s="210" t="str">
        <f>Voorblad!$E$24</f>
        <v>TN436801</v>
      </c>
      <c r="G7" s="463"/>
    </row>
    <row r="8" spans="2:9" ht="17.100000000000001">
      <c r="E8" s="200" t="s">
        <v>45</v>
      </c>
      <c r="F8" s="215" t="e">
        <f ca="1">Voorblad!$E$26</f>
        <v>#VALUE!</v>
      </c>
      <c r="G8" s="465"/>
    </row>
    <row r="9" spans="2:9" ht="17.100000000000001">
      <c r="E9" s="489" t="s">
        <v>95</v>
      </c>
      <c r="F9" s="259" t="str">
        <f>Voorblad!$E$19</f>
        <v>[Invoeren naam organisatie van Inschrijver]</v>
      </c>
      <c r="G9" s="463"/>
    </row>
    <row r="10" spans="2:9" ht="17.100000000000001">
      <c r="E10" s="200" t="s">
        <v>42</v>
      </c>
      <c r="F10" s="222">
        <f>Voorblad!$E$22</f>
        <v>45473</v>
      </c>
    </row>
    <row r="11" spans="2:9" ht="17.100000000000001">
      <c r="E11" s="462"/>
      <c r="F11" s="466"/>
    </row>
    <row r="12" spans="2:9">
      <c r="E12" s="467"/>
      <c r="F12" s="467"/>
      <c r="G12" s="467"/>
      <c r="H12" s="467"/>
    </row>
    <row r="13" spans="2:9" ht="15.75" customHeight="1">
      <c r="B13" s="561" t="s">
        <v>53</v>
      </c>
      <c r="C13" s="40"/>
      <c r="E13" s="571" t="s">
        <v>425</v>
      </c>
      <c r="F13" s="769"/>
      <c r="G13" s="770"/>
      <c r="H13" s="771"/>
    </row>
    <row r="14" spans="2:9">
      <c r="B14" s="366"/>
      <c r="C14" s="366"/>
      <c r="E14" s="572" t="s">
        <v>426</v>
      </c>
      <c r="F14" s="769"/>
      <c r="G14" s="770"/>
      <c r="H14" s="771"/>
    </row>
    <row r="15" spans="2:9" ht="15.95" thickBot="1">
      <c r="B15" s="591"/>
      <c r="C15" s="562" t="s">
        <v>17</v>
      </c>
      <c r="E15" s="469"/>
      <c r="F15" s="469"/>
      <c r="G15" s="470"/>
      <c r="H15" s="470"/>
    </row>
    <row r="16" spans="2:9" ht="18" thickBot="1">
      <c r="B16" s="601">
        <f>'1.4-Opbouw uurtarieven'!H6</f>
        <v>0</v>
      </c>
      <c r="C16" s="562" t="s">
        <v>19</v>
      </c>
      <c r="E16" s="468" t="s">
        <v>427</v>
      </c>
      <c r="F16" s="469"/>
      <c r="G16" s="471"/>
      <c r="H16" s="472" t="s">
        <v>428</v>
      </c>
    </row>
    <row r="17" spans="5:8">
      <c r="E17" s="469" t="s">
        <v>429</v>
      </c>
      <c r="F17" s="469"/>
      <c r="G17" s="469"/>
      <c r="H17" s="539"/>
    </row>
    <row r="18" spans="5:8">
      <c r="E18" s="469" t="s">
        <v>430</v>
      </c>
      <c r="F18" s="469"/>
      <c r="G18" s="469"/>
      <c r="H18" s="539"/>
    </row>
    <row r="19" spans="5:8">
      <c r="E19" s="469" t="s">
        <v>431</v>
      </c>
      <c r="F19" s="469"/>
      <c r="G19" s="469"/>
      <c r="H19" s="615">
        <f>H17-H18</f>
        <v>0</v>
      </c>
    </row>
    <row r="20" spans="5:8">
      <c r="E20" s="469" t="s">
        <v>432</v>
      </c>
      <c r="F20" s="469"/>
      <c r="G20" s="469"/>
      <c r="H20" s="540"/>
    </row>
    <row r="21" spans="5:8">
      <c r="E21" s="469" t="s">
        <v>433</v>
      </c>
      <c r="F21" s="469"/>
      <c r="G21" s="469"/>
      <c r="H21" s="616">
        <v>0</v>
      </c>
    </row>
    <row r="22" spans="5:8">
      <c r="E22" s="469"/>
      <c r="F22" s="469"/>
      <c r="G22" s="470"/>
      <c r="H22" s="473"/>
    </row>
    <row r="23" spans="5:8">
      <c r="E23" s="468" t="s">
        <v>434</v>
      </c>
      <c r="F23" s="469"/>
      <c r="G23" s="469"/>
      <c r="H23" s="474"/>
    </row>
    <row r="24" spans="5:8">
      <c r="E24" s="469" t="s">
        <v>435</v>
      </c>
      <c r="F24" s="469"/>
      <c r="G24" s="469"/>
      <c r="H24" s="617">
        <f>IF(H20=0,0,(H19-H21)/H20)</f>
        <v>0</v>
      </c>
    </row>
    <row r="25" spans="5:8">
      <c r="E25" s="469" t="s">
        <v>436</v>
      </c>
      <c r="F25" s="469"/>
      <c r="G25" s="469"/>
      <c r="H25" s="539"/>
    </row>
    <row r="26" spans="5:8">
      <c r="E26" s="469" t="s">
        <v>437</v>
      </c>
      <c r="F26" s="473" t="s">
        <v>438</v>
      </c>
      <c r="G26" s="541"/>
      <c r="H26" s="617">
        <f>G26*H19</f>
        <v>0</v>
      </c>
    </row>
    <row r="27" spans="5:8">
      <c r="E27" s="469" t="s">
        <v>439</v>
      </c>
      <c r="F27" s="473" t="s">
        <v>438</v>
      </c>
      <c r="G27" s="541"/>
      <c r="H27" s="617">
        <f>G27*H19</f>
        <v>0</v>
      </c>
    </row>
    <row r="28" spans="5:8">
      <c r="E28" s="469"/>
      <c r="F28" s="469"/>
      <c r="G28" s="470"/>
      <c r="H28" s="473"/>
    </row>
    <row r="29" spans="5:8">
      <c r="E29" s="468" t="s">
        <v>440</v>
      </c>
      <c r="F29" s="469"/>
      <c r="G29" s="469"/>
      <c r="H29" s="617">
        <f>SUM(H24:H28)</f>
        <v>0</v>
      </c>
    </row>
    <row r="30" spans="5:8">
      <c r="E30" s="469"/>
      <c r="F30" s="469"/>
      <c r="G30" s="470"/>
      <c r="H30" s="473"/>
    </row>
    <row r="31" spans="5:8">
      <c r="F31" s="469" t="s">
        <v>441</v>
      </c>
      <c r="G31" s="540"/>
      <c r="H31" s="617">
        <f>G31*H29</f>
        <v>0</v>
      </c>
    </row>
    <row r="32" spans="5:8" ht="17.100000000000001">
      <c r="E32" s="201"/>
      <c r="F32" s="475"/>
      <c r="G32" s="463"/>
      <c r="H32" s="463"/>
    </row>
    <row r="33" spans="5:8">
      <c r="E33" s="571" t="s">
        <v>425</v>
      </c>
      <c r="F33" s="769"/>
      <c r="G33" s="770"/>
      <c r="H33" s="771"/>
    </row>
    <row r="34" spans="5:8">
      <c r="E34" s="572" t="s">
        <v>426</v>
      </c>
      <c r="F34" s="769"/>
      <c r="G34" s="770"/>
      <c r="H34" s="771"/>
    </row>
    <row r="35" spans="5:8">
      <c r="E35" s="469"/>
      <c r="F35" s="469"/>
      <c r="G35" s="470"/>
      <c r="H35" s="470"/>
    </row>
    <row r="36" spans="5:8" ht="17.100000000000001">
      <c r="E36" s="468" t="s">
        <v>427</v>
      </c>
      <c r="F36" s="469"/>
      <c r="G36" s="471"/>
      <c r="H36" s="472" t="s">
        <v>428</v>
      </c>
    </row>
    <row r="37" spans="5:8">
      <c r="E37" s="469" t="s">
        <v>429</v>
      </c>
      <c r="F37" s="469"/>
      <c r="G37" s="469"/>
      <c r="H37" s="539"/>
    </row>
    <row r="38" spans="5:8">
      <c r="E38" s="469" t="s">
        <v>430</v>
      </c>
      <c r="F38" s="469"/>
      <c r="G38" s="469"/>
      <c r="H38" s="539"/>
    </row>
    <row r="39" spans="5:8">
      <c r="E39" s="469" t="s">
        <v>431</v>
      </c>
      <c r="F39" s="469"/>
      <c r="G39" s="469"/>
      <c r="H39" s="615">
        <f>H37-H38</f>
        <v>0</v>
      </c>
    </row>
    <row r="40" spans="5:8">
      <c r="E40" s="469" t="s">
        <v>432</v>
      </c>
      <c r="F40" s="469"/>
      <c r="G40" s="469"/>
      <c r="H40" s="540"/>
    </row>
    <row r="41" spans="5:8">
      <c r="E41" s="469" t="s">
        <v>433</v>
      </c>
      <c r="F41" s="469"/>
      <c r="G41" s="469"/>
      <c r="H41" s="616">
        <v>0</v>
      </c>
    </row>
    <row r="42" spans="5:8">
      <c r="E42" s="469"/>
      <c r="F42" s="469"/>
      <c r="G42" s="470"/>
      <c r="H42" s="473"/>
    </row>
    <row r="43" spans="5:8">
      <c r="E43" s="468" t="s">
        <v>434</v>
      </c>
      <c r="F43" s="469"/>
      <c r="G43" s="469"/>
      <c r="H43" s="474"/>
    </row>
    <row r="44" spans="5:8">
      <c r="E44" s="469" t="s">
        <v>435</v>
      </c>
      <c r="F44" s="469"/>
      <c r="G44" s="469"/>
      <c r="H44" s="617">
        <f>IF(H40=0,0,(H39-H41)/H40)</f>
        <v>0</v>
      </c>
    </row>
    <row r="45" spans="5:8">
      <c r="E45" s="469" t="s">
        <v>436</v>
      </c>
      <c r="F45" s="469"/>
      <c r="G45" s="469"/>
      <c r="H45" s="539"/>
    </row>
    <row r="46" spans="5:8">
      <c r="E46" s="469" t="s">
        <v>437</v>
      </c>
      <c r="F46" s="473" t="s">
        <v>438</v>
      </c>
      <c r="G46" s="541"/>
      <c r="H46" s="617">
        <f>G46*H39</f>
        <v>0</v>
      </c>
    </row>
    <row r="47" spans="5:8">
      <c r="E47" s="469" t="s">
        <v>439</v>
      </c>
      <c r="F47" s="473" t="s">
        <v>438</v>
      </c>
      <c r="G47" s="541"/>
      <c r="H47" s="617">
        <f>G47*H39</f>
        <v>0</v>
      </c>
    </row>
    <row r="48" spans="5:8">
      <c r="E48" s="469"/>
      <c r="F48" s="469"/>
      <c r="G48" s="470"/>
      <c r="H48" s="473"/>
    </row>
    <row r="49" spans="5:8">
      <c r="E49" s="468" t="s">
        <v>440</v>
      </c>
      <c r="F49" s="469"/>
      <c r="G49" s="469"/>
      <c r="H49" s="617">
        <f>SUM(H44:H48)</f>
        <v>0</v>
      </c>
    </row>
    <row r="50" spans="5:8">
      <c r="E50" s="469"/>
      <c r="F50" s="469"/>
      <c r="G50" s="470"/>
      <c r="H50" s="473"/>
    </row>
    <row r="51" spans="5:8">
      <c r="F51" s="469" t="s">
        <v>441</v>
      </c>
      <c r="G51" s="540"/>
      <c r="H51" s="617">
        <f>G51*H49</f>
        <v>0</v>
      </c>
    </row>
    <row r="52" spans="5:8" ht="17.100000000000001">
      <c r="E52" s="201"/>
      <c r="F52" s="475"/>
      <c r="G52" s="463"/>
      <c r="H52" s="463"/>
    </row>
    <row r="53" spans="5:8">
      <c r="E53" s="571" t="s">
        <v>425</v>
      </c>
      <c r="F53" s="769"/>
      <c r="G53" s="770"/>
      <c r="H53" s="771"/>
    </row>
    <row r="54" spans="5:8">
      <c r="E54" s="572" t="s">
        <v>426</v>
      </c>
      <c r="F54" s="769"/>
      <c r="G54" s="770"/>
      <c r="H54" s="771"/>
    </row>
    <row r="55" spans="5:8">
      <c r="E55" s="469"/>
      <c r="F55" s="469"/>
      <c r="G55" s="470"/>
      <c r="H55" s="470"/>
    </row>
    <row r="56" spans="5:8" ht="17.100000000000001">
      <c r="E56" s="468" t="s">
        <v>427</v>
      </c>
      <c r="F56" s="469"/>
      <c r="G56" s="471"/>
      <c r="H56" s="472" t="s">
        <v>428</v>
      </c>
    </row>
    <row r="57" spans="5:8">
      <c r="E57" s="469" t="s">
        <v>429</v>
      </c>
      <c r="F57" s="469"/>
      <c r="G57" s="469"/>
      <c r="H57" s="539"/>
    </row>
    <row r="58" spans="5:8">
      <c r="E58" s="469" t="s">
        <v>430</v>
      </c>
      <c r="F58" s="469"/>
      <c r="G58" s="469"/>
      <c r="H58" s="539"/>
    </row>
    <row r="59" spans="5:8">
      <c r="E59" s="469" t="s">
        <v>431</v>
      </c>
      <c r="F59" s="469"/>
      <c r="G59" s="469"/>
      <c r="H59" s="615">
        <f>H57-H58</f>
        <v>0</v>
      </c>
    </row>
    <row r="60" spans="5:8">
      <c r="E60" s="469" t="s">
        <v>432</v>
      </c>
      <c r="F60" s="469"/>
      <c r="G60" s="469"/>
      <c r="H60" s="540"/>
    </row>
    <row r="61" spans="5:8">
      <c r="E61" s="469" t="s">
        <v>433</v>
      </c>
      <c r="F61" s="469"/>
      <c r="G61" s="469"/>
      <c r="H61" s="616">
        <v>0</v>
      </c>
    </row>
    <row r="62" spans="5:8">
      <c r="E62" s="469"/>
      <c r="F62" s="469"/>
      <c r="G62" s="470"/>
      <c r="H62" s="473"/>
    </row>
    <row r="63" spans="5:8">
      <c r="E63" s="468" t="s">
        <v>434</v>
      </c>
      <c r="F63" s="469"/>
      <c r="G63" s="469"/>
      <c r="H63" s="474"/>
    </row>
    <row r="64" spans="5:8">
      <c r="E64" s="469" t="s">
        <v>435</v>
      </c>
      <c r="F64" s="469"/>
      <c r="G64" s="469"/>
      <c r="H64" s="617">
        <f>IF(H60=0,0,(H59-H61)/H60)</f>
        <v>0</v>
      </c>
    </row>
    <row r="65" spans="5:8">
      <c r="E65" s="469" t="s">
        <v>436</v>
      </c>
      <c r="F65" s="469"/>
      <c r="G65" s="469"/>
      <c r="H65" s="539"/>
    </row>
    <row r="66" spans="5:8">
      <c r="E66" s="469" t="s">
        <v>437</v>
      </c>
      <c r="F66" s="473" t="s">
        <v>438</v>
      </c>
      <c r="G66" s="541"/>
      <c r="H66" s="617">
        <f>G66*H59</f>
        <v>0</v>
      </c>
    </row>
    <row r="67" spans="5:8">
      <c r="E67" s="469" t="s">
        <v>439</v>
      </c>
      <c r="F67" s="473" t="s">
        <v>438</v>
      </c>
      <c r="G67" s="541"/>
      <c r="H67" s="617">
        <f>G67*H59</f>
        <v>0</v>
      </c>
    </row>
    <row r="68" spans="5:8">
      <c r="E68" s="469"/>
      <c r="F68" s="469"/>
      <c r="G68" s="470"/>
      <c r="H68" s="473"/>
    </row>
    <row r="69" spans="5:8">
      <c r="E69" s="468" t="s">
        <v>440</v>
      </c>
      <c r="F69" s="469"/>
      <c r="G69" s="469"/>
      <c r="H69" s="617">
        <f>SUM(H64:H68)</f>
        <v>0</v>
      </c>
    </row>
    <row r="70" spans="5:8">
      <c r="E70" s="469"/>
      <c r="F70" s="469"/>
      <c r="G70" s="470"/>
      <c r="H70" s="473"/>
    </row>
    <row r="71" spans="5:8">
      <c r="F71" s="469" t="s">
        <v>441</v>
      </c>
      <c r="G71" s="540"/>
      <c r="H71" s="617">
        <f>G71*H69</f>
        <v>0</v>
      </c>
    </row>
    <row r="72" spans="5:8" ht="17.100000000000001">
      <c r="E72" s="201"/>
      <c r="F72" s="475"/>
      <c r="G72" s="463"/>
      <c r="H72" s="463"/>
    </row>
    <row r="73" spans="5:8">
      <c r="E73" s="571" t="s">
        <v>425</v>
      </c>
      <c r="F73" s="769"/>
      <c r="G73" s="770"/>
      <c r="H73" s="771"/>
    </row>
    <row r="74" spans="5:8">
      <c r="E74" s="572" t="s">
        <v>426</v>
      </c>
      <c r="F74" s="769"/>
      <c r="G74" s="770"/>
      <c r="H74" s="771"/>
    </row>
    <row r="75" spans="5:8">
      <c r="E75" s="469"/>
      <c r="F75" s="469"/>
      <c r="G75" s="470"/>
      <c r="H75" s="470"/>
    </row>
    <row r="76" spans="5:8" ht="17.100000000000001">
      <c r="E76" s="468" t="s">
        <v>427</v>
      </c>
      <c r="F76" s="469"/>
      <c r="G76" s="471"/>
      <c r="H76" s="472" t="s">
        <v>428</v>
      </c>
    </row>
    <row r="77" spans="5:8">
      <c r="E77" s="469" t="s">
        <v>429</v>
      </c>
      <c r="F77" s="469"/>
      <c r="G77" s="469"/>
      <c r="H77" s="539"/>
    </row>
    <row r="78" spans="5:8">
      <c r="E78" s="469" t="s">
        <v>430</v>
      </c>
      <c r="F78" s="469"/>
      <c r="G78" s="469"/>
      <c r="H78" s="539"/>
    </row>
    <row r="79" spans="5:8">
      <c r="E79" s="469" t="s">
        <v>431</v>
      </c>
      <c r="F79" s="469"/>
      <c r="G79" s="469"/>
      <c r="H79" s="615">
        <f>H77-H78</f>
        <v>0</v>
      </c>
    </row>
    <row r="80" spans="5:8">
      <c r="E80" s="469" t="s">
        <v>432</v>
      </c>
      <c r="F80" s="469"/>
      <c r="G80" s="469"/>
      <c r="H80" s="540"/>
    </row>
    <row r="81" spans="5:9">
      <c r="E81" s="469" t="s">
        <v>433</v>
      </c>
      <c r="F81" s="469"/>
      <c r="G81" s="469"/>
      <c r="H81" s="616">
        <v>0</v>
      </c>
    </row>
    <row r="82" spans="5:9">
      <c r="E82" s="469"/>
      <c r="F82" s="469"/>
      <c r="G82" s="470"/>
      <c r="H82" s="473"/>
    </row>
    <row r="83" spans="5:9">
      <c r="E83" s="468" t="s">
        <v>434</v>
      </c>
      <c r="F83" s="469"/>
      <c r="G83" s="469"/>
      <c r="H83" s="474"/>
    </row>
    <row r="84" spans="5:9">
      <c r="E84" s="469" t="s">
        <v>435</v>
      </c>
      <c r="F84" s="469"/>
      <c r="G84" s="469"/>
      <c r="H84" s="617">
        <f>IF(H80=0,0,(H79-H81)/H80)</f>
        <v>0</v>
      </c>
    </row>
    <row r="85" spans="5:9">
      <c r="E85" s="469" t="s">
        <v>436</v>
      </c>
      <c r="F85" s="469"/>
      <c r="G85" s="469"/>
      <c r="H85" s="539"/>
    </row>
    <row r="86" spans="5:9">
      <c r="E86" s="469" t="s">
        <v>437</v>
      </c>
      <c r="F86" s="473" t="s">
        <v>438</v>
      </c>
      <c r="G86" s="541"/>
      <c r="H86" s="617">
        <f>G86*H79</f>
        <v>0</v>
      </c>
    </row>
    <row r="87" spans="5:9">
      <c r="E87" s="469" t="s">
        <v>439</v>
      </c>
      <c r="F87" s="473" t="s">
        <v>438</v>
      </c>
      <c r="G87" s="541"/>
      <c r="H87" s="617">
        <f>G87*H79</f>
        <v>0</v>
      </c>
    </row>
    <row r="88" spans="5:9">
      <c r="E88" s="469"/>
      <c r="F88" s="469"/>
      <c r="G88" s="470"/>
      <c r="H88" s="473"/>
    </row>
    <row r="89" spans="5:9">
      <c r="E89" s="468" t="s">
        <v>440</v>
      </c>
      <c r="F89" s="469"/>
      <c r="G89" s="469"/>
      <c r="H89" s="617">
        <f>SUM(H84:H88)</f>
        <v>0</v>
      </c>
    </row>
    <row r="90" spans="5:9">
      <c r="E90" s="469"/>
      <c r="F90" s="469"/>
      <c r="G90" s="470"/>
      <c r="H90" s="473"/>
    </row>
    <row r="91" spans="5:9">
      <c r="F91" s="469" t="s">
        <v>441</v>
      </c>
      <c r="G91" s="540"/>
      <c r="H91" s="617">
        <f>G91*H89</f>
        <v>0</v>
      </c>
    </row>
    <row r="92" spans="5:9" ht="17.100000000000001">
      <c r="E92" s="201"/>
      <c r="F92" s="475"/>
      <c r="G92" s="463"/>
      <c r="H92" s="463"/>
    </row>
    <row r="93" spans="5:9">
      <c r="E93" s="469"/>
      <c r="F93" s="469"/>
      <c r="G93" s="469"/>
      <c r="H93" s="476"/>
    </row>
    <row r="94" spans="5:9" ht="17.100000000000001">
      <c r="E94" s="468" t="s">
        <v>442</v>
      </c>
      <c r="G94" s="477"/>
      <c r="H94" s="618">
        <f>(H91+H71+H51+H31)</f>
        <v>0</v>
      </c>
      <c r="I94" s="479" t="s">
        <v>443</v>
      </c>
    </row>
    <row r="97" spans="5:10" ht="32.1" hidden="1">
      <c r="E97" s="481" t="s">
        <v>444</v>
      </c>
      <c r="F97" s="482" t="s">
        <v>445</v>
      </c>
      <c r="G97" s="483"/>
      <c r="H97" s="482" t="s">
        <v>446</v>
      </c>
      <c r="I97" s="483"/>
    </row>
    <row r="98" spans="5:10" hidden="1">
      <c r="E98" s="481"/>
      <c r="F98" s="482"/>
      <c r="G98" s="483"/>
      <c r="H98" s="482"/>
      <c r="I98" s="483"/>
    </row>
    <row r="99" spans="5:10" hidden="1">
      <c r="E99" s="79" t="str">
        <f>'1.1a-Jaarprijzen'!B13</f>
        <v>Invest-NL</v>
      </c>
      <c r="F99" s="484">
        <v>5.8709574664420873E-2</v>
      </c>
      <c r="H99" s="570">
        <f>F99*$H$94</f>
        <v>0</v>
      </c>
      <c r="J99" s="488"/>
    </row>
    <row r="100" spans="5:10" hidden="1">
      <c r="E100" s="79">
        <f>'1.1a-Jaarprijzen'!B14</f>
        <v>0</v>
      </c>
      <c r="F100" s="484">
        <v>4.1095786188084078E-2</v>
      </c>
      <c r="H100" s="570">
        <f t="shared" ref="H100:H115" si="0">F100*$H$94</f>
        <v>0</v>
      </c>
      <c r="J100" s="488"/>
    </row>
    <row r="101" spans="5:10" hidden="1">
      <c r="E101" s="79">
        <f>'1.1a-Jaarprijzen'!B15</f>
        <v>0</v>
      </c>
      <c r="F101" s="484">
        <v>0.11868636743597437</v>
      </c>
      <c r="H101" s="570">
        <f t="shared" si="0"/>
        <v>0</v>
      </c>
      <c r="J101" s="488"/>
    </row>
    <row r="102" spans="5:10" hidden="1">
      <c r="E102" s="79">
        <f>'1.1a-Jaarprijzen'!B16</f>
        <v>0</v>
      </c>
      <c r="F102" s="484">
        <v>7.4886075115266015E-2</v>
      </c>
      <c r="H102" s="570">
        <f t="shared" si="0"/>
        <v>0</v>
      </c>
      <c r="J102" s="488"/>
    </row>
    <row r="103" spans="5:10" hidden="1">
      <c r="E103" s="79">
        <f>'1.1a-Jaarprijzen'!B17</f>
        <v>0</v>
      </c>
      <c r="F103" s="484">
        <v>7.934981643527397E-3</v>
      </c>
      <c r="H103" s="570">
        <f t="shared" si="0"/>
        <v>0</v>
      </c>
      <c r="J103" s="488"/>
    </row>
    <row r="104" spans="5:10" hidden="1">
      <c r="E104" s="79">
        <f>'1.1a-Jaarprijzen'!B18</f>
        <v>0</v>
      </c>
      <c r="F104" s="484">
        <v>5.6628492743261254E-2</v>
      </c>
      <c r="H104" s="570">
        <f t="shared" si="0"/>
        <v>0</v>
      </c>
      <c r="J104" s="488"/>
    </row>
    <row r="105" spans="5:10" hidden="1">
      <c r="E105" s="79">
        <f>'1.1a-Jaarprijzen'!B19</f>
        <v>0</v>
      </c>
      <c r="F105" s="484">
        <v>8.8189428146942583E-2</v>
      </c>
      <c r="H105" s="570">
        <f t="shared" si="0"/>
        <v>0</v>
      </c>
      <c r="J105" s="488"/>
    </row>
    <row r="106" spans="5:10" hidden="1">
      <c r="E106" s="79">
        <f>'1.1a-Jaarprijzen'!B20</f>
        <v>0</v>
      </c>
      <c r="F106" s="484">
        <v>0.14142918425523501</v>
      </c>
      <c r="H106" s="570">
        <f t="shared" si="0"/>
        <v>0</v>
      </c>
      <c r="J106" s="488"/>
    </row>
    <row r="107" spans="5:10" hidden="1">
      <c r="E107" s="79">
        <f>'1.1a-Jaarprijzen'!B21</f>
        <v>0</v>
      </c>
      <c r="F107" s="484">
        <v>1.7155830357865155E-2</v>
      </c>
      <c r="H107" s="570">
        <f t="shared" si="0"/>
        <v>0</v>
      </c>
      <c r="J107" s="488"/>
    </row>
    <row r="108" spans="5:10" hidden="1">
      <c r="E108" s="79">
        <f>'1.1a-Jaarprijzen'!B22</f>
        <v>0</v>
      </c>
      <c r="F108" s="484">
        <v>0.1099682661328555</v>
      </c>
      <c r="H108" s="570">
        <f t="shared" si="0"/>
        <v>0</v>
      </c>
      <c r="J108" s="488"/>
    </row>
    <row r="109" spans="5:10" hidden="1">
      <c r="E109" s="79">
        <f>'1.1a-Jaarprijzen'!B23</f>
        <v>0</v>
      </c>
      <c r="F109" s="484">
        <v>1.2468910282686497E-2</v>
      </c>
      <c r="H109" s="570">
        <f t="shared" si="0"/>
        <v>0</v>
      </c>
      <c r="J109" s="488"/>
    </row>
    <row r="110" spans="5:10" hidden="1">
      <c r="E110" s="79">
        <f>'1.1a-Jaarprijzen'!B24</f>
        <v>0</v>
      </c>
      <c r="F110" s="484">
        <v>3.8571417467020739E-4</v>
      </c>
      <c r="H110" s="570">
        <f t="shared" si="0"/>
        <v>0</v>
      </c>
      <c r="J110" s="488"/>
    </row>
    <row r="111" spans="5:10" hidden="1">
      <c r="E111" s="79">
        <f>'1.1a-Jaarprijzen'!B25</f>
        <v>0</v>
      </c>
      <c r="F111" s="484">
        <v>6.9425383159976359E-2</v>
      </c>
      <c r="H111" s="570">
        <f t="shared" si="0"/>
        <v>0</v>
      </c>
      <c r="J111" s="488"/>
    </row>
    <row r="112" spans="5:10" hidden="1">
      <c r="E112" s="79">
        <f>'1.1a-Jaarprijzen'!B26</f>
        <v>0</v>
      </c>
      <c r="F112" s="484">
        <v>2.5155023414658948E-2</v>
      </c>
      <c r="H112" s="570">
        <f t="shared" si="0"/>
        <v>0</v>
      </c>
      <c r="J112" s="488"/>
    </row>
    <row r="113" spans="5:10" hidden="1">
      <c r="E113" s="79">
        <f>'1.1a-Jaarprijzen'!B27</f>
        <v>0</v>
      </c>
      <c r="F113" s="484">
        <v>6.7283689376038402E-2</v>
      </c>
      <c r="H113" s="570">
        <f t="shared" si="0"/>
        <v>0</v>
      </c>
      <c r="J113" s="488"/>
    </row>
    <row r="114" spans="5:10" hidden="1">
      <c r="E114" s="79">
        <f>'1.1a-Jaarprijzen'!B28</f>
        <v>0</v>
      </c>
      <c r="F114" s="484"/>
      <c r="H114" s="570">
        <f t="shared" ref="H114" si="1">F114*$H$94</f>
        <v>0</v>
      </c>
      <c r="J114" s="488"/>
    </row>
    <row r="115" spans="5:10" hidden="1">
      <c r="E115" s="79">
        <f>'1.1a-Jaarprijzen'!B29</f>
        <v>0</v>
      </c>
      <c r="F115" s="484"/>
      <c r="H115" s="570">
        <f t="shared" si="0"/>
        <v>0</v>
      </c>
      <c r="J115" s="488"/>
    </row>
    <row r="116" spans="5:10" hidden="1">
      <c r="E116" s="79">
        <f>'1.1a-Jaarprijzen'!B30</f>
        <v>0</v>
      </c>
      <c r="F116" s="484">
        <v>3.919823778012891E-2</v>
      </c>
      <c r="H116" s="570">
        <f t="shared" ref="H116:H117" si="2">F116*$H$94</f>
        <v>0</v>
      </c>
      <c r="J116" s="488"/>
    </row>
    <row r="117" spans="5:10" hidden="1">
      <c r="E117" s="79">
        <f>'1.1a-Jaarprijzen'!B31</f>
        <v>0</v>
      </c>
      <c r="F117" s="484">
        <v>7.1399055128408162E-2</v>
      </c>
      <c r="H117" s="570">
        <f t="shared" si="2"/>
        <v>0</v>
      </c>
      <c r="J117" s="488"/>
    </row>
    <row r="118" spans="5:10" hidden="1">
      <c r="E118" s="79">
        <f>'1.1a-Jaarprijzen'!B33</f>
        <v>0</v>
      </c>
      <c r="F118" s="484"/>
      <c r="H118" s="570"/>
      <c r="J118" s="488"/>
    </row>
    <row r="119" spans="5:10" hidden="1">
      <c r="E119" s="79">
        <f>'1.1a-Jaarprijzen'!B34</f>
        <v>0</v>
      </c>
      <c r="F119" s="484"/>
      <c r="H119" s="570"/>
      <c r="J119" s="488"/>
    </row>
    <row r="120" spans="5:10" hidden="1">
      <c r="E120" s="79">
        <f>'1.1a-Jaarprijzen'!B35</f>
        <v>0</v>
      </c>
      <c r="F120" s="484"/>
      <c r="H120" s="570"/>
      <c r="J120" s="488"/>
    </row>
    <row r="121" spans="5:10" hidden="1">
      <c r="E121" s="79">
        <f>'1.1a-Jaarprijzen'!B36</f>
        <v>0</v>
      </c>
      <c r="F121" s="484"/>
      <c r="H121" s="570"/>
      <c r="J121" s="488"/>
    </row>
    <row r="122" spans="5:10" hidden="1">
      <c r="E122" s="79">
        <f>'1.1a-Jaarprijzen'!B37</f>
        <v>0</v>
      </c>
      <c r="F122" s="484"/>
      <c r="H122" s="570"/>
      <c r="J122" s="488"/>
    </row>
    <row r="123" spans="5:10" hidden="1">
      <c r="E123" s="79">
        <f>'1.1a-Jaarprijzen'!B38</f>
        <v>0</v>
      </c>
      <c r="F123" s="484"/>
      <c r="H123" s="570"/>
      <c r="J123" s="488"/>
    </row>
    <row r="124" spans="5:10" hidden="1">
      <c r="E124" s="79">
        <f>'1.1a-Jaarprijzen'!B39</f>
        <v>0</v>
      </c>
      <c r="F124" s="484"/>
      <c r="H124" s="570"/>
      <c r="J124" s="488"/>
    </row>
    <row r="125" spans="5:10" hidden="1">
      <c r="E125" s="79">
        <f>'1.1a-Jaarprijzen'!B40</f>
        <v>0</v>
      </c>
      <c r="F125" s="484"/>
      <c r="H125" s="570"/>
      <c r="J125" s="488"/>
    </row>
    <row r="126" spans="5:10" hidden="1">
      <c r="E126" s="79">
        <f>'1.1a-Jaarprijzen'!B41</f>
        <v>0</v>
      </c>
      <c r="F126" s="484"/>
      <c r="H126" s="570"/>
      <c r="J126" s="488"/>
    </row>
    <row r="127" spans="5:10" hidden="1">
      <c r="E127" s="79">
        <f>'1.1a-Jaarprijzen'!B42</f>
        <v>0</v>
      </c>
      <c r="F127" s="484"/>
      <c r="H127" s="570"/>
      <c r="J127" s="488"/>
    </row>
    <row r="128" spans="5:10" hidden="1">
      <c r="E128" s="79">
        <f>'1.1a-Jaarprijzen'!B43</f>
        <v>0</v>
      </c>
      <c r="F128" s="484"/>
      <c r="H128" s="570"/>
      <c r="J128" s="488"/>
    </row>
    <row r="129" spans="5:10" hidden="1">
      <c r="E129" s="79">
        <f>'1.1a-Jaarprijzen'!B44</f>
        <v>0</v>
      </c>
      <c r="F129" s="484"/>
      <c r="H129" s="570"/>
      <c r="J129" s="488"/>
    </row>
    <row r="130" spans="5:10" hidden="1">
      <c r="E130" s="79">
        <f>'1.1a-Jaarprijzen'!B45</f>
        <v>0</v>
      </c>
      <c r="F130" s="484"/>
      <c r="H130" s="570"/>
      <c r="J130" s="488"/>
    </row>
    <row r="131" spans="5:10" hidden="1">
      <c r="E131" s="79">
        <f>'1.1a-Jaarprijzen'!B46</f>
        <v>0</v>
      </c>
      <c r="F131" s="484"/>
      <c r="H131" s="570"/>
      <c r="J131" s="488"/>
    </row>
    <row r="132" spans="5:10" hidden="1">
      <c r="E132" s="79">
        <f>'1.1a-Jaarprijzen'!B47</f>
        <v>0</v>
      </c>
      <c r="F132" s="484"/>
      <c r="H132" s="570"/>
      <c r="J132" s="488"/>
    </row>
    <row r="133" spans="5:10" hidden="1">
      <c r="E133" s="485"/>
      <c r="F133" s="484"/>
      <c r="H133" s="478"/>
      <c r="J133" s="488"/>
    </row>
    <row r="134" spans="5:10" hidden="1">
      <c r="E134" s="485"/>
      <c r="F134" s="484"/>
      <c r="H134" s="478"/>
      <c r="J134" s="488"/>
    </row>
    <row r="135" spans="5:10" hidden="1">
      <c r="E135" s="485"/>
      <c r="F135" s="484"/>
      <c r="H135" s="478"/>
      <c r="J135" s="488"/>
    </row>
    <row r="136" spans="5:10" hidden="1">
      <c r="E136" s="485"/>
      <c r="F136" s="484"/>
      <c r="H136" s="478"/>
      <c r="J136" s="488"/>
    </row>
    <row r="137" spans="5:10" hidden="1">
      <c r="E137" s="485"/>
      <c r="F137" s="486">
        <f>SUM(F99:F136)</f>
        <v>0.99999999999999978</v>
      </c>
      <c r="H137" s="478">
        <f>SUM(H99:H136)</f>
        <v>0</v>
      </c>
      <c r="J137" s="478">
        <f>SUM(J99:J136)</f>
        <v>0</v>
      </c>
    </row>
    <row r="138" spans="5:10" hidden="1">
      <c r="E138" s="485"/>
      <c r="F138" s="487"/>
      <c r="H138" s="478"/>
    </row>
    <row r="139" spans="5:10">
      <c r="E139" s="485"/>
      <c r="F139" s="487"/>
      <c r="H139" s="478"/>
    </row>
    <row r="140" spans="5:10">
      <c r="E140" s="485">
        <f>'1.1a-Jaarprijzen'!B50</f>
        <v>0</v>
      </c>
      <c r="F140" s="487"/>
      <c r="H140" s="478"/>
    </row>
    <row r="141" spans="5:10">
      <c r="E141" s="485"/>
    </row>
    <row r="142" spans="5:10">
      <c r="G142" s="480"/>
    </row>
    <row r="143" spans="5:10" ht="15.95" thickBot="1">
      <c r="E143" s="3"/>
      <c r="F143" s="27"/>
      <c r="G143" s="27"/>
      <c r="H143" s="27"/>
    </row>
    <row r="144" spans="5:10">
      <c r="E144" s="187"/>
      <c r="F144" s="97"/>
      <c r="G144" s="97"/>
      <c r="H144" s="97"/>
    </row>
  </sheetData>
  <mergeCells count="8">
    <mergeCell ref="F74:H74"/>
    <mergeCell ref="F13:H13"/>
    <mergeCell ref="F33:H33"/>
    <mergeCell ref="F53:H53"/>
    <mergeCell ref="F73:H73"/>
    <mergeCell ref="F14:H14"/>
    <mergeCell ref="F34:H34"/>
    <mergeCell ref="F54:H54"/>
  </mergeCells>
  <phoneticPr fontId="9"/>
  <conditionalFormatting sqref="F137">
    <cfRule type="cellIs" dxfId="44" priority="132" stopIfTrue="1" operator="greaterThan">
      <formula>1</formula>
    </cfRule>
  </conditionalFormatting>
  <conditionalFormatting sqref="G26:G27">
    <cfRule type="cellIs" dxfId="43" priority="32" stopIfTrue="1" operator="greaterThan">
      <formula>0</formula>
    </cfRule>
  </conditionalFormatting>
  <conditionalFormatting sqref="G31">
    <cfRule type="cellIs" dxfId="42" priority="124" operator="greaterThan">
      <formula>0</formula>
    </cfRule>
  </conditionalFormatting>
  <conditionalFormatting sqref="G46:G47">
    <cfRule type="cellIs" dxfId="41" priority="16" stopIfTrue="1" operator="greaterThan">
      <formula>0</formula>
    </cfRule>
  </conditionalFormatting>
  <conditionalFormatting sqref="G51">
    <cfRule type="cellIs" dxfId="40" priority="18" operator="greaterThan">
      <formula>0</formula>
    </cfRule>
  </conditionalFormatting>
  <conditionalFormatting sqref="G66:G67">
    <cfRule type="cellIs" dxfId="39" priority="9" stopIfTrue="1" operator="greaterThan">
      <formula>0</formula>
    </cfRule>
  </conditionalFormatting>
  <conditionalFormatting sqref="G71">
    <cfRule type="cellIs" dxfId="38" priority="11" operator="greaterThan">
      <formula>0</formula>
    </cfRule>
  </conditionalFormatting>
  <conditionalFormatting sqref="G86:G87">
    <cfRule type="cellIs" dxfId="37" priority="2" stopIfTrue="1" operator="greaterThan">
      <formula>0</formula>
    </cfRule>
  </conditionalFormatting>
  <conditionalFormatting sqref="G91">
    <cfRule type="cellIs" dxfId="36" priority="4" operator="greaterThan">
      <formula>0</formula>
    </cfRule>
  </conditionalFormatting>
  <conditionalFormatting sqref="H17:H18">
    <cfRule type="cellIs" dxfId="35" priority="130" operator="greaterThan">
      <formula>0</formula>
    </cfRule>
  </conditionalFormatting>
  <conditionalFormatting sqref="H20">
    <cfRule type="cellIs" dxfId="34" priority="129" operator="greaterThan">
      <formula>0</formula>
    </cfRule>
  </conditionalFormatting>
  <conditionalFormatting sqref="H25">
    <cfRule type="cellIs" dxfId="33" priority="127" operator="greaterThan">
      <formula>0</formula>
    </cfRule>
  </conditionalFormatting>
  <conditionalFormatting sqref="H37:H38">
    <cfRule type="cellIs" dxfId="32" priority="21" operator="greaterThan">
      <formula>0</formula>
    </cfRule>
  </conditionalFormatting>
  <conditionalFormatting sqref="H40">
    <cfRule type="cellIs" dxfId="31" priority="20" operator="greaterThan">
      <formula>0</formula>
    </cfRule>
  </conditionalFormatting>
  <conditionalFormatting sqref="H45">
    <cfRule type="cellIs" dxfId="30" priority="19" operator="greaterThan">
      <formula>0</formula>
    </cfRule>
  </conditionalFormatting>
  <conditionalFormatting sqref="H57:H58">
    <cfRule type="cellIs" dxfId="29" priority="14" operator="greaterThan">
      <formula>0</formula>
    </cfRule>
  </conditionalFormatting>
  <conditionalFormatting sqref="H60">
    <cfRule type="cellIs" dxfId="28" priority="13" operator="greaterThan">
      <formula>0</formula>
    </cfRule>
  </conditionalFormatting>
  <conditionalFormatting sqref="H65">
    <cfRule type="cellIs" dxfId="27" priority="12" operator="greaterThan">
      <formula>0</formula>
    </cfRule>
  </conditionalFormatting>
  <conditionalFormatting sqref="H77:H78">
    <cfRule type="cellIs" dxfId="26" priority="7" operator="greaterThan">
      <formula>0</formula>
    </cfRule>
  </conditionalFormatting>
  <conditionalFormatting sqref="H80">
    <cfRule type="cellIs" dxfId="25" priority="6" operator="greaterThan">
      <formula>0</formula>
    </cfRule>
  </conditionalFormatting>
  <conditionalFormatting sqref="H85">
    <cfRule type="cellIs" dxfId="24" priority="5" operator="greaterThan">
      <formula>0</formula>
    </cfRule>
  </conditionalFormatting>
  <conditionalFormatting sqref="H99:H140">
    <cfRule type="cellIs" dxfId="23" priority="99" operator="greaterThan">
      <formula>0</formula>
    </cfRule>
  </conditionalFormatting>
  <conditionalFormatting sqref="J137">
    <cfRule type="cellIs" dxfId="22" priority="1" operator="greaterThan">
      <formula>0</formula>
    </cfRule>
  </conditionalFormatting>
  <dataValidations count="1">
    <dataValidation allowBlank="1" showInputMessage="1" showErrorMessage="1" promptTitle="Toelichting" prompt="Vul in deze gekleurde cellen de gevraagde informatie in._x000d_" sqref="B13" xr:uid="{00000000-0002-0000-0A00-000000000000}"/>
  </dataValidations>
  <printOptions horizontalCentered="1"/>
  <pageMargins left="3.1496062992126001E-3" right="3.1496062992126001E-3" top="0.39" bottom="0.59" header="0.39" footer="0.2"/>
  <pageSetup paperSize="9" scale="48" orientation="portrait"/>
  <headerFooter>
    <oddHeader>&amp;L&amp;C&amp;R</oddHeader>
    <oddFooter>&amp;L&amp;"Verdana,Standaard"&amp;K000000&amp;F-&amp;A&amp;R&amp;"Verdana,Standaard"&amp;K000000printversie &amp;D</oddFooter>
  </headerFooter>
  <pictur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B1:N1311"/>
  <sheetViews>
    <sheetView showGridLines="0" showRowColHeaders="0" showZeros="0" showOutlineSymbols="0" zoomScaleSheetLayoutView="75" workbookViewId="0"/>
  </sheetViews>
  <sheetFormatPr defaultColWidth="10.85546875" defaultRowHeight="15.95" zeroHeight="1"/>
  <cols>
    <col min="1" max="1" width="3.140625" style="542" customWidth="1"/>
    <col min="2" max="2" width="14.85546875" style="542" customWidth="1"/>
    <col min="3" max="3" width="10.85546875" style="542"/>
    <col min="4" max="4" width="5.140625" style="542" customWidth="1"/>
    <col min="5" max="5" width="5" style="542" customWidth="1"/>
    <col min="6" max="6" width="38" style="543" customWidth="1"/>
    <col min="7" max="7" width="25.85546875" style="543" customWidth="1"/>
    <col min="8" max="8" width="15.140625" style="543" customWidth="1"/>
    <col min="9" max="9" width="19.140625" style="632" customWidth="1"/>
    <col min="10" max="10" width="20.140625" style="633" customWidth="1"/>
    <col min="11" max="11" width="21" style="633" customWidth="1"/>
    <col min="12" max="12" width="21.85546875" style="633" customWidth="1"/>
    <col min="13" max="13" width="7.140625" style="542" customWidth="1"/>
    <col min="14" max="14" width="14.5703125" style="542" hidden="1" customWidth="1"/>
    <col min="15" max="21" width="10.85546875" style="542"/>
    <col min="22" max="22" width="29" style="542" bestFit="1" customWidth="1"/>
    <col min="23" max="23" width="5" style="542" bestFit="1" customWidth="1"/>
    <col min="24" max="24" width="3.85546875" style="542" bestFit="1" customWidth="1"/>
    <col min="25" max="25" width="24.140625" style="542" bestFit="1" customWidth="1"/>
    <col min="26" max="16384" width="10.85546875" style="542"/>
  </cols>
  <sheetData>
    <row r="1" spans="2:12" ht="11.1" customHeight="1" thickBot="1">
      <c r="F1" s="27"/>
      <c r="G1" s="27"/>
      <c r="H1" s="27"/>
      <c r="I1" s="634"/>
      <c r="J1" s="634"/>
      <c r="K1" s="635"/>
      <c r="L1" s="635"/>
    </row>
    <row r="2" spans="2:12" ht="11.1" customHeight="1">
      <c r="F2" s="97"/>
      <c r="G2" s="97"/>
      <c r="H2" s="97"/>
      <c r="I2" s="636"/>
      <c r="J2" s="636"/>
      <c r="K2" s="635"/>
      <c r="L2" s="635"/>
    </row>
    <row r="3" spans="2:12" ht="11.1" customHeight="1">
      <c r="F3" s="545"/>
      <c r="K3" s="623"/>
      <c r="L3" s="623"/>
    </row>
    <row r="4" spans="2:12" ht="17.100000000000001">
      <c r="F4" s="369" t="s">
        <v>91</v>
      </c>
      <c r="G4" s="33" t="s">
        <v>447</v>
      </c>
      <c r="K4" s="637"/>
    </row>
    <row r="5" spans="2:12" ht="17.100000000000001">
      <c r="F5" s="369" t="s">
        <v>93</v>
      </c>
      <c r="G5" s="35" t="str">
        <f>Voorblad!$E$16</f>
        <v>Invest-NL</v>
      </c>
      <c r="H5" s="546"/>
      <c r="I5" s="633"/>
    </row>
    <row r="6" spans="2:12" ht="17.100000000000001">
      <c r="F6" s="369" t="s">
        <v>94</v>
      </c>
      <c r="G6" s="35" t="str">
        <f>'1.0-Contractblad'!$E$7</f>
        <v>Kingsfordweg 43-117 Amsterdam</v>
      </c>
      <c r="H6" s="547"/>
      <c r="I6" s="633"/>
    </row>
    <row r="7" spans="2:12" ht="15.75" customHeight="1">
      <c r="F7" s="369" t="s">
        <v>43</v>
      </c>
      <c r="G7" s="548" t="str">
        <f>Voorblad!$E$24</f>
        <v>TN436801</v>
      </c>
      <c r="H7" s="549"/>
      <c r="I7" s="633"/>
    </row>
    <row r="8" spans="2:12" ht="17.100000000000001">
      <c r="F8" s="369" t="s">
        <v>45</v>
      </c>
      <c r="G8" s="38" t="e">
        <f ca="1">Voorblad!$E$26</f>
        <v>#VALUE!</v>
      </c>
      <c r="H8" s="547"/>
      <c r="I8" s="633"/>
    </row>
    <row r="9" spans="2:12" ht="17.100000000000001">
      <c r="F9" s="369" t="s">
        <v>95</v>
      </c>
      <c r="G9" s="555" t="str">
        <f>Voorblad!$E$19</f>
        <v>[Invoeren naam organisatie van Inschrijver]</v>
      </c>
      <c r="H9" s="547"/>
      <c r="I9" s="638"/>
    </row>
    <row r="10" spans="2:12" ht="17.100000000000001">
      <c r="F10" s="369" t="s">
        <v>42</v>
      </c>
      <c r="G10" s="41">
        <f>Voorblad!$E$22</f>
        <v>45473</v>
      </c>
      <c r="H10" s="547"/>
      <c r="I10" s="633"/>
    </row>
    <row r="11" spans="2:12" ht="17.100000000000001">
      <c r="B11" s="561" t="s">
        <v>53</v>
      </c>
      <c r="C11" s="568"/>
      <c r="F11" s="33" t="s">
        <v>448</v>
      </c>
      <c r="G11" s="550" t="s">
        <v>449</v>
      </c>
      <c r="H11" s="547"/>
      <c r="I11" s="633"/>
    </row>
    <row r="12" spans="2:12" ht="18" thickBot="1">
      <c r="B12" s="569"/>
      <c r="C12" s="562" t="s">
        <v>17</v>
      </c>
      <c r="H12" s="547"/>
      <c r="I12" s="639"/>
    </row>
    <row r="13" spans="2:12" ht="17.100000000000001">
      <c r="H13" s="547"/>
      <c r="I13" s="639"/>
    </row>
    <row r="14" spans="2:12" ht="17.100000000000001">
      <c r="F14" s="773" t="s">
        <v>450</v>
      </c>
      <c r="G14" s="773"/>
      <c r="H14" s="773"/>
      <c r="I14" s="773"/>
      <c r="J14" s="773"/>
      <c r="K14" s="773"/>
      <c r="L14" s="773"/>
    </row>
    <row r="15" spans="2:12">
      <c r="F15" s="558"/>
      <c r="G15" s="558"/>
      <c r="I15" s="623"/>
      <c r="J15" s="623"/>
      <c r="K15" s="623"/>
      <c r="L15" s="623"/>
    </row>
    <row r="16" spans="2:12">
      <c r="F16" s="551"/>
      <c r="G16" s="552"/>
      <c r="H16" s="552"/>
      <c r="I16" s="640"/>
    </row>
    <row r="17" spans="6:14">
      <c r="F17" s="715" t="s">
        <v>77</v>
      </c>
      <c r="G17" s="552"/>
      <c r="H17" s="713" t="s">
        <v>451</v>
      </c>
      <c r="I17" s="703" t="s">
        <v>452</v>
      </c>
      <c r="J17" s="642" t="s">
        <v>453</v>
      </c>
      <c r="K17" s="642" t="s">
        <v>454</v>
      </c>
      <c r="L17" s="642" t="s">
        <v>455</v>
      </c>
    </row>
    <row r="18" spans="6:14" ht="39.950000000000003" customHeight="1">
      <c r="F18" s="774" t="s">
        <v>456</v>
      </c>
      <c r="G18" s="774"/>
      <c r="H18" s="701">
        <v>255</v>
      </c>
      <c r="I18" s="702">
        <v>3</v>
      </c>
      <c r="J18" s="633">
        <v>10</v>
      </c>
      <c r="K18" s="735"/>
      <c r="L18" s="704">
        <f>(H18*I18*J18*K18)/60</f>
        <v>0</v>
      </c>
      <c r="N18" s="544">
        <f>(J18*I18*H18)/60</f>
        <v>127.5</v>
      </c>
    </row>
    <row r="19" spans="6:14" ht="20.100000000000001" customHeight="1">
      <c r="F19" s="551" t="s">
        <v>457</v>
      </c>
      <c r="G19" s="552"/>
      <c r="H19" s="701">
        <v>255</v>
      </c>
      <c r="I19" s="702">
        <v>3</v>
      </c>
      <c r="J19" s="633">
        <v>2</v>
      </c>
      <c r="K19" s="735"/>
      <c r="L19" s="704">
        <f>(H19*I19*J19*K19)/60</f>
        <v>0</v>
      </c>
      <c r="N19" s="544">
        <f>(J19*I19*H19)/60</f>
        <v>25.5</v>
      </c>
    </row>
    <row r="20" spans="6:14" ht="20.100000000000001" customHeight="1">
      <c r="F20" s="551" t="s">
        <v>458</v>
      </c>
      <c r="G20" s="551"/>
      <c r="H20" s="701">
        <v>255</v>
      </c>
      <c r="I20" s="702">
        <v>3</v>
      </c>
      <c r="J20" s="633">
        <v>20</v>
      </c>
      <c r="K20" s="735"/>
      <c r="L20" s="704">
        <f>(H20*I20*J20*K20)/60</f>
        <v>0</v>
      </c>
      <c r="N20" s="544">
        <f>(J20*I20*H20)/60</f>
        <v>255</v>
      </c>
    </row>
    <row r="21" spans="6:14">
      <c r="F21" s="551" t="s">
        <v>459</v>
      </c>
      <c r="G21" s="552"/>
      <c r="H21" s="701">
        <v>52</v>
      </c>
      <c r="I21" s="702">
        <v>3</v>
      </c>
      <c r="J21" s="633">
        <v>30</v>
      </c>
      <c r="K21" s="735"/>
      <c r="L21" s="704">
        <f>(H21*I21*J21*K21)/60</f>
        <v>0</v>
      </c>
      <c r="N21" s="544">
        <f>(J21*I21*H21)/60</f>
        <v>78</v>
      </c>
    </row>
    <row r="22" spans="6:14">
      <c r="F22" s="551"/>
      <c r="G22" s="552"/>
      <c r="H22" s="700"/>
      <c r="I22" s="640"/>
      <c r="L22" s="705"/>
      <c r="N22" s="705"/>
    </row>
    <row r="23" spans="6:14">
      <c r="F23" s="551"/>
      <c r="G23" s="552"/>
      <c r="H23" s="700"/>
      <c r="I23" s="640"/>
      <c r="J23" s="544"/>
      <c r="K23" s="714" t="s">
        <v>460</v>
      </c>
      <c r="L23" s="706">
        <f>SUM(L18:L22)</f>
        <v>0</v>
      </c>
      <c r="N23" s="642">
        <f>SUM(N18:N22)</f>
        <v>486</v>
      </c>
    </row>
    <row r="24" spans="6:14">
      <c r="F24" s="551"/>
      <c r="G24" s="552"/>
      <c r="H24" s="700"/>
      <c r="I24" s="640"/>
    </row>
    <row r="25" spans="6:14">
      <c r="F25" s="715" t="s">
        <v>78</v>
      </c>
      <c r="G25" s="708"/>
      <c r="H25" s="713" t="s">
        <v>451</v>
      </c>
      <c r="I25" s="703" t="s">
        <v>452</v>
      </c>
      <c r="J25" s="642" t="s">
        <v>453</v>
      </c>
      <c r="K25" s="642" t="s">
        <v>454</v>
      </c>
      <c r="L25" s="642" t="s">
        <v>455</v>
      </c>
    </row>
    <row r="26" spans="6:14" ht="42.95" customHeight="1">
      <c r="F26" s="772" t="s">
        <v>461</v>
      </c>
      <c r="G26" s="772"/>
      <c r="H26" s="711">
        <v>52</v>
      </c>
      <c r="I26" s="711">
        <v>4</v>
      </c>
      <c r="J26" s="709">
        <v>15</v>
      </c>
      <c r="K26" s="735"/>
      <c r="L26" s="704">
        <f>(H26*I26*J26*K26)/60</f>
        <v>0</v>
      </c>
      <c r="N26" s="544">
        <f>(J26*I26*H26)/60</f>
        <v>52</v>
      </c>
    </row>
    <row r="27" spans="6:14" ht="15">
      <c r="F27" s="710"/>
      <c r="G27" s="708"/>
      <c r="H27" s="707"/>
      <c r="I27" s="712"/>
      <c r="J27" s="712"/>
      <c r="K27" s="712"/>
      <c r="L27" s="712"/>
    </row>
    <row r="28" spans="6:14" ht="27" customHeight="1">
      <c r="F28" s="772" t="s">
        <v>462</v>
      </c>
      <c r="G28" s="772"/>
      <c r="H28" s="711">
        <v>2</v>
      </c>
      <c r="I28" s="711">
        <v>1</v>
      </c>
      <c r="J28" s="709">
        <v>32</v>
      </c>
      <c r="K28" s="735"/>
      <c r="L28" s="704">
        <f>(H28*I28*J28*K28)/60</f>
        <v>0</v>
      </c>
      <c r="N28" s="544">
        <f>(J28*I28*H28)/60</f>
        <v>1.0666666666666667</v>
      </c>
    </row>
    <row r="29" spans="6:14">
      <c r="F29" s="707"/>
      <c r="G29" s="708"/>
      <c r="H29" s="708"/>
      <c r="I29" s="708"/>
      <c r="J29" s="708"/>
      <c r="K29" s="708"/>
      <c r="L29" s="705"/>
      <c r="N29" s="705"/>
    </row>
    <row r="30" spans="6:14">
      <c r="F30" s="551"/>
      <c r="G30" s="552"/>
      <c r="H30" s="552"/>
      <c r="I30" s="640"/>
      <c r="K30" s="714" t="s">
        <v>460</v>
      </c>
      <c r="L30" s="706">
        <f>SUM(L26:L29)</f>
        <v>0</v>
      </c>
      <c r="N30" s="642">
        <f>SUM(N26:N29)</f>
        <v>53.06666666666667</v>
      </c>
    </row>
    <row r="31" spans="6:14">
      <c r="F31" s="551"/>
      <c r="G31" s="552"/>
      <c r="H31" s="552"/>
      <c r="I31" s="640"/>
    </row>
    <row r="32" spans="6:14">
      <c r="F32" s="551"/>
      <c r="G32" s="552"/>
      <c r="H32" s="552"/>
      <c r="I32" s="640"/>
    </row>
    <row r="33" spans="6:14">
      <c r="F33" s="715" t="s">
        <v>79</v>
      </c>
      <c r="G33" s="708"/>
      <c r="H33" s="713" t="s">
        <v>451</v>
      </c>
      <c r="I33" s="703" t="s">
        <v>452</v>
      </c>
      <c r="J33" s="642" t="s">
        <v>453</v>
      </c>
      <c r="K33" s="642" t="s">
        <v>454</v>
      </c>
      <c r="L33" s="642" t="s">
        <v>455</v>
      </c>
    </row>
    <row r="34" spans="6:14" ht="42.95" customHeight="1">
      <c r="F34" s="772" t="s">
        <v>463</v>
      </c>
      <c r="G34" s="772"/>
      <c r="H34" s="711">
        <v>52</v>
      </c>
      <c r="I34" s="711">
        <v>4</v>
      </c>
      <c r="J34" s="709">
        <v>7</v>
      </c>
      <c r="K34" s="735"/>
      <c r="L34" s="704">
        <f>(H34*I34*J34*K34)/60</f>
        <v>0</v>
      </c>
      <c r="N34" s="544">
        <f>(J34*I34*H34)/60</f>
        <v>24.266666666666666</v>
      </c>
    </row>
    <row r="35" spans="6:14" ht="15">
      <c r="F35" s="710"/>
      <c r="G35" s="708"/>
      <c r="H35" s="707"/>
      <c r="I35" s="712"/>
      <c r="J35" s="712"/>
      <c r="K35" s="712"/>
      <c r="L35" s="712"/>
    </row>
    <row r="36" spans="6:14" ht="27" customHeight="1">
      <c r="F36" s="772" t="s">
        <v>464</v>
      </c>
      <c r="G36" s="772"/>
      <c r="H36" s="711">
        <v>12</v>
      </c>
      <c r="I36" s="711">
        <v>4</v>
      </c>
      <c r="J36" s="709">
        <v>32</v>
      </c>
      <c r="K36" s="735"/>
      <c r="L36" s="704">
        <f>(H36*I36*J36*K36)/60</f>
        <v>0</v>
      </c>
      <c r="N36" s="544">
        <f>(J36*I36*H36)/60</f>
        <v>25.6</v>
      </c>
    </row>
    <row r="37" spans="6:14">
      <c r="F37" s="707"/>
      <c r="G37" s="708"/>
      <c r="H37" s="708"/>
      <c r="I37" s="708"/>
      <c r="J37" s="708"/>
      <c r="K37" s="708"/>
      <c r="L37" s="705"/>
      <c r="N37" s="705"/>
    </row>
    <row r="38" spans="6:14">
      <c r="F38" s="551"/>
      <c r="G38" s="552"/>
      <c r="H38" s="552"/>
      <c r="I38" s="640"/>
      <c r="K38" s="714" t="s">
        <v>460</v>
      </c>
      <c r="L38" s="706">
        <f>SUM(L34:L37)</f>
        <v>0</v>
      </c>
      <c r="N38" s="642">
        <f>SUM(N34:N37)</f>
        <v>49.866666666666667</v>
      </c>
    </row>
    <row r="39" spans="6:14">
      <c r="F39" s="551"/>
      <c r="G39" s="552"/>
      <c r="H39" s="552"/>
      <c r="I39" s="640"/>
    </row>
    <row r="40" spans="6:14">
      <c r="F40" s="551"/>
      <c r="G40" s="552"/>
      <c r="H40" s="552"/>
      <c r="I40" s="640"/>
    </row>
    <row r="41" spans="6:14">
      <c r="F41" s="715" t="s">
        <v>80</v>
      </c>
      <c r="G41" s="708"/>
      <c r="H41" s="713" t="s">
        <v>451</v>
      </c>
      <c r="I41" s="703" t="s">
        <v>452</v>
      </c>
      <c r="J41" s="642" t="s">
        <v>453</v>
      </c>
      <c r="K41" s="642" t="s">
        <v>454</v>
      </c>
      <c r="L41" s="642" t="s">
        <v>455</v>
      </c>
    </row>
    <row r="42" spans="6:14" ht="42.95" customHeight="1">
      <c r="F42" s="772" t="s">
        <v>465</v>
      </c>
      <c r="G42" s="772"/>
      <c r="H42" s="711">
        <v>255</v>
      </c>
      <c r="I42" s="711">
        <v>6</v>
      </c>
      <c r="J42" s="709">
        <v>15</v>
      </c>
      <c r="K42" s="735"/>
      <c r="L42" s="704">
        <f>(H42*I42*J42*K42)/60</f>
        <v>0</v>
      </c>
      <c r="N42" s="544">
        <f>(J42*I42*H42)/60</f>
        <v>382.5</v>
      </c>
    </row>
    <row r="43" spans="6:14">
      <c r="F43" s="772"/>
      <c r="G43" s="772"/>
      <c r="H43" s="711"/>
      <c r="I43" s="711"/>
      <c r="J43" s="709"/>
      <c r="K43" s="709"/>
      <c r="L43" s="704"/>
      <c r="N43" s="544"/>
    </row>
    <row r="44" spans="6:14">
      <c r="F44" s="707"/>
      <c r="G44" s="708"/>
      <c r="H44" s="708"/>
      <c r="I44" s="708"/>
      <c r="J44" s="708"/>
      <c r="K44" s="708"/>
      <c r="L44" s="705"/>
      <c r="N44" s="705"/>
    </row>
    <row r="45" spans="6:14">
      <c r="F45" s="551"/>
      <c r="G45" s="552"/>
      <c r="H45" s="552"/>
      <c r="I45" s="640"/>
      <c r="K45" s="714" t="s">
        <v>460</v>
      </c>
      <c r="L45" s="706">
        <f>SUM(L42:L44)</f>
        <v>0</v>
      </c>
      <c r="N45" s="642">
        <f>SUM(N42:N44)</f>
        <v>382.5</v>
      </c>
    </row>
    <row r="46" spans="6:14">
      <c r="F46" s="551"/>
      <c r="G46" s="552"/>
      <c r="H46" s="552"/>
      <c r="I46" s="640"/>
    </row>
    <row r="47" spans="6:14">
      <c r="F47" s="623"/>
      <c r="G47" s="623"/>
      <c r="H47" s="623"/>
      <c r="I47" s="623"/>
      <c r="J47" s="623"/>
      <c r="K47" s="630"/>
      <c r="L47" s="630"/>
    </row>
    <row r="48" spans="6:14" ht="12.75" customHeight="1">
      <c r="F48" s="631" t="s">
        <v>28</v>
      </c>
      <c r="G48" s="621"/>
      <c r="H48" s="621"/>
      <c r="K48" s="623"/>
      <c r="L48" s="623"/>
    </row>
    <row r="49" spans="5:12" ht="12.75" customHeight="1">
      <c r="F49" s="621" t="s">
        <v>466</v>
      </c>
      <c r="G49" s="621"/>
      <c r="H49" s="621"/>
    </row>
    <row r="50" spans="5:12" ht="12.75" customHeight="1">
      <c r="F50" s="621" t="s">
        <v>467</v>
      </c>
      <c r="G50" s="621"/>
      <c r="H50" s="621"/>
    </row>
    <row r="51" spans="5:12" ht="12.75" customHeight="1"/>
    <row r="52" spans="5:12" ht="17.100000000000001" thickBot="1">
      <c r="F52" s="27"/>
      <c r="G52" s="27"/>
      <c r="H52" s="27"/>
      <c r="I52" s="634"/>
      <c r="J52" s="634"/>
      <c r="K52" s="634"/>
      <c r="L52" s="634"/>
    </row>
    <row r="53" spans="5:12">
      <c r="F53" s="97"/>
      <c r="G53" s="97"/>
      <c r="H53" s="97"/>
      <c r="I53" s="636"/>
      <c r="J53" s="636"/>
      <c r="K53" s="636"/>
      <c r="L53" s="636"/>
    </row>
    <row r="54" spans="5:12"/>
    <row r="55" spans="5:12"/>
    <row r="56" spans="5:12">
      <c r="E56" s="406"/>
      <c r="F56" s="452"/>
      <c r="G56" s="452"/>
      <c r="H56" s="452"/>
    </row>
    <row r="57" spans="5:12">
      <c r="E57" s="406"/>
      <c r="F57" s="40"/>
      <c r="G57" s="452"/>
      <c r="H57" s="452"/>
    </row>
    <row r="58" spans="5:12">
      <c r="E58" s="406"/>
      <c r="F58" s="40"/>
      <c r="G58" s="40"/>
      <c r="H58" s="40"/>
    </row>
    <row r="59" spans="5:12">
      <c r="E59" s="406"/>
      <c r="F59" s="40"/>
      <c r="G59" s="452"/>
      <c r="H59" s="40"/>
    </row>
    <row r="60" spans="5:12">
      <c r="E60" s="406"/>
      <c r="F60" s="40"/>
      <c r="G60" s="452"/>
      <c r="H60" s="452"/>
    </row>
    <row r="61" spans="5:12">
      <c r="E61" s="406"/>
      <c r="F61" s="40"/>
      <c r="G61" s="40"/>
      <c r="H61" s="40"/>
    </row>
    <row r="62" spans="5:12">
      <c r="E62" s="406"/>
      <c r="F62" s="40"/>
      <c r="G62" s="452"/>
      <c r="H62" s="452"/>
    </row>
    <row r="63" spans="5:12"/>
    <row r="64" spans="5:12"/>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sheetData>
  <mergeCells count="8">
    <mergeCell ref="F36:G36"/>
    <mergeCell ref="F42:G42"/>
    <mergeCell ref="F43:G43"/>
    <mergeCell ref="F14:L14"/>
    <mergeCell ref="F26:G26"/>
    <mergeCell ref="F28:G28"/>
    <mergeCell ref="F34:G34"/>
    <mergeCell ref="F18:G18"/>
  </mergeCells>
  <phoneticPr fontId="12"/>
  <conditionalFormatting sqref="B12">
    <cfRule type="cellIs" dxfId="21" priority="106" operator="greaterThan">
      <formula>0</formula>
    </cfRule>
  </conditionalFormatting>
  <dataValidations count="1">
    <dataValidation allowBlank="1" showInputMessage="1" showErrorMessage="1" promptTitle="Toelichting" prompt="Vul in deze gekleurde cellen de gevraagde informatie in._x000d_" sqref="B11" xr:uid="{00000000-0002-0000-0B00-000000000000}"/>
  </dataValidations>
  <printOptions horizontalCentered="1"/>
  <pageMargins left="0.28999999999999998" right="0.09" top="1.38" bottom="0.79" header="0.39" footer="0.2"/>
  <pageSetup paperSize="9" scale="55" orientation="portrait" copies="3"/>
  <headerFooter>
    <oddHeader>&amp;L&amp;C&amp;R</oddHeader>
    <oddFooter>&amp;L&amp;"Verdana,Standaard"&amp;K000000&amp;F-&amp;A&amp;R&amp;"Verdana,Standaard"&amp;K000000printversie &amp;D</oddFooter>
  </headerFooter>
  <pictur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D444-32AA-5C4A-80DB-C4FE8EF76032}">
  <dimension ref="B1:M1311"/>
  <sheetViews>
    <sheetView showGridLines="0" showRowColHeaders="0" showZeros="0" showOutlineSymbols="0" zoomScaleSheetLayoutView="75" workbookViewId="0"/>
  </sheetViews>
  <sheetFormatPr defaultColWidth="10.85546875" defaultRowHeight="15.95" customHeight="1" zeroHeight="1"/>
  <cols>
    <col min="1" max="1" width="3.140625" style="542" customWidth="1"/>
    <col min="2" max="2" width="14.85546875" style="542" customWidth="1"/>
    <col min="3" max="3" width="10.85546875" style="542"/>
    <col min="4" max="4" width="5.140625" style="542" customWidth="1"/>
    <col min="5" max="5" width="5" style="542" customWidth="1"/>
    <col min="6" max="6" width="38" style="543" customWidth="1"/>
    <col min="7" max="7" width="25.85546875" style="543" customWidth="1"/>
    <col min="8" max="8" width="15.140625" style="543" customWidth="1"/>
    <col min="9" max="9" width="19.140625" style="632" customWidth="1"/>
    <col min="10" max="10" width="20.140625" style="633" customWidth="1"/>
    <col min="11" max="11" width="21" style="633" customWidth="1"/>
    <col min="12" max="12" width="21.85546875" style="633" customWidth="1"/>
    <col min="13" max="13" width="10.85546875" style="542" customWidth="1"/>
    <col min="14" max="21" width="10.85546875" style="542"/>
    <col min="22" max="22" width="29" style="542" bestFit="1" customWidth="1"/>
    <col min="23" max="23" width="5" style="542" bestFit="1" customWidth="1"/>
    <col min="24" max="24" width="3.85546875" style="542" bestFit="1" customWidth="1"/>
    <col min="25" max="25" width="24.140625" style="542" bestFit="1" customWidth="1"/>
    <col min="26" max="16384" width="10.85546875" style="542"/>
  </cols>
  <sheetData>
    <row r="1" spans="2:12" ht="11.1" customHeight="1" thickBot="1">
      <c r="F1" s="27"/>
      <c r="G1" s="27"/>
      <c r="H1" s="27"/>
      <c r="I1" s="634"/>
      <c r="J1" s="634"/>
      <c r="K1" s="635"/>
      <c r="L1" s="635"/>
    </row>
    <row r="2" spans="2:12" ht="11.1" customHeight="1">
      <c r="F2" s="97"/>
      <c r="G2" s="97"/>
      <c r="H2" s="97"/>
      <c r="I2" s="636"/>
      <c r="J2" s="636"/>
      <c r="K2" s="635"/>
      <c r="L2" s="635"/>
    </row>
    <row r="3" spans="2:12" ht="11.1" customHeight="1">
      <c r="F3" s="545"/>
      <c r="K3" s="623"/>
      <c r="L3" s="623"/>
    </row>
    <row r="4" spans="2:12" ht="17.100000000000001">
      <c r="F4" s="369" t="s">
        <v>91</v>
      </c>
      <c r="G4" s="33" t="s">
        <v>447</v>
      </c>
      <c r="K4" s="637"/>
    </row>
    <row r="5" spans="2:12" ht="17.100000000000001">
      <c r="F5" s="369" t="s">
        <v>93</v>
      </c>
      <c r="G5" s="35" t="str">
        <f>Voorblad!$E$16</f>
        <v>Invest-NL</v>
      </c>
      <c r="H5" s="546"/>
      <c r="I5" s="633"/>
    </row>
    <row r="6" spans="2:12" ht="17.100000000000001">
      <c r="F6" s="369" t="s">
        <v>94</v>
      </c>
      <c r="G6" s="35" t="str">
        <f>'1.0-Contractblad'!$E$7</f>
        <v>Kingsfordweg 43-117 Amsterdam</v>
      </c>
      <c r="H6" s="547"/>
      <c r="I6" s="633"/>
    </row>
    <row r="7" spans="2:12" ht="15.75" customHeight="1">
      <c r="F7" s="369" t="s">
        <v>43</v>
      </c>
      <c r="G7" s="548" t="str">
        <f>Voorblad!$E$24</f>
        <v>TN436801</v>
      </c>
      <c r="H7" s="549"/>
      <c r="I7" s="633"/>
    </row>
    <row r="8" spans="2:12" ht="17.100000000000001">
      <c r="F8" s="369" t="s">
        <v>45</v>
      </c>
      <c r="G8" s="38" t="e">
        <f ca="1">Voorblad!$E$26</f>
        <v>#VALUE!</v>
      </c>
      <c r="H8" s="547"/>
      <c r="I8" s="633"/>
    </row>
    <row r="9" spans="2:12" ht="17.100000000000001">
      <c r="F9" s="369" t="s">
        <v>95</v>
      </c>
      <c r="G9" s="555" t="str">
        <f>Voorblad!$E$19</f>
        <v>[Invoeren naam organisatie van Inschrijver]</v>
      </c>
      <c r="H9" s="547"/>
      <c r="I9" s="638"/>
    </row>
    <row r="10" spans="2:12" ht="17.100000000000001">
      <c r="F10" s="369" t="s">
        <v>42</v>
      </c>
      <c r="G10" s="41">
        <f>Voorblad!$E$22</f>
        <v>45473</v>
      </c>
      <c r="H10" s="547"/>
      <c r="I10" s="633"/>
    </row>
    <row r="11" spans="2:12" ht="17.100000000000001">
      <c r="B11" s="561" t="s">
        <v>53</v>
      </c>
      <c r="C11" s="568"/>
      <c r="F11" s="33" t="s">
        <v>448</v>
      </c>
      <c r="G11" s="550" t="s">
        <v>449</v>
      </c>
      <c r="H11" s="547"/>
      <c r="I11" s="633"/>
    </row>
    <row r="12" spans="2:12" ht="18" thickBot="1">
      <c r="B12" s="569"/>
      <c r="C12" s="562" t="s">
        <v>17</v>
      </c>
      <c r="H12" s="547"/>
      <c r="I12" s="639"/>
    </row>
    <row r="13" spans="2:12" ht="17.100000000000001">
      <c r="H13" s="547"/>
      <c r="I13" s="639"/>
    </row>
    <row r="14" spans="2:12" s="557" customFormat="1" ht="26.1" customHeight="1">
      <c r="B14" s="542"/>
      <c r="C14" s="542"/>
      <c r="F14" s="773" t="s">
        <v>468</v>
      </c>
      <c r="G14" s="773"/>
      <c r="H14" s="773"/>
      <c r="I14" s="773"/>
      <c r="J14" s="773"/>
      <c r="K14" s="773"/>
      <c r="L14" s="773"/>
    </row>
    <row r="15" spans="2:12" ht="12.95" customHeight="1">
      <c r="F15" s="558"/>
      <c r="G15" s="558"/>
      <c r="I15" s="623"/>
      <c r="J15" s="623"/>
      <c r="K15" s="623"/>
      <c r="L15" s="623"/>
    </row>
    <row r="16" spans="2:12">
      <c r="I16" s="775" t="s">
        <v>469</v>
      </c>
      <c r="J16" s="775"/>
      <c r="K16" s="775"/>
      <c r="L16" s="775"/>
    </row>
    <row r="17" spans="6:13">
      <c r="F17" s="621"/>
      <c r="G17" s="556"/>
      <c r="H17" s="556"/>
      <c r="I17" s="641" t="s">
        <v>470</v>
      </c>
      <c r="J17" s="641" t="s">
        <v>471</v>
      </c>
      <c r="K17" s="642" t="s">
        <v>472</v>
      </c>
      <c r="L17" s="642" t="s">
        <v>473</v>
      </c>
    </row>
    <row r="18" spans="6:13" ht="17.100000000000001" thickBot="1">
      <c r="F18" s="621" t="s">
        <v>474</v>
      </c>
      <c r="G18" s="556"/>
      <c r="H18" s="556"/>
      <c r="I18" s="621"/>
      <c r="J18" s="621"/>
      <c r="K18" s="621"/>
      <c r="L18" s="621"/>
      <c r="M18" s="553"/>
    </row>
    <row r="19" spans="6:13" ht="17.100000000000001" thickBot="1">
      <c r="F19" s="622" t="s">
        <v>475</v>
      </c>
      <c r="G19" s="556"/>
      <c r="H19" s="556"/>
      <c r="I19" s="629"/>
      <c r="J19" s="629"/>
      <c r="K19" s="629"/>
      <c r="L19" s="629"/>
    </row>
    <row r="20" spans="6:13" hidden="1">
      <c r="F20" s="621"/>
      <c r="G20" s="556"/>
      <c r="H20" s="556"/>
    </row>
    <row r="21" spans="6:13" ht="17.100000000000001" thickBot="1">
      <c r="F21" s="621" t="s">
        <v>474</v>
      </c>
      <c r="G21" s="556"/>
      <c r="H21" s="556"/>
      <c r="I21" s="621"/>
      <c r="J21" s="621"/>
      <c r="K21" s="621"/>
      <c r="L21" s="621"/>
    </row>
    <row r="22" spans="6:13" ht="17.100000000000001" thickBot="1">
      <c r="F22" s="622" t="s">
        <v>476</v>
      </c>
      <c r="G22" s="556"/>
      <c r="H22" s="556"/>
      <c r="I22" s="629"/>
      <c r="J22" s="629"/>
      <c r="K22" s="629"/>
      <c r="L22" s="629"/>
    </row>
    <row r="23" spans="6:13">
      <c r="F23" s="621"/>
      <c r="G23" s="556"/>
      <c r="H23" s="556"/>
    </row>
    <row r="24" spans="6:13" ht="17.100000000000001" thickBot="1">
      <c r="F24" s="621" t="s">
        <v>477</v>
      </c>
      <c r="G24" s="556"/>
      <c r="H24" s="556"/>
      <c r="I24" s="621"/>
      <c r="J24" s="621"/>
      <c r="K24" s="621"/>
      <c r="L24" s="621"/>
    </row>
    <row r="25" spans="6:13" ht="17.100000000000001" thickBot="1">
      <c r="F25" s="622" t="s">
        <v>478</v>
      </c>
      <c r="G25" s="556"/>
      <c r="H25" s="556"/>
      <c r="I25" s="629"/>
      <c r="J25" s="629"/>
      <c r="K25" s="629"/>
      <c r="L25" s="629"/>
    </row>
    <row r="26" spans="6:13">
      <c r="F26" s="621"/>
      <c r="G26" s="556"/>
      <c r="H26" s="556"/>
    </row>
    <row r="27" spans="6:13" ht="17.100000000000001" thickBot="1">
      <c r="F27" s="621" t="s">
        <v>477</v>
      </c>
      <c r="G27" s="556"/>
      <c r="H27" s="556"/>
      <c r="I27" s="621"/>
      <c r="J27" s="621"/>
      <c r="K27" s="621"/>
      <c r="L27" s="621"/>
    </row>
    <row r="28" spans="6:13" ht="17.100000000000001" thickBot="1">
      <c r="F28" s="622" t="s">
        <v>479</v>
      </c>
      <c r="G28" s="556"/>
      <c r="H28" s="556"/>
      <c r="I28" s="629"/>
      <c r="J28" s="629"/>
      <c r="K28" s="629"/>
      <c r="L28" s="629"/>
    </row>
    <row r="29" spans="6:13">
      <c r="F29" s="621"/>
      <c r="G29" s="556"/>
      <c r="H29" s="556"/>
    </row>
    <row r="30" spans="6:13" ht="17.100000000000001" thickBot="1">
      <c r="F30" s="621" t="s">
        <v>480</v>
      </c>
      <c r="G30" s="556"/>
      <c r="H30" s="556"/>
      <c r="I30" s="621"/>
      <c r="J30" s="621"/>
      <c r="K30" s="621"/>
      <c r="L30" s="621"/>
    </row>
    <row r="31" spans="6:13" ht="17.100000000000001" thickBot="1">
      <c r="F31" s="622" t="s">
        <v>478</v>
      </c>
      <c r="G31" s="556"/>
      <c r="H31" s="556"/>
      <c r="I31" s="629"/>
      <c r="J31" s="629"/>
      <c r="K31" s="629"/>
      <c r="L31" s="629"/>
    </row>
    <row r="32" spans="6:13">
      <c r="F32" s="621"/>
      <c r="G32" s="556"/>
      <c r="H32" s="556"/>
    </row>
    <row r="33" spans="6:12" ht="17.100000000000001" thickBot="1">
      <c r="F33" s="621" t="s">
        <v>480</v>
      </c>
      <c r="G33" s="556"/>
      <c r="H33" s="556"/>
      <c r="I33" s="621"/>
      <c r="J33" s="621"/>
      <c r="K33" s="621"/>
      <c r="L33" s="621"/>
    </row>
    <row r="34" spans="6:12" ht="17.100000000000001" thickBot="1">
      <c r="F34" s="622" t="s">
        <v>479</v>
      </c>
      <c r="G34" s="556"/>
      <c r="H34" s="556"/>
      <c r="I34" s="629"/>
      <c r="J34" s="629"/>
      <c r="K34" s="629"/>
      <c r="L34" s="629"/>
    </row>
    <row r="35" spans="6:12">
      <c r="F35" s="622"/>
      <c r="G35" s="556"/>
      <c r="H35" s="556"/>
      <c r="I35" s="621"/>
      <c r="J35" s="621"/>
      <c r="K35" s="621"/>
      <c r="L35" s="621"/>
    </row>
    <row r="36" spans="6:12" ht="17.100000000000001" thickBot="1">
      <c r="F36" s="621" t="s">
        <v>481</v>
      </c>
      <c r="G36" s="556"/>
      <c r="H36" s="556"/>
      <c r="I36" s="621"/>
      <c r="J36" s="621"/>
      <c r="K36" s="621"/>
      <c r="L36" s="621"/>
    </row>
    <row r="37" spans="6:12" ht="17.100000000000001" thickBot="1">
      <c r="F37" s="622" t="s">
        <v>482</v>
      </c>
      <c r="G37" s="556"/>
      <c r="H37" s="556"/>
      <c r="I37" s="629"/>
      <c r="J37" s="629"/>
      <c r="K37" s="629"/>
      <c r="L37" s="629"/>
    </row>
    <row r="38" spans="6:12">
      <c r="F38" s="622"/>
      <c r="G38" s="556"/>
      <c r="H38" s="556"/>
      <c r="I38" s="621"/>
      <c r="J38" s="621"/>
      <c r="K38" s="621"/>
      <c r="L38" s="621"/>
    </row>
    <row r="39" spans="6:12" ht="17.100000000000001" thickBot="1">
      <c r="F39" s="621" t="s">
        <v>481</v>
      </c>
      <c r="G39" s="556"/>
      <c r="H39" s="556"/>
      <c r="I39" s="621"/>
      <c r="J39" s="621"/>
      <c r="K39" s="621"/>
      <c r="L39" s="621"/>
    </row>
    <row r="40" spans="6:12" ht="17.100000000000001" thickBot="1">
      <c r="F40" s="622" t="s">
        <v>483</v>
      </c>
      <c r="G40" s="556"/>
      <c r="H40" s="556"/>
      <c r="I40" s="629"/>
      <c r="J40" s="629"/>
      <c r="K40" s="629"/>
      <c r="L40" s="629"/>
    </row>
    <row r="41" spans="6:12">
      <c r="F41" s="622"/>
      <c r="G41" s="556"/>
      <c r="H41" s="556"/>
      <c r="I41" s="621"/>
      <c r="J41" s="621"/>
      <c r="K41" s="621"/>
      <c r="L41" s="621"/>
    </row>
    <row r="42" spans="6:12" ht="17.100000000000001" thickBot="1">
      <c r="F42" s="621" t="s">
        <v>481</v>
      </c>
      <c r="G42" s="556"/>
      <c r="H42" s="556"/>
      <c r="I42" s="621"/>
      <c r="J42" s="621"/>
      <c r="K42" s="621"/>
      <c r="L42" s="621"/>
    </row>
    <row r="43" spans="6:12" ht="17.100000000000001" thickBot="1">
      <c r="F43" s="622" t="s">
        <v>484</v>
      </c>
      <c r="G43" s="556"/>
      <c r="H43" s="556"/>
      <c r="I43" s="629"/>
      <c r="J43" s="629"/>
      <c r="K43" s="629"/>
      <c r="L43" s="629"/>
    </row>
    <row r="44" spans="6:12">
      <c r="F44" s="622"/>
      <c r="G44" s="556"/>
      <c r="H44" s="556"/>
      <c r="I44" s="621"/>
      <c r="J44" s="621"/>
      <c r="K44" s="621"/>
      <c r="L44" s="621"/>
    </row>
    <row r="45" spans="6:12" ht="17.100000000000001" thickBot="1">
      <c r="F45" s="621" t="s">
        <v>481</v>
      </c>
      <c r="G45" s="556"/>
      <c r="H45" s="556"/>
      <c r="I45" s="621"/>
      <c r="J45" s="621"/>
      <c r="K45" s="621"/>
      <c r="L45" s="621"/>
    </row>
    <row r="46" spans="6:12" ht="17.100000000000001" thickBot="1">
      <c r="F46" s="622" t="s">
        <v>485</v>
      </c>
      <c r="G46" s="556"/>
      <c r="H46" s="556"/>
      <c r="I46" s="629"/>
      <c r="J46" s="629"/>
      <c r="K46" s="629"/>
      <c r="L46" s="629"/>
    </row>
    <row r="47" spans="6:12">
      <c r="F47" s="554"/>
      <c r="G47" s="553"/>
      <c r="H47" s="553"/>
      <c r="I47" s="621"/>
      <c r="J47" s="621"/>
      <c r="K47" s="621"/>
      <c r="L47" s="621"/>
    </row>
    <row r="48" spans="6:12">
      <c r="F48" s="554"/>
      <c r="G48" s="553"/>
      <c r="H48" s="553"/>
      <c r="I48" s="621"/>
      <c r="J48" s="621"/>
      <c r="K48" s="621"/>
      <c r="L48" s="621"/>
    </row>
    <row r="49" spans="6:12" s="557" customFormat="1" ht="26.1" customHeight="1">
      <c r="F49" s="778" t="s">
        <v>486</v>
      </c>
      <c r="G49" s="778"/>
      <c r="H49" s="778"/>
      <c r="I49" s="778"/>
      <c r="J49" s="778"/>
      <c r="K49" s="778"/>
      <c r="L49" s="778"/>
    </row>
    <row r="50" spans="6:12" ht="12.95" customHeight="1">
      <c r="F50" s="558"/>
      <c r="G50" s="558"/>
      <c r="I50" s="623"/>
      <c r="J50" s="623"/>
      <c r="K50" s="623"/>
      <c r="L50" s="623"/>
    </row>
    <row r="51" spans="6:12">
      <c r="F51" s="542"/>
      <c r="G51" s="542"/>
      <c r="H51" s="542"/>
      <c r="I51" s="623"/>
      <c r="J51" s="623"/>
      <c r="K51" s="623"/>
      <c r="L51" s="623"/>
    </row>
    <row r="52" spans="6:12">
      <c r="F52" s="623"/>
      <c r="G52" s="624"/>
      <c r="H52" s="624"/>
      <c r="I52" s="775" t="s">
        <v>487</v>
      </c>
      <c r="J52" s="775"/>
      <c r="K52" s="775"/>
      <c r="L52" s="775"/>
    </row>
    <row r="53" spans="6:12">
      <c r="F53" s="625" t="s">
        <v>488</v>
      </c>
      <c r="G53" s="625"/>
      <c r="H53" s="625"/>
      <c r="I53" s="699" t="s">
        <v>489</v>
      </c>
      <c r="J53" s="699" t="s">
        <v>490</v>
      </c>
      <c r="K53" s="699" t="s">
        <v>491</v>
      </c>
      <c r="L53" s="699" t="s">
        <v>492</v>
      </c>
    </row>
    <row r="54" spans="6:12" ht="17.100000000000001" thickBot="1">
      <c r="F54" s="623" t="s">
        <v>493</v>
      </c>
      <c r="G54" s="623"/>
      <c r="H54" s="623"/>
      <c r="I54" s="623"/>
      <c r="J54" s="623"/>
      <c r="K54" s="623"/>
      <c r="L54" s="623"/>
    </row>
    <row r="55" spans="6:12" ht="17.100000000000001" thickBot="1">
      <c r="F55" s="626" t="s">
        <v>494</v>
      </c>
      <c r="G55" s="623"/>
      <c r="H55" s="623"/>
      <c r="I55" s="629"/>
      <c r="J55" s="629"/>
      <c r="K55" s="629"/>
      <c r="L55" s="629"/>
    </row>
    <row r="56" spans="6:12" hidden="1">
      <c r="F56" s="623"/>
      <c r="G56" s="623"/>
      <c r="H56" s="623"/>
      <c r="I56" s="623"/>
      <c r="J56" s="623"/>
      <c r="K56" s="623"/>
      <c r="L56" s="623"/>
    </row>
    <row r="57" spans="6:12" ht="17.100000000000001" thickBot="1">
      <c r="F57" s="623" t="s">
        <v>495</v>
      </c>
      <c r="G57" s="623"/>
      <c r="H57" s="623"/>
      <c r="I57" s="623"/>
      <c r="J57" s="623"/>
      <c r="K57" s="623"/>
      <c r="L57" s="623"/>
    </row>
    <row r="58" spans="6:12" ht="17.100000000000001" thickBot="1">
      <c r="F58" s="626" t="s">
        <v>494</v>
      </c>
      <c r="G58" s="623"/>
      <c r="H58" s="623"/>
      <c r="I58" s="629"/>
      <c r="J58" s="629"/>
      <c r="K58" s="629"/>
      <c r="L58" s="629"/>
    </row>
    <row r="59" spans="6:12">
      <c r="F59" s="623"/>
      <c r="G59" s="623"/>
      <c r="H59" s="623"/>
      <c r="I59" s="623"/>
      <c r="J59" s="623"/>
      <c r="K59" s="623"/>
      <c r="L59" s="623"/>
    </row>
    <row r="60" spans="6:12">
      <c r="F60" s="623"/>
      <c r="G60" s="623"/>
      <c r="H60" s="623"/>
      <c r="I60" s="623"/>
      <c r="J60" s="623"/>
      <c r="K60" s="623"/>
      <c r="L60" s="623"/>
    </row>
    <row r="61" spans="6:12">
      <c r="F61" s="623"/>
      <c r="G61" s="623"/>
      <c r="H61" s="623"/>
      <c r="I61" s="623"/>
      <c r="J61" s="623"/>
      <c r="K61" s="623"/>
      <c r="L61" s="623"/>
    </row>
    <row r="62" spans="6:12">
      <c r="F62" s="623"/>
      <c r="G62" s="623"/>
      <c r="H62" s="623"/>
      <c r="I62" s="775" t="s">
        <v>487</v>
      </c>
      <c r="J62" s="775"/>
      <c r="K62" s="775"/>
      <c r="L62" s="775"/>
    </row>
    <row r="63" spans="6:12">
      <c r="F63" s="625" t="s">
        <v>496</v>
      </c>
      <c r="G63" s="621"/>
      <c r="H63" s="621"/>
      <c r="I63" s="699" t="s">
        <v>489</v>
      </c>
      <c r="J63" s="699" t="s">
        <v>490</v>
      </c>
      <c r="K63" s="699" t="s">
        <v>491</v>
      </c>
      <c r="L63" s="699" t="s">
        <v>492</v>
      </c>
    </row>
    <row r="64" spans="6:12" ht="17.100000000000001" thickBot="1">
      <c r="F64" s="621" t="s">
        <v>497</v>
      </c>
      <c r="G64" s="623"/>
      <c r="H64" s="621"/>
      <c r="I64" s="623"/>
      <c r="J64" s="623"/>
      <c r="K64" s="623"/>
      <c r="L64" s="623"/>
    </row>
    <row r="65" spans="6:12" ht="17.100000000000001" thickBot="1">
      <c r="F65" s="622" t="s">
        <v>498</v>
      </c>
      <c r="G65" s="621"/>
      <c r="H65" s="621"/>
      <c r="I65" s="629"/>
      <c r="J65" s="629"/>
      <c r="K65" s="629"/>
      <c r="L65" s="629"/>
    </row>
    <row r="66" spans="6:12">
      <c r="F66" s="621"/>
      <c r="G66" s="621"/>
      <c r="H66" s="621"/>
    </row>
    <row r="67" spans="6:12" ht="21" customHeight="1">
      <c r="F67" s="623"/>
      <c r="G67" s="623"/>
      <c r="H67" s="623"/>
      <c r="I67" s="623"/>
      <c r="J67" s="623"/>
      <c r="K67" s="642" t="s">
        <v>499</v>
      </c>
      <c r="L67" s="642" t="s">
        <v>499</v>
      </c>
    </row>
    <row r="68" spans="6:12" ht="21" customHeight="1" thickBot="1">
      <c r="F68" s="627" t="s">
        <v>500</v>
      </c>
      <c r="G68" s="627" t="s">
        <v>501</v>
      </c>
      <c r="H68" s="623"/>
      <c r="I68" s="623"/>
      <c r="J68" s="623"/>
      <c r="K68" s="642" t="s">
        <v>502</v>
      </c>
      <c r="L68" s="642" t="s">
        <v>503</v>
      </c>
    </row>
    <row r="69" spans="6:12" ht="21" customHeight="1" thickBot="1">
      <c r="F69" s="623" t="s">
        <v>504</v>
      </c>
      <c r="G69" s="623" t="s">
        <v>505</v>
      </c>
      <c r="H69" s="623"/>
      <c r="I69" s="623"/>
      <c r="J69" s="623"/>
      <c r="K69" s="629"/>
      <c r="L69" s="623"/>
    </row>
    <row r="70" spans="6:12" ht="21" customHeight="1" thickBot="1">
      <c r="F70" s="623" t="s">
        <v>506</v>
      </c>
      <c r="G70" s="623" t="s">
        <v>507</v>
      </c>
      <c r="H70" s="623"/>
      <c r="I70" s="623"/>
      <c r="J70" s="623"/>
      <c r="K70" s="629"/>
      <c r="L70" s="623"/>
    </row>
    <row r="71" spans="6:12" ht="21" customHeight="1" thickBot="1">
      <c r="F71" s="623" t="s">
        <v>508</v>
      </c>
      <c r="G71" s="623" t="s">
        <v>509</v>
      </c>
      <c r="H71" s="623"/>
      <c r="I71" s="623"/>
      <c r="J71" s="623"/>
      <c r="K71" s="623"/>
      <c r="L71" s="629"/>
    </row>
    <row r="72" spans="6:12" ht="21" customHeight="1" thickBot="1">
      <c r="F72" s="623" t="s">
        <v>510</v>
      </c>
      <c r="G72" s="623" t="s">
        <v>509</v>
      </c>
      <c r="H72" s="623"/>
      <c r="I72" s="623"/>
      <c r="J72" s="623"/>
      <c r="K72" s="623"/>
      <c r="L72" s="629"/>
    </row>
    <row r="73" spans="6:12" ht="21" customHeight="1">
      <c r="F73" s="623"/>
      <c r="G73" s="623"/>
      <c r="H73" s="623"/>
      <c r="I73" s="623"/>
      <c r="J73" s="623"/>
      <c r="K73" s="623"/>
      <c r="L73" s="623"/>
    </row>
    <row r="74" spans="6:12" ht="21" customHeight="1">
      <c r="F74" s="542"/>
      <c r="G74" s="542"/>
      <c r="H74" s="542"/>
      <c r="I74" s="623"/>
      <c r="J74" s="623"/>
      <c r="K74" s="623"/>
      <c r="L74" s="623"/>
    </row>
    <row r="75" spans="6:12">
      <c r="F75" s="542"/>
      <c r="G75" s="542"/>
      <c r="H75" s="542"/>
      <c r="I75" s="623"/>
      <c r="J75" s="623"/>
      <c r="K75" s="623"/>
      <c r="L75" s="623"/>
    </row>
    <row r="76" spans="6:12" ht="26.1" customHeight="1">
      <c r="F76" s="776" t="s">
        <v>511</v>
      </c>
      <c r="G76" s="776"/>
      <c r="H76" s="776"/>
      <c r="I76" s="776"/>
      <c r="J76" s="776"/>
      <c r="K76" s="776"/>
      <c r="L76" s="776"/>
    </row>
    <row r="77" spans="6:12" ht="12.95" customHeight="1">
      <c r="F77" s="558"/>
      <c r="G77" s="558"/>
      <c r="I77" s="623"/>
      <c r="J77" s="623"/>
      <c r="K77" s="623"/>
      <c r="L77" s="623"/>
    </row>
    <row r="78" spans="6:12" ht="12.95" customHeight="1">
      <c r="F78" s="542"/>
      <c r="G78" s="542"/>
      <c r="H78" s="542"/>
      <c r="I78" s="623"/>
      <c r="J78" s="623"/>
      <c r="K78" s="623"/>
      <c r="L78" s="623"/>
    </row>
    <row r="79" spans="6:12" ht="12.95" customHeight="1">
      <c r="F79" s="542"/>
      <c r="G79" s="542"/>
      <c r="H79" s="542"/>
      <c r="I79" s="623"/>
      <c r="J79" s="623"/>
      <c r="K79" s="623"/>
      <c r="L79" s="623"/>
    </row>
    <row r="80" spans="6:12" ht="12.75" customHeight="1">
      <c r="F80" s="777" t="s">
        <v>512</v>
      </c>
      <c r="G80" s="777"/>
      <c r="H80" s="777"/>
      <c r="I80" s="777"/>
      <c r="J80" s="777"/>
      <c r="K80" s="777"/>
      <c r="L80" s="777"/>
    </row>
    <row r="81" spans="6:12" ht="15">
      <c r="F81" s="777"/>
      <c r="G81" s="777"/>
      <c r="H81" s="777"/>
      <c r="I81" s="777"/>
      <c r="J81" s="777"/>
      <c r="K81" s="777"/>
      <c r="L81" s="777"/>
    </row>
    <row r="82" spans="6:12" ht="15">
      <c r="F82" s="777"/>
      <c r="G82" s="777"/>
      <c r="H82" s="777"/>
      <c r="I82" s="777"/>
      <c r="J82" s="777"/>
      <c r="K82" s="777"/>
      <c r="L82" s="777"/>
    </row>
    <row r="83" spans="6:12">
      <c r="F83" s="627"/>
      <c r="G83" s="627"/>
      <c r="H83" s="627"/>
      <c r="I83" s="627"/>
      <c r="J83" s="627"/>
      <c r="K83" s="627"/>
      <c r="L83" s="627"/>
    </row>
    <row r="84" spans="6:12" ht="17.100000000000001" thickBot="1">
      <c r="F84" s="627" t="s">
        <v>513</v>
      </c>
      <c r="G84" s="623"/>
      <c r="H84" s="627" t="s">
        <v>514</v>
      </c>
      <c r="I84" s="627"/>
      <c r="J84" s="627"/>
      <c r="K84" s="627"/>
      <c r="L84" s="627"/>
    </row>
    <row r="85" spans="6:12" ht="20.100000000000001" customHeight="1" thickBot="1">
      <c r="F85" s="626" t="s">
        <v>515</v>
      </c>
      <c r="G85" s="623"/>
      <c r="H85" s="623" t="s">
        <v>516</v>
      </c>
      <c r="I85" s="623"/>
      <c r="J85" s="628"/>
      <c r="K85" s="628"/>
      <c r="L85" s="629"/>
    </row>
    <row r="86" spans="6:12" ht="20.100000000000001" customHeight="1" thickBot="1">
      <c r="F86" s="623" t="s">
        <v>517</v>
      </c>
      <c r="G86" s="623"/>
      <c r="H86" s="623" t="s">
        <v>518</v>
      </c>
      <c r="I86" s="623"/>
      <c r="J86" s="628"/>
      <c r="K86" s="628"/>
      <c r="L86" s="629"/>
    </row>
    <row r="87" spans="6:12" ht="20.100000000000001" customHeight="1" thickBot="1">
      <c r="F87" s="623" t="s">
        <v>515</v>
      </c>
      <c r="G87" s="623"/>
      <c r="H87" s="623" t="s">
        <v>519</v>
      </c>
      <c r="I87" s="623"/>
      <c r="J87" s="628"/>
      <c r="K87" s="628"/>
      <c r="L87" s="629"/>
    </row>
    <row r="88" spans="6:12" ht="20.100000000000001" customHeight="1" thickBot="1">
      <c r="F88" s="626" t="s">
        <v>517</v>
      </c>
      <c r="G88" s="623"/>
      <c r="H88" s="626" t="s">
        <v>519</v>
      </c>
      <c r="I88" s="623"/>
      <c r="J88" s="630"/>
      <c r="K88" s="628"/>
      <c r="L88" s="629"/>
    </row>
    <row r="89" spans="6:12" ht="20.100000000000001" customHeight="1" thickBot="1">
      <c r="F89" s="623" t="s">
        <v>515</v>
      </c>
      <c r="G89" s="623"/>
      <c r="H89" s="623" t="s">
        <v>520</v>
      </c>
      <c r="I89" s="623"/>
      <c r="J89" s="628"/>
      <c r="K89" s="630"/>
      <c r="L89" s="629"/>
    </row>
    <row r="90" spans="6:12" ht="20.100000000000001" customHeight="1" thickBot="1">
      <c r="F90" s="626" t="s">
        <v>517</v>
      </c>
      <c r="G90" s="623"/>
      <c r="H90" s="626" t="s">
        <v>520</v>
      </c>
      <c r="I90" s="623"/>
      <c r="J90" s="630"/>
      <c r="K90" s="628"/>
      <c r="L90" s="629"/>
    </row>
    <row r="91" spans="6:12">
      <c r="F91" s="623"/>
      <c r="G91" s="623"/>
      <c r="H91" s="623"/>
      <c r="I91" s="623"/>
      <c r="J91" s="623"/>
      <c r="K91" s="630"/>
      <c r="L91" s="630"/>
    </row>
    <row r="92" spans="6:12" ht="12.75" customHeight="1">
      <c r="F92" s="631" t="s">
        <v>28</v>
      </c>
      <c r="G92" s="621"/>
      <c r="H92" s="621"/>
      <c r="K92" s="623"/>
      <c r="L92" s="623"/>
    </row>
    <row r="93" spans="6:12" ht="12.75" customHeight="1">
      <c r="F93" s="621" t="s">
        <v>466</v>
      </c>
      <c r="G93" s="621"/>
      <c r="H93" s="621"/>
    </row>
    <row r="94" spans="6:12" ht="12.75" customHeight="1">
      <c r="F94" s="621" t="s">
        <v>467</v>
      </c>
      <c r="G94" s="621"/>
      <c r="H94" s="621"/>
    </row>
    <row r="95" spans="6:12" ht="12.75" customHeight="1"/>
    <row r="96" spans="6:12" ht="17.100000000000001" thickBot="1">
      <c r="F96" s="27"/>
      <c r="G96" s="27"/>
      <c r="H96" s="27"/>
      <c r="I96" s="634"/>
      <c r="J96" s="634"/>
      <c r="K96" s="634"/>
      <c r="L96" s="634"/>
    </row>
    <row r="97" spans="5:12">
      <c r="F97" s="97"/>
      <c r="G97" s="97"/>
      <c r="H97" s="97"/>
      <c r="I97" s="636"/>
      <c r="J97" s="636"/>
      <c r="K97" s="636"/>
      <c r="L97" s="636"/>
    </row>
    <row r="98" spans="5:12"/>
    <row r="99" spans="5:12"/>
    <row r="100" spans="5:12">
      <c r="E100" s="406"/>
      <c r="F100" s="452"/>
      <c r="G100" s="452"/>
      <c r="H100" s="452"/>
    </row>
    <row r="101" spans="5:12">
      <c r="E101" s="406"/>
      <c r="F101" s="40"/>
      <c r="G101" s="452"/>
      <c r="H101" s="452"/>
    </row>
    <row r="102" spans="5:12">
      <c r="E102" s="406"/>
      <c r="F102" s="40"/>
      <c r="G102" s="40"/>
      <c r="H102" s="40"/>
    </row>
    <row r="103" spans="5:12">
      <c r="E103" s="406"/>
      <c r="F103" s="40"/>
      <c r="G103" s="452"/>
      <c r="H103" s="40"/>
    </row>
    <row r="104" spans="5:12">
      <c r="E104" s="406"/>
      <c r="F104" s="40"/>
      <c r="G104" s="452"/>
      <c r="H104" s="452"/>
    </row>
    <row r="105" spans="5:12">
      <c r="E105" s="406"/>
      <c r="F105" s="40"/>
      <c r="G105" s="40"/>
      <c r="H105" s="40"/>
    </row>
    <row r="106" spans="5:12">
      <c r="E106" s="406"/>
      <c r="F106" s="40"/>
      <c r="G106" s="452"/>
      <c r="H106" s="452"/>
    </row>
    <row r="107" spans="5:12"/>
    <row r="108" spans="5:12"/>
    <row r="109" spans="5:12"/>
    <row r="110" spans="5:12"/>
    <row r="111" spans="5:12"/>
    <row r="112" spans="5: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ht="15.95" customHeight="1"/>
    <row r="1248" ht="15.95" customHeight="1"/>
    <row r="1249" ht="15.95" customHeight="1"/>
    <row r="1250" ht="15.95" customHeight="1"/>
    <row r="1251" ht="15.95" customHeight="1"/>
    <row r="1252" ht="15.95" customHeight="1"/>
    <row r="1253" ht="15.95" customHeight="1"/>
    <row r="1254" ht="15.95" customHeight="1"/>
    <row r="1255" ht="15.95" customHeight="1"/>
    <row r="1256" ht="15.95" customHeight="1"/>
    <row r="1257" ht="15.95" customHeight="1"/>
    <row r="1258" ht="15.95" customHeight="1"/>
    <row r="1259" ht="15.95" customHeight="1"/>
    <row r="1260" ht="15.95" customHeight="1"/>
    <row r="1261" ht="15.95" customHeight="1"/>
    <row r="1262" ht="15.95" customHeight="1"/>
    <row r="1263" ht="15.95" customHeight="1"/>
    <row r="1264" ht="15.95" customHeight="1"/>
    <row r="1265" ht="15.95" customHeight="1"/>
    <row r="1266" ht="15.95" customHeight="1"/>
    <row r="1267" ht="15.95" customHeight="1"/>
    <row r="1268" ht="15.95" customHeight="1"/>
    <row r="1269" ht="15.95" customHeight="1"/>
    <row r="1270" ht="15.95" customHeight="1"/>
    <row r="1271" ht="15.95" customHeight="1"/>
    <row r="1272" ht="15.95" customHeight="1"/>
    <row r="1273" ht="15.95" customHeight="1"/>
    <row r="1274" ht="15.95" customHeight="1"/>
    <row r="1275" ht="15.95" customHeight="1"/>
    <row r="1276" ht="15.95" customHeight="1"/>
    <row r="1277" ht="15.95" customHeight="1"/>
    <row r="1278" ht="15.95" customHeight="1"/>
    <row r="1279" ht="15.95" customHeight="1"/>
    <row r="1280" ht="15.95" customHeight="1"/>
    <row r="1281" ht="15.95" customHeight="1"/>
    <row r="1282" ht="15.95" customHeight="1"/>
    <row r="1283" ht="15.95" customHeight="1"/>
    <row r="1284" ht="15.95" customHeight="1"/>
    <row r="1285" ht="15.95" customHeight="1"/>
    <row r="1286" ht="15.95" customHeight="1"/>
    <row r="1287" ht="15.95" customHeight="1"/>
    <row r="1288" ht="15.95" customHeight="1"/>
    <row r="1289" ht="15.95" customHeight="1"/>
    <row r="1290" ht="15.95" customHeight="1"/>
    <row r="1291" ht="15.95" customHeight="1"/>
    <row r="1292" ht="15.95" customHeight="1"/>
    <row r="1293" ht="15.95" customHeight="1"/>
    <row r="1294" ht="15.95" customHeight="1"/>
    <row r="1295" ht="15.95" customHeight="1"/>
    <row r="1296" ht="15.95" customHeight="1"/>
    <row r="1297" ht="15.95" customHeight="1"/>
    <row r="1298" ht="15.95" customHeight="1"/>
    <row r="1299" ht="15.95" customHeight="1"/>
    <row r="1300" ht="15.95" customHeight="1"/>
    <row r="1301" ht="15.95" customHeight="1"/>
    <row r="1302" ht="15.95" customHeight="1"/>
    <row r="1303" ht="15.95" customHeight="1"/>
    <row r="1304" ht="15.95" customHeight="1"/>
    <row r="1305" ht="15.95" customHeight="1"/>
    <row r="1306" ht="15.95" customHeight="1"/>
    <row r="1307" ht="15.95" customHeight="1"/>
    <row r="1308" ht="15.95" customHeight="1"/>
    <row r="1309" ht="15.95" customHeight="1"/>
    <row r="1310" ht="15.95" customHeight="1"/>
    <row r="1311" ht="15.95" customHeight="1"/>
  </sheetData>
  <mergeCells count="7">
    <mergeCell ref="I52:L52"/>
    <mergeCell ref="I62:L62"/>
    <mergeCell ref="F76:L76"/>
    <mergeCell ref="F80:L82"/>
    <mergeCell ref="F14:L14"/>
    <mergeCell ref="I16:L16"/>
    <mergeCell ref="F49:L49"/>
  </mergeCells>
  <conditionalFormatting sqref="B12">
    <cfRule type="cellIs" dxfId="20" priority="74" operator="greaterThan">
      <formula>0</formula>
    </cfRule>
  </conditionalFormatting>
  <conditionalFormatting sqref="I19:L19">
    <cfRule type="cellIs" dxfId="19" priority="70" operator="greaterThan">
      <formula>0</formula>
    </cfRule>
  </conditionalFormatting>
  <conditionalFormatting sqref="I22:L22">
    <cfRule type="cellIs" dxfId="18" priority="66" operator="greaterThan">
      <formula>0</formula>
    </cfRule>
  </conditionalFormatting>
  <conditionalFormatting sqref="I25:L25">
    <cfRule type="cellIs" dxfId="17" priority="62" operator="greaterThan">
      <formula>0</formula>
    </cfRule>
  </conditionalFormatting>
  <conditionalFormatting sqref="I28:L28">
    <cfRule type="cellIs" dxfId="16" priority="58" operator="greaterThan">
      <formula>0</formula>
    </cfRule>
  </conditionalFormatting>
  <conditionalFormatting sqref="I31:L31">
    <cfRule type="cellIs" dxfId="15" priority="54" operator="greaterThan">
      <formula>0</formula>
    </cfRule>
  </conditionalFormatting>
  <conditionalFormatting sqref="I34:L34">
    <cfRule type="cellIs" dxfId="14" priority="50" operator="greaterThan">
      <formula>0</formula>
    </cfRule>
  </conditionalFormatting>
  <conditionalFormatting sqref="I37:L37">
    <cfRule type="cellIs" dxfId="13" priority="46" operator="greaterThan">
      <formula>0</formula>
    </cfRule>
  </conditionalFormatting>
  <conditionalFormatting sqref="I40:L40">
    <cfRule type="cellIs" dxfId="12" priority="42" operator="greaterThan">
      <formula>0</formula>
    </cfRule>
  </conditionalFormatting>
  <conditionalFormatting sqref="I43:L43">
    <cfRule type="cellIs" dxfId="11" priority="38" operator="greaterThan">
      <formula>0</formula>
    </cfRule>
  </conditionalFormatting>
  <conditionalFormatting sqref="I46:L46">
    <cfRule type="cellIs" dxfId="10" priority="34" operator="greaterThan">
      <formula>0</formula>
    </cfRule>
  </conditionalFormatting>
  <conditionalFormatting sqref="I55:L55">
    <cfRule type="cellIs" dxfId="9" priority="14" operator="greaterThan">
      <formula>0</formula>
    </cfRule>
  </conditionalFormatting>
  <conditionalFormatting sqref="I58:L58">
    <cfRule type="cellIs" dxfId="8" priority="10" operator="greaterThan">
      <formula>0</formula>
    </cfRule>
  </conditionalFormatting>
  <conditionalFormatting sqref="I65:L65">
    <cfRule type="cellIs" dxfId="7" priority="6" operator="greaterThan">
      <formula>0</formula>
    </cfRule>
  </conditionalFormatting>
  <conditionalFormatting sqref="K69:K70">
    <cfRule type="cellIs" dxfId="6" priority="4" operator="greaterThan">
      <formula>0</formula>
    </cfRule>
  </conditionalFormatting>
  <conditionalFormatting sqref="L71:L72">
    <cfRule type="cellIs" dxfId="5" priority="2" operator="greaterThan">
      <formula>0</formula>
    </cfRule>
  </conditionalFormatting>
  <conditionalFormatting sqref="L85:L90">
    <cfRule type="cellIs" dxfId="4" priority="1" operator="greaterThan">
      <formula>0</formula>
    </cfRule>
  </conditionalFormatting>
  <dataValidations count="1">
    <dataValidation allowBlank="1" showInputMessage="1" showErrorMessage="1" promptTitle="Toelichting" prompt="Vul in deze gekleurde cellen de gevraagde informatie in._x000d_" sqref="B11" xr:uid="{D8FFB7BE-72E9-7546-9B12-3E448BEDD46E}"/>
  </dataValidations>
  <printOptions horizontalCentered="1"/>
  <pageMargins left="0.28999999999999998" right="0.09" top="1.38" bottom="0.79" header="0.39" footer="0.2"/>
  <pageSetup paperSize="9" scale="55" orientation="portrait" copies="3"/>
  <headerFooter>
    <oddHeader>&amp;L&amp;C&amp;R</oddHeader>
    <oddFooter>&amp;L&amp;"Verdana,Standaard"&amp;K000000&amp;F-&amp;A&amp;R&amp;"Verdana,Standaard"&amp;K000000printversie &amp;D</oddFooter>
  </headerFooter>
  <pictur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42D43-D673-9640-895D-A3FA8E69FA4D}">
  <sheetPr>
    <pageSetUpPr fitToPage="1"/>
  </sheetPr>
  <dimension ref="B1:AF85"/>
  <sheetViews>
    <sheetView showGridLines="0" showRowColHeaders="0" zoomScale="98" workbookViewId="0"/>
  </sheetViews>
  <sheetFormatPr defaultColWidth="11" defaultRowHeight="15"/>
  <cols>
    <col min="1" max="2" width="13.85546875" style="337" customWidth="1"/>
    <col min="3" max="3" width="17.140625" style="337" customWidth="1"/>
    <col min="4" max="4" width="37" style="337" customWidth="1"/>
    <col min="5" max="5" width="29.140625" style="337" customWidth="1"/>
    <col min="6" max="6" width="13.140625" style="337" customWidth="1"/>
    <col min="7" max="7" width="19.140625" style="337" customWidth="1"/>
    <col min="8" max="8" width="6.85546875" style="573" hidden="1" customWidth="1"/>
    <col min="9" max="9" width="13.140625" style="337" bestFit="1" customWidth="1"/>
    <col min="10" max="10" width="12.140625" style="337" customWidth="1"/>
    <col min="11" max="11" width="12.140625" style="573" customWidth="1"/>
    <col min="12" max="12" width="2.140625" style="573" customWidth="1"/>
    <col min="13" max="13" width="13" style="573" customWidth="1"/>
    <col min="14" max="15" width="11.140625" style="337" bestFit="1" customWidth="1"/>
    <col min="16" max="16" width="2.140625" style="573" customWidth="1"/>
    <col min="17" max="17" width="18.140625" style="337" customWidth="1"/>
    <col min="18" max="20" width="19" style="337" customWidth="1"/>
    <col min="21" max="21" width="7.140625" style="337" customWidth="1"/>
    <col min="22" max="24" width="13.85546875" style="337" hidden="1" customWidth="1"/>
    <col min="25" max="25" width="7" style="337" hidden="1" customWidth="1"/>
    <col min="26" max="26" width="13.85546875" style="337" hidden="1" customWidth="1"/>
    <col min="27" max="27" width="0" style="337" hidden="1" customWidth="1"/>
    <col min="28" max="28" width="2.140625" style="337" customWidth="1"/>
    <col min="29" max="16384" width="11" style="337"/>
  </cols>
  <sheetData>
    <row r="1" spans="2:32" ht="9" customHeight="1" thickBot="1">
      <c r="D1" s="27"/>
      <c r="E1" s="27"/>
      <c r="F1" s="27"/>
      <c r="G1" s="27"/>
      <c r="H1" s="27"/>
      <c r="I1" s="27"/>
      <c r="J1" s="27"/>
      <c r="K1" s="27"/>
      <c r="L1" s="27"/>
      <c r="M1" s="27"/>
      <c r="N1" s="27"/>
      <c r="O1" s="27"/>
      <c r="P1" s="27"/>
      <c r="Q1" s="27"/>
      <c r="R1" s="94"/>
      <c r="S1" s="94"/>
      <c r="T1" s="94"/>
      <c r="U1" s="94"/>
    </row>
    <row r="2" spans="2:32" ht="9" customHeight="1">
      <c r="D2" s="97"/>
      <c r="E2" s="97"/>
      <c r="F2" s="97"/>
      <c r="G2" s="97"/>
      <c r="H2" s="97"/>
      <c r="I2" s="97"/>
      <c r="J2" s="97"/>
      <c r="K2" s="97"/>
      <c r="L2" s="97"/>
      <c r="M2" s="97"/>
      <c r="N2" s="97"/>
      <c r="O2" s="97"/>
      <c r="P2" s="97"/>
      <c r="Q2" s="97"/>
      <c r="R2" s="94"/>
      <c r="S2" s="94"/>
      <c r="T2" s="94"/>
      <c r="U2" s="94"/>
    </row>
    <row r="3" spans="2:32" ht="9" customHeight="1"/>
    <row r="5" spans="2:32" ht="17.100000000000001">
      <c r="D5" s="369" t="s">
        <v>91</v>
      </c>
      <c r="E5" s="33" t="s">
        <v>39</v>
      </c>
      <c r="F5" s="543"/>
    </row>
    <row r="6" spans="2:32" ht="17.100000000000001">
      <c r="D6" s="369" t="s">
        <v>93</v>
      </c>
      <c r="E6" s="35" t="str">
        <f>Voorblad!$E$16</f>
        <v>Invest-NL</v>
      </c>
      <c r="F6" s="546"/>
      <c r="I6" s="614"/>
    </row>
    <row r="7" spans="2:32" ht="17.100000000000001">
      <c r="D7" s="369" t="s">
        <v>94</v>
      </c>
      <c r="E7" s="35" t="str">
        <f>'1.0-Contractblad'!$E$7</f>
        <v>Kingsfordweg 43-117 Amsterdam</v>
      </c>
      <c r="F7" s="547"/>
      <c r="I7" s="614"/>
    </row>
    <row r="8" spans="2:32" ht="17.100000000000001">
      <c r="D8" s="369" t="s">
        <v>43</v>
      </c>
      <c r="E8" s="548" t="str">
        <f>Voorblad!$E$24</f>
        <v>TN436801</v>
      </c>
      <c r="F8" s="549"/>
    </row>
    <row r="9" spans="2:32" ht="17.100000000000001">
      <c r="D9" s="369" t="s">
        <v>45</v>
      </c>
      <c r="E9" s="38" t="e">
        <f ca="1">Voorblad!$E$26</f>
        <v>#VALUE!</v>
      </c>
      <c r="F9" s="547"/>
    </row>
    <row r="10" spans="2:32" ht="17.100000000000001">
      <c r="D10" s="369" t="s">
        <v>95</v>
      </c>
      <c r="E10" s="644" t="str">
        <f>Voorblad!$E$19</f>
        <v>[Invoeren naam organisatie van Inschrijver]</v>
      </c>
      <c r="F10" s="547"/>
      <c r="O10" s="542"/>
    </row>
    <row r="11" spans="2:32" ht="17.100000000000001">
      <c r="D11" s="369" t="s">
        <v>42</v>
      </c>
      <c r="E11" s="41">
        <f>Voorblad!$E$22</f>
        <v>45473</v>
      </c>
      <c r="F11" s="547"/>
      <c r="O11" s="542"/>
    </row>
    <row r="12" spans="2:32" ht="17.100000000000001">
      <c r="D12" s="33" t="s">
        <v>448</v>
      </c>
      <c r="E12" s="550" t="s">
        <v>449</v>
      </c>
      <c r="F12" s="547"/>
      <c r="AC12" s="574"/>
      <c r="AD12" s="574"/>
      <c r="AE12" s="574"/>
      <c r="AF12" s="574"/>
    </row>
    <row r="13" spans="2:32">
      <c r="AC13" s="574"/>
      <c r="AD13" s="574"/>
      <c r="AE13" s="574"/>
      <c r="AF13" s="574"/>
    </row>
    <row r="14" spans="2:32">
      <c r="B14" s="647" t="s">
        <v>53</v>
      </c>
      <c r="C14" s="544"/>
      <c r="H14" s="337"/>
      <c r="I14" s="573"/>
      <c r="J14" s="573"/>
      <c r="L14" s="337"/>
      <c r="M14" s="337"/>
      <c r="P14" s="337"/>
      <c r="AC14" s="574"/>
      <c r="AD14" s="574"/>
      <c r="AE14" s="574"/>
      <c r="AF14" s="574"/>
    </row>
    <row r="15" spans="2:32" s="40" customFormat="1" ht="36" customHeight="1" thickBot="1">
      <c r="B15" s="559"/>
      <c r="C15" s="560" t="s">
        <v>17</v>
      </c>
      <c r="D15" s="645" t="s">
        <v>189</v>
      </c>
      <c r="E15" s="646" t="s">
        <v>521</v>
      </c>
      <c r="F15" s="646" t="s">
        <v>522</v>
      </c>
      <c r="G15" s="646" t="s">
        <v>523</v>
      </c>
      <c r="H15" s="646"/>
      <c r="I15" s="646" t="s">
        <v>524</v>
      </c>
      <c r="J15" s="646" t="s">
        <v>525</v>
      </c>
      <c r="K15" s="646" t="s">
        <v>526</v>
      </c>
      <c r="L15" s="646"/>
      <c r="M15" s="646" t="s">
        <v>527</v>
      </c>
      <c r="N15" s="646" t="s">
        <v>528</v>
      </c>
      <c r="O15" s="646" t="s">
        <v>529</v>
      </c>
      <c r="P15" s="646"/>
      <c r="Q15" s="646" t="s">
        <v>530</v>
      </c>
      <c r="R15" s="646" t="s">
        <v>531</v>
      </c>
      <c r="S15" s="646" t="s">
        <v>532</v>
      </c>
      <c r="T15" s="646" t="s">
        <v>533</v>
      </c>
      <c r="U15" s="646"/>
      <c r="AC15" s="574"/>
      <c r="AD15" s="574"/>
      <c r="AE15" s="574"/>
      <c r="AF15" s="574"/>
    </row>
    <row r="16" spans="2:32" s="40" customFormat="1" ht="18" customHeight="1">
      <c r="D16" s="575"/>
      <c r="E16" s="575"/>
      <c r="F16" s="337"/>
      <c r="G16" s="337"/>
      <c r="H16" s="337"/>
      <c r="I16" s="573"/>
      <c r="J16" s="573"/>
      <c r="K16" s="573"/>
      <c r="L16" s="337"/>
      <c r="M16" s="337"/>
      <c r="N16" s="337"/>
      <c r="O16" s="337"/>
      <c r="P16" s="337"/>
      <c r="Q16" s="337"/>
      <c r="R16" s="337"/>
      <c r="S16" s="337"/>
      <c r="T16" s="337"/>
      <c r="U16" s="337"/>
      <c r="AC16" s="574"/>
      <c r="AD16" s="574"/>
      <c r="AE16" s="574"/>
      <c r="AF16" s="574"/>
    </row>
    <row r="17" spans="3:32" s="40" customFormat="1" ht="18" customHeight="1">
      <c r="C17" s="79" t="s">
        <v>534</v>
      </c>
      <c r="D17" s="120" t="str">
        <f>'1.1a-Jaarprijzen'!B13</f>
        <v>Invest-NL</v>
      </c>
      <c r="E17" s="576"/>
      <c r="F17" s="576">
        <v>118.3</v>
      </c>
      <c r="G17" s="576">
        <v>392.8</v>
      </c>
      <c r="H17" s="577">
        <f>E17+F17+G17</f>
        <v>511.1</v>
      </c>
      <c r="I17" s="578"/>
      <c r="J17" s="578">
        <v>4</v>
      </c>
      <c r="K17" s="578">
        <v>4</v>
      </c>
      <c r="M17" s="725"/>
      <c r="N17" s="724"/>
      <c r="O17" s="724"/>
      <c r="Q17" s="698">
        <f>(E17*I17*M17)+(F17*J17*N17)+(G17*K17*O17)</f>
        <v>0</v>
      </c>
      <c r="R17" s="726"/>
      <c r="S17" s="727"/>
      <c r="T17" s="779" t="s">
        <v>535</v>
      </c>
      <c r="U17" s="780"/>
      <c r="V17" s="139">
        <f>IF(Q17="NVT",0,Q17+S17*R17)</f>
        <v>0</v>
      </c>
      <c r="W17" s="139">
        <f>R17*J17</f>
        <v>0</v>
      </c>
      <c r="X17" s="139">
        <f>E17*I17*M17</f>
        <v>0</v>
      </c>
      <c r="Y17" s="139">
        <f>F17*J17*N17</f>
        <v>0</v>
      </c>
      <c r="Z17" s="139">
        <f>G17*K17*O17</f>
        <v>0</v>
      </c>
      <c r="AC17" s="574"/>
      <c r="AD17" s="574"/>
      <c r="AE17" s="574"/>
      <c r="AF17" s="574"/>
    </row>
    <row r="18" spans="3:32" s="40" customFormat="1" ht="18" customHeight="1">
      <c r="C18" s="79" t="s">
        <v>536</v>
      </c>
      <c r="D18" s="120" t="str">
        <f>D17</f>
        <v>Invest-NL</v>
      </c>
      <c r="E18" s="576"/>
      <c r="F18" s="576">
        <v>98</v>
      </c>
      <c r="G18" s="576">
        <f>68*2.7*2</f>
        <v>367.20000000000005</v>
      </c>
      <c r="H18" s="577">
        <f t="shared" ref="H18" si="0">E18+F18+G18</f>
        <v>465.20000000000005</v>
      </c>
      <c r="I18" s="578"/>
      <c r="J18" s="578">
        <v>4</v>
      </c>
      <c r="K18" s="578">
        <v>4</v>
      </c>
      <c r="M18" s="725"/>
      <c r="N18" s="724"/>
      <c r="O18" s="724"/>
      <c r="Q18" s="698">
        <f t="shared" ref="Q18" si="1">(E18*I18*M18)+(F18*J18*N18)+(G18*K18*O18)</f>
        <v>0</v>
      </c>
      <c r="R18" s="726"/>
      <c r="S18" s="727"/>
      <c r="T18" s="779" t="s">
        <v>535</v>
      </c>
      <c r="U18" s="780"/>
      <c r="V18" s="139">
        <f t="shared" ref="V18:V19" si="2">IF(Q18="NVT",0,Q18+S18*R18)</f>
        <v>0</v>
      </c>
      <c r="W18" s="139">
        <f t="shared" ref="W18:W19" si="3">R18*J18</f>
        <v>0</v>
      </c>
      <c r="X18" s="139">
        <f t="shared" ref="X18:X19" si="4">E18*I18*M18</f>
        <v>0</v>
      </c>
      <c r="Y18" s="139">
        <f t="shared" ref="Y18:Y19" si="5">F18*J18*N18</f>
        <v>0</v>
      </c>
      <c r="Z18" s="139">
        <f t="shared" ref="Z18:Z19" si="6">G18*K18*O18</f>
        <v>0</v>
      </c>
      <c r="AC18" s="574"/>
      <c r="AD18" s="574"/>
      <c r="AE18" s="574"/>
      <c r="AF18" s="574"/>
    </row>
    <row r="19" spans="3:32" s="40" customFormat="1" ht="0.95" hidden="1" customHeight="1">
      <c r="D19" s="120"/>
      <c r="E19" s="576"/>
      <c r="F19" s="576"/>
      <c r="G19" s="576"/>
      <c r="H19" s="577"/>
      <c r="I19" s="578"/>
      <c r="J19" s="578"/>
      <c r="K19" s="578"/>
      <c r="M19" s="724"/>
      <c r="N19" s="724"/>
      <c r="O19" s="724"/>
      <c r="Q19" s="698"/>
      <c r="R19" s="579"/>
      <c r="S19" s="580"/>
      <c r="T19" s="781"/>
      <c r="U19" s="782"/>
      <c r="V19" s="139">
        <f t="shared" si="2"/>
        <v>0</v>
      </c>
      <c r="W19" s="139">
        <f t="shared" si="3"/>
        <v>0</v>
      </c>
      <c r="X19" s="139">
        <f t="shared" si="4"/>
        <v>0</v>
      </c>
      <c r="Y19" s="139">
        <f t="shared" si="5"/>
        <v>0</v>
      </c>
      <c r="Z19" s="139">
        <f t="shared" si="6"/>
        <v>0</v>
      </c>
      <c r="AC19" s="574"/>
      <c r="AD19" s="574"/>
      <c r="AE19" s="574"/>
      <c r="AF19" s="574"/>
    </row>
    <row r="20" spans="3:32" s="40" customFormat="1" ht="18" hidden="1" customHeight="1">
      <c r="D20" s="120"/>
      <c r="E20" s="576"/>
      <c r="F20" s="576"/>
      <c r="G20" s="576"/>
      <c r="H20" s="577"/>
      <c r="I20" s="578"/>
      <c r="J20" s="578"/>
      <c r="K20" s="578"/>
      <c r="M20" s="697"/>
      <c r="N20" s="697"/>
      <c r="O20" s="697"/>
      <c r="Q20" s="698"/>
      <c r="R20" s="579"/>
      <c r="S20" s="580"/>
      <c r="T20" s="781"/>
      <c r="U20" s="782"/>
      <c r="AC20" s="574"/>
      <c r="AD20" s="574"/>
      <c r="AE20" s="574"/>
      <c r="AF20" s="574"/>
    </row>
    <row r="21" spans="3:32" s="40" customFormat="1" ht="18" hidden="1" customHeight="1">
      <c r="D21" s="120"/>
      <c r="E21" s="576"/>
      <c r="F21" s="576"/>
      <c r="G21" s="576"/>
      <c r="H21" s="577"/>
      <c r="I21" s="578"/>
      <c r="J21" s="578"/>
      <c r="K21" s="578"/>
      <c r="M21" s="697"/>
      <c r="N21" s="697"/>
      <c r="O21" s="697"/>
      <c r="Q21" s="698"/>
      <c r="R21" s="579"/>
      <c r="S21" s="580"/>
      <c r="T21" s="781"/>
      <c r="U21" s="782"/>
      <c r="AC21" s="574"/>
      <c r="AD21" s="574"/>
      <c r="AE21" s="574"/>
      <c r="AF21" s="574"/>
    </row>
    <row r="22" spans="3:32" s="40" customFormat="1" ht="18" hidden="1" customHeight="1">
      <c r="D22" s="120"/>
      <c r="E22" s="576"/>
      <c r="F22" s="576"/>
      <c r="G22" s="576"/>
      <c r="H22" s="577"/>
      <c r="I22" s="578"/>
      <c r="J22" s="578"/>
      <c r="K22" s="578"/>
      <c r="M22" s="697"/>
      <c r="N22" s="697"/>
      <c r="O22" s="697"/>
      <c r="Q22" s="698"/>
      <c r="R22" s="579"/>
      <c r="S22" s="580"/>
      <c r="T22" s="781"/>
      <c r="U22" s="782"/>
      <c r="AC22" s="574"/>
      <c r="AD22" s="574"/>
      <c r="AE22" s="574"/>
      <c r="AF22" s="574"/>
    </row>
    <row r="23" spans="3:32" s="40" customFormat="1" ht="18" hidden="1" customHeight="1">
      <c r="D23" s="120"/>
      <c r="E23" s="576"/>
      <c r="F23" s="576"/>
      <c r="G23" s="576"/>
      <c r="H23" s="577"/>
      <c r="I23" s="578"/>
      <c r="J23" s="578"/>
      <c r="K23" s="578"/>
      <c r="M23" s="697"/>
      <c r="N23" s="697"/>
      <c r="O23" s="697"/>
      <c r="Q23" s="698"/>
      <c r="R23" s="579"/>
      <c r="S23" s="580"/>
      <c r="T23" s="781"/>
      <c r="U23" s="782"/>
      <c r="AC23" s="574"/>
      <c r="AD23" s="574"/>
      <c r="AE23" s="574"/>
      <c r="AF23" s="574"/>
    </row>
    <row r="24" spans="3:32" s="40" customFormat="1" ht="18" hidden="1" customHeight="1">
      <c r="D24" s="120"/>
      <c r="E24" s="576"/>
      <c r="F24" s="576"/>
      <c r="G24" s="576"/>
      <c r="H24" s="577"/>
      <c r="I24" s="578"/>
      <c r="J24" s="578"/>
      <c r="K24" s="578"/>
      <c r="M24" s="697"/>
      <c r="N24" s="697"/>
      <c r="O24" s="697"/>
      <c r="Q24" s="698"/>
      <c r="R24" s="579"/>
      <c r="S24" s="580"/>
      <c r="T24" s="781"/>
      <c r="U24" s="782"/>
      <c r="AC24" s="574"/>
      <c r="AD24" s="574"/>
      <c r="AE24" s="574"/>
      <c r="AF24" s="574"/>
    </row>
    <row r="25" spans="3:32" s="40" customFormat="1" ht="18" hidden="1" customHeight="1">
      <c r="D25" s="120"/>
      <c r="E25" s="576"/>
      <c r="F25" s="576"/>
      <c r="G25" s="576"/>
      <c r="H25" s="577"/>
      <c r="I25" s="578"/>
      <c r="J25" s="578"/>
      <c r="K25" s="578"/>
      <c r="M25" s="697"/>
      <c r="N25" s="697"/>
      <c r="O25" s="697"/>
      <c r="Q25" s="698"/>
      <c r="R25" s="579"/>
      <c r="S25" s="580"/>
      <c r="T25" s="781"/>
      <c r="U25" s="782"/>
      <c r="AC25" s="574"/>
      <c r="AD25" s="574"/>
      <c r="AE25" s="574"/>
      <c r="AF25" s="574"/>
    </row>
    <row r="26" spans="3:32" s="40" customFormat="1" ht="18" hidden="1" customHeight="1">
      <c r="D26" s="120"/>
      <c r="E26" s="576"/>
      <c r="F26" s="576"/>
      <c r="G26" s="576"/>
      <c r="H26" s="577"/>
      <c r="I26" s="578"/>
      <c r="J26" s="578"/>
      <c r="K26" s="578"/>
      <c r="M26" s="697"/>
      <c r="N26" s="697"/>
      <c r="O26" s="697"/>
      <c r="Q26" s="698"/>
      <c r="R26" s="579"/>
      <c r="S26" s="580"/>
      <c r="T26" s="781"/>
      <c r="U26" s="782"/>
      <c r="AC26" s="574"/>
      <c r="AD26" s="574"/>
      <c r="AE26" s="574"/>
      <c r="AF26" s="574"/>
    </row>
    <row r="27" spans="3:32" s="40" customFormat="1" ht="18" hidden="1" customHeight="1">
      <c r="D27" s="120"/>
      <c r="E27" s="576"/>
      <c r="F27" s="576"/>
      <c r="G27" s="576"/>
      <c r="H27" s="577"/>
      <c r="I27" s="578"/>
      <c r="J27" s="578"/>
      <c r="K27" s="578"/>
      <c r="M27" s="697"/>
      <c r="N27" s="697"/>
      <c r="O27" s="697"/>
      <c r="Q27" s="698"/>
      <c r="R27" s="579"/>
      <c r="S27" s="580"/>
      <c r="T27" s="781"/>
      <c r="U27" s="782"/>
      <c r="AC27" s="574"/>
      <c r="AD27" s="574"/>
      <c r="AE27" s="574"/>
      <c r="AF27" s="574"/>
    </row>
    <row r="28" spans="3:32" s="40" customFormat="1" ht="18" hidden="1" customHeight="1">
      <c r="D28" s="120"/>
      <c r="E28" s="576"/>
      <c r="F28" s="576"/>
      <c r="G28" s="576"/>
      <c r="H28" s="577"/>
      <c r="I28" s="578"/>
      <c r="J28" s="578"/>
      <c r="K28" s="578"/>
      <c r="M28" s="697"/>
      <c r="N28" s="697"/>
      <c r="O28" s="697"/>
      <c r="Q28" s="698"/>
      <c r="R28" s="579"/>
      <c r="S28" s="580"/>
      <c r="T28" s="781"/>
      <c r="U28" s="782"/>
      <c r="AC28" s="574"/>
      <c r="AD28" s="574"/>
      <c r="AE28" s="574"/>
      <c r="AF28" s="574"/>
    </row>
    <row r="29" spans="3:32" s="40" customFormat="1" ht="18" hidden="1" customHeight="1">
      <c r="D29" s="120"/>
      <c r="E29" s="576"/>
      <c r="F29" s="576"/>
      <c r="G29" s="576"/>
      <c r="H29" s="577"/>
      <c r="I29" s="578"/>
      <c r="J29" s="578"/>
      <c r="K29" s="578"/>
      <c r="M29" s="697"/>
      <c r="N29" s="697"/>
      <c r="O29" s="697"/>
      <c r="Q29" s="698"/>
      <c r="R29" s="579"/>
      <c r="S29" s="580"/>
      <c r="T29" s="781"/>
      <c r="U29" s="782"/>
      <c r="AC29" s="574"/>
      <c r="AD29" s="574"/>
      <c r="AE29" s="574"/>
      <c r="AF29" s="574"/>
    </row>
    <row r="30" spans="3:32" s="40" customFormat="1" ht="18" hidden="1" customHeight="1">
      <c r="D30" s="120"/>
      <c r="E30" s="576"/>
      <c r="F30" s="576"/>
      <c r="G30" s="576"/>
      <c r="H30" s="577"/>
      <c r="I30" s="578"/>
      <c r="J30" s="578"/>
      <c r="K30" s="578"/>
      <c r="M30" s="697"/>
      <c r="N30" s="697"/>
      <c r="O30" s="697"/>
      <c r="Q30" s="698"/>
      <c r="R30" s="579"/>
      <c r="S30" s="580"/>
      <c r="T30" s="781"/>
      <c r="U30" s="782"/>
      <c r="AC30" s="574"/>
      <c r="AD30" s="574"/>
      <c r="AE30" s="574"/>
      <c r="AF30" s="574"/>
    </row>
    <row r="31" spans="3:32" s="40" customFormat="1" ht="18" hidden="1" customHeight="1">
      <c r="D31" s="120"/>
      <c r="E31" s="576"/>
      <c r="F31" s="576"/>
      <c r="G31" s="576"/>
      <c r="H31" s="577"/>
      <c r="I31" s="578"/>
      <c r="J31" s="578"/>
      <c r="K31" s="578"/>
      <c r="M31" s="697"/>
      <c r="N31" s="697"/>
      <c r="O31" s="697"/>
      <c r="Q31" s="698"/>
      <c r="R31" s="579"/>
      <c r="S31" s="580"/>
      <c r="T31" s="781"/>
      <c r="U31" s="782"/>
      <c r="AC31" s="574"/>
      <c r="AD31" s="574"/>
      <c r="AE31" s="574"/>
      <c r="AF31" s="574"/>
    </row>
    <row r="32" spans="3:32" s="40" customFormat="1" ht="18" hidden="1" customHeight="1">
      <c r="D32" s="120"/>
      <c r="E32" s="576"/>
      <c r="F32" s="576"/>
      <c r="G32" s="576"/>
      <c r="H32" s="577"/>
      <c r="I32" s="578"/>
      <c r="J32" s="578"/>
      <c r="K32" s="578"/>
      <c r="M32" s="697"/>
      <c r="N32" s="697"/>
      <c r="O32" s="697"/>
      <c r="Q32" s="698"/>
      <c r="R32" s="579"/>
      <c r="S32" s="580"/>
      <c r="T32" s="781"/>
      <c r="U32" s="782"/>
      <c r="AC32" s="574"/>
      <c r="AD32" s="574"/>
      <c r="AE32" s="574"/>
      <c r="AF32" s="574"/>
    </row>
    <row r="33" spans="4:32" s="40" customFormat="1" ht="18" hidden="1" customHeight="1">
      <c r="D33" s="120"/>
      <c r="E33" s="576"/>
      <c r="F33" s="576"/>
      <c r="G33" s="576"/>
      <c r="H33" s="577"/>
      <c r="I33" s="578"/>
      <c r="J33" s="578"/>
      <c r="K33" s="578"/>
      <c r="M33" s="697"/>
      <c r="N33" s="697"/>
      <c r="O33" s="697"/>
      <c r="Q33" s="698"/>
      <c r="R33" s="579"/>
      <c r="S33" s="580"/>
      <c r="T33" s="781"/>
      <c r="U33" s="782"/>
      <c r="AC33" s="574"/>
      <c r="AD33" s="574"/>
      <c r="AE33" s="574"/>
      <c r="AF33" s="574"/>
    </row>
    <row r="34" spans="4:32" s="40" customFormat="1" ht="18" hidden="1" customHeight="1">
      <c r="D34" s="120"/>
      <c r="E34" s="576"/>
      <c r="F34" s="576"/>
      <c r="G34" s="576"/>
      <c r="H34" s="577"/>
      <c r="I34" s="578"/>
      <c r="J34" s="578"/>
      <c r="K34" s="578"/>
      <c r="M34" s="697"/>
      <c r="N34" s="697"/>
      <c r="O34" s="697"/>
      <c r="Q34" s="698"/>
      <c r="R34" s="579"/>
      <c r="S34" s="580"/>
      <c r="T34" s="781"/>
      <c r="U34" s="782"/>
      <c r="AC34" s="574"/>
      <c r="AD34" s="574"/>
      <c r="AE34" s="574"/>
      <c r="AF34" s="574"/>
    </row>
    <row r="35" spans="4:32" s="40" customFormat="1" ht="18" hidden="1" customHeight="1">
      <c r="D35" s="120"/>
      <c r="E35" s="576"/>
      <c r="F35" s="576"/>
      <c r="G35" s="576"/>
      <c r="H35" s="577"/>
      <c r="I35" s="578"/>
      <c r="J35" s="578"/>
      <c r="K35" s="578"/>
      <c r="M35" s="697"/>
      <c r="N35" s="697"/>
      <c r="O35" s="697"/>
      <c r="Q35" s="698"/>
      <c r="R35" s="579"/>
      <c r="S35" s="580"/>
      <c r="T35" s="781"/>
      <c r="U35" s="782"/>
      <c r="AC35" s="574"/>
      <c r="AD35" s="574"/>
      <c r="AE35" s="574"/>
      <c r="AF35" s="574"/>
    </row>
    <row r="36" spans="4:32" s="40" customFormat="1" ht="18" hidden="1" customHeight="1">
      <c r="D36" s="120"/>
      <c r="E36" s="337"/>
      <c r="F36" s="337"/>
      <c r="G36" s="337"/>
      <c r="H36" s="337"/>
      <c r="I36" s="573"/>
      <c r="J36" s="573"/>
      <c r="K36" s="573"/>
      <c r="L36" s="337"/>
      <c r="M36" s="581"/>
      <c r="N36" s="581"/>
      <c r="O36" s="581"/>
      <c r="P36" s="337"/>
      <c r="Q36" s="337"/>
      <c r="R36" s="337"/>
      <c r="S36" s="337"/>
      <c r="T36" s="337"/>
      <c r="U36" s="337"/>
      <c r="AC36" s="574"/>
      <c r="AD36" s="574"/>
      <c r="AE36" s="574"/>
      <c r="AF36" s="574"/>
    </row>
    <row r="37" spans="4:32" s="40" customFormat="1" ht="18" hidden="1" customHeight="1">
      <c r="D37" s="120"/>
      <c r="E37" s="337"/>
      <c r="F37" s="337"/>
      <c r="G37" s="337"/>
      <c r="H37" s="337"/>
      <c r="I37" s="573"/>
      <c r="J37" s="573"/>
      <c r="K37" s="573"/>
      <c r="L37" s="337"/>
      <c r="M37" s="581"/>
      <c r="N37" s="581"/>
      <c r="O37" s="581"/>
      <c r="P37" s="337"/>
      <c r="Q37" s="337"/>
      <c r="R37" s="337"/>
      <c r="S37" s="337"/>
      <c r="T37" s="337"/>
      <c r="U37" s="337"/>
      <c r="AC37" s="574"/>
      <c r="AD37" s="574"/>
      <c r="AE37" s="574"/>
      <c r="AF37" s="574"/>
    </row>
    <row r="38" spans="4:32" s="40" customFormat="1" ht="18" hidden="1" customHeight="1">
      <c r="D38" s="120"/>
      <c r="E38" s="337"/>
      <c r="F38" s="337"/>
      <c r="G38" s="337"/>
      <c r="H38" s="337"/>
      <c r="I38" s="573"/>
      <c r="J38" s="573"/>
      <c r="K38" s="573"/>
      <c r="L38" s="337"/>
      <c r="M38" s="581"/>
      <c r="N38" s="581"/>
      <c r="O38" s="581"/>
      <c r="P38" s="337"/>
      <c r="Q38" s="337"/>
      <c r="R38" s="337"/>
      <c r="S38" s="337"/>
      <c r="T38" s="337"/>
      <c r="U38" s="337"/>
      <c r="AC38" s="574"/>
      <c r="AD38" s="574"/>
      <c r="AE38" s="574"/>
      <c r="AF38" s="574"/>
    </row>
    <row r="39" spans="4:32" s="40" customFormat="1" ht="18" hidden="1" customHeight="1">
      <c r="D39" s="120"/>
      <c r="E39" s="337"/>
      <c r="F39" s="337"/>
      <c r="G39" s="337"/>
      <c r="H39" s="337"/>
      <c r="I39" s="573"/>
      <c r="J39" s="573"/>
      <c r="K39" s="573"/>
      <c r="L39" s="337"/>
      <c r="M39" s="581"/>
      <c r="N39" s="581"/>
      <c r="O39" s="581"/>
      <c r="P39" s="337"/>
      <c r="Q39" s="337"/>
      <c r="R39" s="337"/>
      <c r="S39" s="337"/>
      <c r="T39" s="337"/>
      <c r="U39" s="337"/>
      <c r="AC39" s="574"/>
      <c r="AD39" s="574"/>
      <c r="AE39" s="574"/>
      <c r="AF39" s="574"/>
    </row>
    <row r="40" spans="4:32" s="40" customFormat="1" ht="18" hidden="1" customHeight="1">
      <c r="D40" s="120"/>
      <c r="E40" s="337"/>
      <c r="F40" s="337"/>
      <c r="G40" s="337"/>
      <c r="H40" s="337"/>
      <c r="I40" s="573"/>
      <c r="J40" s="573"/>
      <c r="K40" s="573"/>
      <c r="L40" s="337"/>
      <c r="M40" s="581"/>
      <c r="N40" s="581"/>
      <c r="O40" s="581"/>
      <c r="P40" s="337"/>
      <c r="Q40" s="337"/>
      <c r="R40" s="337"/>
      <c r="S40" s="337"/>
      <c r="T40" s="337"/>
      <c r="U40" s="337"/>
      <c r="AC40" s="574"/>
      <c r="AD40" s="574"/>
      <c r="AE40" s="574"/>
      <c r="AF40" s="574"/>
    </row>
    <row r="41" spans="4:32" s="40" customFormat="1" ht="18" hidden="1" customHeight="1">
      <c r="D41" s="337"/>
      <c r="E41" s="337"/>
      <c r="F41" s="337"/>
      <c r="G41" s="337"/>
      <c r="H41" s="337"/>
      <c r="I41" s="573"/>
      <c r="J41" s="573"/>
      <c r="K41" s="573"/>
      <c r="L41" s="337"/>
      <c r="M41" s="581"/>
      <c r="N41" s="581"/>
      <c r="O41" s="581"/>
      <c r="P41" s="337"/>
      <c r="Q41" s="337"/>
      <c r="R41" s="337"/>
      <c r="S41" s="337"/>
      <c r="T41" s="337"/>
      <c r="U41" s="337"/>
      <c r="AC41" s="574"/>
      <c r="AD41" s="574"/>
      <c r="AE41" s="574"/>
      <c r="AF41" s="574"/>
    </row>
    <row r="42" spans="4:32" s="40" customFormat="1" ht="18" customHeight="1" thickBot="1">
      <c r="D42" s="27"/>
      <c r="E42" s="27"/>
      <c r="F42" s="27"/>
      <c r="G42" s="27"/>
      <c r="H42" s="27"/>
      <c r="I42" s="27"/>
      <c r="J42" s="27"/>
      <c r="K42" s="27"/>
      <c r="L42" s="27"/>
      <c r="M42" s="27"/>
      <c r="N42" s="27"/>
      <c r="O42" s="27"/>
      <c r="P42" s="27"/>
      <c r="Q42" s="27"/>
      <c r="R42" s="27"/>
      <c r="S42" s="27"/>
      <c r="T42" s="27"/>
      <c r="U42" s="27"/>
      <c r="AC42" s="574"/>
      <c r="AD42" s="574"/>
      <c r="AE42" s="574"/>
      <c r="AF42" s="574"/>
    </row>
    <row r="43" spans="4:32" s="40" customFormat="1" ht="18" customHeight="1">
      <c r="D43" s="97"/>
      <c r="E43" s="97"/>
      <c r="F43" s="97"/>
      <c r="G43" s="97"/>
      <c r="H43" s="97"/>
      <c r="I43" s="97"/>
      <c r="J43" s="97"/>
      <c r="K43" s="97"/>
      <c r="L43" s="97"/>
      <c r="M43" s="97"/>
      <c r="N43" s="97"/>
      <c r="O43" s="97"/>
      <c r="P43" s="97"/>
      <c r="Q43" s="97"/>
      <c r="R43" s="97"/>
      <c r="S43" s="97"/>
      <c r="T43" s="97"/>
      <c r="U43" s="97"/>
      <c r="AC43" s="574"/>
      <c r="AD43" s="574"/>
      <c r="AE43" s="574"/>
      <c r="AF43" s="574"/>
    </row>
    <row r="44" spans="4:32" s="40" customFormat="1" ht="18" customHeight="1">
      <c r="D44" s="337"/>
      <c r="E44" s="337"/>
      <c r="F44" s="337"/>
      <c r="G44" s="337"/>
      <c r="H44" s="337"/>
      <c r="I44" s="573"/>
      <c r="J44" s="573"/>
      <c r="K44" s="573"/>
      <c r="L44" s="337"/>
      <c r="M44" s="581"/>
      <c r="N44" s="581"/>
      <c r="O44" s="581"/>
      <c r="P44" s="337"/>
      <c r="Q44" s="337"/>
      <c r="R44" s="337"/>
      <c r="S44" s="337"/>
      <c r="T44" s="337"/>
      <c r="U44" s="337"/>
      <c r="AC44" s="574"/>
      <c r="AD44" s="574"/>
      <c r="AE44" s="574"/>
      <c r="AF44" s="574"/>
    </row>
    <row r="45" spans="4:32" s="40" customFormat="1" ht="18" customHeight="1">
      <c r="D45" s="337"/>
      <c r="E45" s="337"/>
      <c r="F45" s="337"/>
      <c r="G45" s="337"/>
      <c r="H45" s="337"/>
      <c r="I45" s="573"/>
      <c r="J45" s="573"/>
      <c r="K45" s="573"/>
      <c r="L45" s="337"/>
      <c r="M45" s="581"/>
      <c r="N45" s="581"/>
      <c r="O45" s="581"/>
      <c r="P45" s="337"/>
      <c r="Q45" s="337"/>
      <c r="R45" s="337"/>
      <c r="S45" s="337"/>
      <c r="T45" s="337"/>
      <c r="U45" s="337"/>
      <c r="AC45" s="574"/>
      <c r="AD45" s="574"/>
      <c r="AE45" s="574"/>
      <c r="AF45" s="574"/>
    </row>
    <row r="46" spans="4:32" s="40" customFormat="1" ht="18" customHeight="1">
      <c r="D46" s="337"/>
      <c r="E46" s="337"/>
      <c r="F46" s="337"/>
      <c r="G46" s="337"/>
      <c r="H46" s="337"/>
      <c r="I46" s="573"/>
      <c r="J46" s="573"/>
      <c r="K46" s="573"/>
      <c r="L46" s="337"/>
      <c r="M46" s="337"/>
      <c r="N46" s="337"/>
      <c r="O46" s="337"/>
      <c r="P46" s="337"/>
      <c r="Q46" s="337"/>
      <c r="R46" s="337"/>
      <c r="S46" s="337"/>
      <c r="T46" s="337"/>
      <c r="U46" s="337"/>
      <c r="AC46" s="574"/>
      <c r="AD46" s="574"/>
      <c r="AE46" s="574"/>
      <c r="AF46" s="574"/>
    </row>
    <row r="47" spans="4:32" s="40" customFormat="1" ht="18" customHeight="1">
      <c r="D47" s="337"/>
      <c r="E47" s="337"/>
      <c r="F47" s="337"/>
      <c r="G47" s="337"/>
      <c r="H47" s="337"/>
      <c r="I47" s="573"/>
      <c r="J47" s="573"/>
      <c r="K47" s="573"/>
      <c r="L47" s="337"/>
      <c r="M47" s="337"/>
      <c r="N47" s="337"/>
      <c r="O47" s="337"/>
      <c r="P47" s="337"/>
      <c r="Q47" s="337"/>
      <c r="R47" s="337"/>
      <c r="S47" s="337"/>
      <c r="T47" s="337"/>
      <c r="U47" s="337"/>
      <c r="AC47" s="574"/>
      <c r="AD47" s="574"/>
      <c r="AE47" s="574"/>
      <c r="AF47" s="574"/>
    </row>
    <row r="48" spans="4:32" s="40" customFormat="1" ht="18" customHeight="1">
      <c r="D48" s="337"/>
      <c r="E48" s="337"/>
      <c r="F48" s="337"/>
      <c r="G48" s="337"/>
      <c r="H48" s="337"/>
      <c r="I48" s="573"/>
      <c r="J48" s="573"/>
      <c r="K48" s="573"/>
      <c r="L48" s="337"/>
      <c r="M48" s="337"/>
      <c r="N48" s="337"/>
      <c r="O48" s="337"/>
      <c r="P48" s="337"/>
      <c r="Q48" s="337"/>
      <c r="R48" s="337"/>
      <c r="S48" s="337"/>
      <c r="T48" s="337"/>
      <c r="U48" s="337"/>
      <c r="AC48" s="574"/>
      <c r="AD48" s="574"/>
      <c r="AE48" s="574"/>
      <c r="AF48" s="574"/>
    </row>
    <row r="49" spans="2:32">
      <c r="H49" s="337"/>
      <c r="I49" s="573"/>
      <c r="J49" s="573"/>
      <c r="L49" s="337"/>
      <c r="M49" s="337"/>
      <c r="P49" s="337"/>
      <c r="AC49" s="574"/>
      <c r="AD49" s="574"/>
      <c r="AE49" s="574"/>
      <c r="AF49" s="574"/>
    </row>
    <row r="50" spans="2:32">
      <c r="H50" s="337"/>
      <c r="I50" s="573"/>
      <c r="J50" s="573"/>
      <c r="L50" s="337"/>
      <c r="M50" s="337"/>
      <c r="P50" s="337"/>
      <c r="AC50" s="574"/>
      <c r="AD50" s="574"/>
      <c r="AE50" s="574"/>
      <c r="AF50" s="574"/>
    </row>
    <row r="51" spans="2:32">
      <c r="H51" s="337"/>
      <c r="I51" s="573"/>
      <c r="J51" s="573"/>
      <c r="L51" s="337"/>
      <c r="M51" s="337"/>
      <c r="P51" s="337"/>
      <c r="AC51" s="574"/>
      <c r="AD51" s="574"/>
      <c r="AE51" s="574"/>
      <c r="AF51" s="574"/>
    </row>
    <row r="52" spans="2:32">
      <c r="H52" s="337"/>
      <c r="I52" s="573"/>
      <c r="J52" s="573"/>
      <c r="L52" s="337"/>
      <c r="M52" s="337"/>
      <c r="P52" s="337"/>
      <c r="AC52" s="574"/>
      <c r="AD52" s="574"/>
      <c r="AE52" s="574"/>
      <c r="AF52" s="574"/>
    </row>
    <row r="53" spans="2:32">
      <c r="H53" s="337"/>
      <c r="I53" s="573"/>
      <c r="J53" s="573"/>
      <c r="L53" s="337"/>
      <c r="M53" s="337"/>
      <c r="P53" s="337"/>
      <c r="AC53" s="574"/>
      <c r="AD53" s="574"/>
      <c r="AE53" s="574"/>
      <c r="AF53" s="574"/>
    </row>
    <row r="54" spans="2:32">
      <c r="H54" s="337"/>
      <c r="I54" s="573"/>
      <c r="J54" s="573"/>
      <c r="L54" s="337"/>
      <c r="M54" s="337"/>
      <c r="P54" s="337"/>
      <c r="AC54" s="574"/>
      <c r="AD54" s="574"/>
      <c r="AE54" s="574"/>
      <c r="AF54" s="574"/>
    </row>
    <row r="55" spans="2:32">
      <c r="H55" s="337"/>
      <c r="I55" s="573"/>
      <c r="J55" s="573"/>
      <c r="L55" s="337"/>
      <c r="M55" s="337"/>
      <c r="P55" s="337"/>
      <c r="AC55" s="574"/>
      <c r="AD55" s="574"/>
      <c r="AE55" s="574"/>
      <c r="AF55" s="574"/>
    </row>
    <row r="56" spans="2:32" s="40" customFormat="1" ht="21.95" customHeight="1">
      <c r="B56" s="337"/>
      <c r="C56" s="337"/>
      <c r="D56" s="337"/>
      <c r="E56" s="337"/>
      <c r="F56" s="337"/>
      <c r="G56" s="337"/>
      <c r="H56" s="337"/>
      <c r="I56" s="573"/>
      <c r="J56" s="573"/>
      <c r="K56" s="573"/>
      <c r="L56" s="337"/>
      <c r="M56" s="337"/>
      <c r="N56" s="337"/>
      <c r="O56" s="337"/>
      <c r="P56" s="337"/>
      <c r="Q56" s="337"/>
      <c r="R56" s="337"/>
      <c r="S56" s="337"/>
      <c r="T56" s="337"/>
      <c r="U56" s="337"/>
      <c r="AC56" s="574"/>
      <c r="AD56" s="574"/>
      <c r="AE56" s="574"/>
      <c r="AF56" s="574"/>
    </row>
    <row r="57" spans="2:32" s="40" customFormat="1" ht="21.95" customHeight="1">
      <c r="B57" s="337"/>
      <c r="C57" s="337"/>
      <c r="D57" s="337"/>
      <c r="E57" s="337"/>
      <c r="F57" s="337"/>
      <c r="G57" s="337"/>
      <c r="H57" s="337"/>
      <c r="I57" s="573"/>
      <c r="J57" s="573"/>
      <c r="K57" s="573"/>
      <c r="L57" s="337"/>
      <c r="M57" s="337"/>
      <c r="N57" s="337"/>
      <c r="O57" s="337"/>
      <c r="P57" s="337"/>
      <c r="Q57" s="337"/>
      <c r="R57" s="337"/>
      <c r="S57" s="337"/>
      <c r="T57" s="337"/>
      <c r="U57" s="337"/>
      <c r="V57" s="139"/>
      <c r="W57" s="139"/>
      <c r="X57" s="139"/>
      <c r="Y57" s="139"/>
      <c r="Z57" s="139"/>
      <c r="AC57" s="574"/>
      <c r="AD57" s="574"/>
      <c r="AE57" s="574"/>
      <c r="AF57" s="574"/>
    </row>
    <row r="58" spans="2:32" s="40" customFormat="1" ht="21.95" customHeight="1">
      <c r="B58" s="337"/>
      <c r="C58" s="337"/>
      <c r="D58" s="337"/>
      <c r="E58" s="337"/>
      <c r="F58" s="337"/>
      <c r="G58" s="337"/>
      <c r="H58" s="573"/>
      <c r="I58" s="337"/>
      <c r="J58" s="337"/>
      <c r="K58" s="573"/>
      <c r="L58" s="573"/>
      <c r="M58" s="573"/>
      <c r="N58" s="337"/>
      <c r="O58" s="337"/>
      <c r="P58" s="573"/>
      <c r="Q58" s="337"/>
      <c r="R58" s="337"/>
      <c r="S58" s="337"/>
      <c r="T58" s="337"/>
      <c r="U58" s="337"/>
      <c r="V58" s="139"/>
      <c r="W58" s="139"/>
      <c r="X58" s="139"/>
      <c r="Y58" s="139"/>
      <c r="Z58" s="139"/>
      <c r="AC58" s="574"/>
      <c r="AD58" s="574"/>
      <c r="AE58" s="574"/>
      <c r="AF58" s="574"/>
    </row>
    <row r="59" spans="2:32" s="40" customFormat="1" ht="21.95" customHeight="1">
      <c r="D59" s="337"/>
      <c r="E59" s="337"/>
      <c r="F59" s="337"/>
      <c r="G59" s="337"/>
      <c r="H59" s="573"/>
      <c r="I59" s="337"/>
      <c r="J59" s="337"/>
      <c r="K59" s="573"/>
      <c r="L59" s="573"/>
      <c r="M59" s="573"/>
      <c r="N59" s="337"/>
      <c r="O59" s="337"/>
      <c r="P59" s="573"/>
      <c r="Q59" s="337"/>
      <c r="R59" s="337"/>
      <c r="S59" s="337"/>
      <c r="T59" s="337"/>
      <c r="U59" s="337"/>
      <c r="V59" s="139"/>
      <c r="W59" s="139"/>
      <c r="X59" s="139"/>
      <c r="Y59" s="139"/>
      <c r="Z59" s="139"/>
      <c r="AC59" s="574"/>
      <c r="AD59" s="574"/>
      <c r="AE59" s="574"/>
      <c r="AF59" s="574"/>
    </row>
    <row r="60" spans="2:32" s="40" customFormat="1" ht="21.95" customHeight="1">
      <c r="D60" s="337"/>
      <c r="E60" s="337"/>
      <c r="F60" s="337"/>
      <c r="G60" s="337"/>
      <c r="H60" s="573"/>
      <c r="I60" s="337"/>
      <c r="J60" s="337"/>
      <c r="K60" s="573"/>
      <c r="L60" s="573"/>
      <c r="M60" s="573"/>
      <c r="N60" s="337"/>
      <c r="O60" s="337"/>
      <c r="P60" s="573"/>
      <c r="Q60" s="337"/>
      <c r="R60" s="337"/>
      <c r="S60" s="337"/>
      <c r="T60" s="337"/>
      <c r="U60" s="337"/>
      <c r="V60" s="139"/>
      <c r="W60" s="139"/>
      <c r="X60" s="139"/>
      <c r="Y60" s="139"/>
      <c r="Z60" s="139"/>
      <c r="AC60" s="574"/>
      <c r="AD60" s="574"/>
      <c r="AE60" s="574"/>
      <c r="AF60" s="574"/>
    </row>
    <row r="61" spans="2:32" s="40" customFormat="1" ht="21.95" customHeight="1">
      <c r="D61" s="337"/>
      <c r="E61" s="337"/>
      <c r="F61" s="337"/>
      <c r="G61" s="337"/>
      <c r="H61" s="573"/>
      <c r="I61" s="337"/>
      <c r="J61" s="337"/>
      <c r="K61" s="573"/>
      <c r="L61" s="573"/>
      <c r="M61" s="573"/>
      <c r="N61" s="337"/>
      <c r="O61" s="337"/>
      <c r="P61" s="573"/>
      <c r="Q61" s="337"/>
      <c r="R61" s="337"/>
      <c r="S61" s="337"/>
      <c r="T61" s="337"/>
      <c r="U61" s="337"/>
      <c r="V61" s="139"/>
      <c r="W61" s="139"/>
      <c r="X61" s="139"/>
      <c r="Y61" s="139"/>
      <c r="Z61" s="139"/>
      <c r="AC61" s="574"/>
      <c r="AD61" s="574"/>
      <c r="AE61" s="574"/>
      <c r="AF61" s="574"/>
    </row>
    <row r="62" spans="2:32" s="40" customFormat="1" ht="21.95" customHeight="1">
      <c r="D62" s="337"/>
      <c r="E62" s="337"/>
      <c r="F62" s="337"/>
      <c r="G62" s="337"/>
      <c r="H62" s="573"/>
      <c r="I62" s="337"/>
      <c r="J62" s="337"/>
      <c r="K62" s="573"/>
      <c r="L62" s="573"/>
      <c r="M62" s="573"/>
      <c r="N62" s="337"/>
      <c r="O62" s="337"/>
      <c r="P62" s="573"/>
      <c r="Q62" s="337"/>
      <c r="R62" s="337"/>
      <c r="S62" s="337"/>
      <c r="T62" s="337"/>
      <c r="U62" s="337"/>
      <c r="V62" s="139"/>
      <c r="W62" s="139"/>
      <c r="X62" s="139"/>
      <c r="Y62" s="139"/>
      <c r="Z62" s="139"/>
      <c r="AC62" s="574"/>
      <c r="AD62" s="574"/>
      <c r="AE62" s="574"/>
      <c r="AF62" s="574"/>
    </row>
    <row r="63" spans="2:32" s="40" customFormat="1" ht="21.95" customHeight="1">
      <c r="D63" s="337"/>
      <c r="E63" s="337"/>
      <c r="F63" s="337"/>
      <c r="G63" s="337"/>
      <c r="H63" s="573"/>
      <c r="I63" s="337"/>
      <c r="J63" s="337"/>
      <c r="K63" s="573"/>
      <c r="L63" s="573"/>
      <c r="M63" s="573"/>
      <c r="N63" s="337"/>
      <c r="O63" s="337"/>
      <c r="P63" s="573"/>
      <c r="Q63" s="337"/>
      <c r="R63" s="337"/>
      <c r="S63" s="337"/>
      <c r="T63" s="337"/>
      <c r="U63" s="337"/>
      <c r="V63" s="139"/>
      <c r="W63" s="139"/>
      <c r="X63" s="139"/>
      <c r="Y63" s="139"/>
      <c r="Z63" s="139"/>
      <c r="AC63" s="574"/>
      <c r="AD63" s="574"/>
      <c r="AE63" s="574"/>
      <c r="AF63" s="574"/>
    </row>
    <row r="64" spans="2:32" s="40" customFormat="1" ht="21.95" customHeight="1">
      <c r="D64" s="337"/>
      <c r="E64" s="337"/>
      <c r="F64" s="337"/>
      <c r="G64" s="337"/>
      <c r="H64" s="573"/>
      <c r="I64" s="337"/>
      <c r="J64" s="337"/>
      <c r="K64" s="573"/>
      <c r="L64" s="573"/>
      <c r="M64" s="573"/>
      <c r="N64" s="337"/>
      <c r="O64" s="337"/>
      <c r="P64" s="573"/>
      <c r="Q64" s="337"/>
      <c r="R64" s="337"/>
      <c r="S64" s="337"/>
      <c r="T64" s="337"/>
      <c r="U64" s="337"/>
      <c r="V64" s="139"/>
      <c r="W64" s="139"/>
      <c r="X64" s="139"/>
      <c r="Y64" s="139"/>
      <c r="Z64" s="139"/>
      <c r="AC64" s="574"/>
      <c r="AD64" s="574"/>
      <c r="AE64" s="574"/>
      <c r="AF64" s="574"/>
    </row>
    <row r="65" spans="4:32" s="40" customFormat="1" ht="21.95" customHeight="1">
      <c r="D65" s="337"/>
      <c r="E65" s="337"/>
      <c r="F65" s="337"/>
      <c r="G65" s="337"/>
      <c r="H65" s="573"/>
      <c r="I65" s="337"/>
      <c r="J65" s="337"/>
      <c r="K65" s="573"/>
      <c r="L65" s="573"/>
      <c r="M65" s="573"/>
      <c r="N65" s="337"/>
      <c r="O65" s="337"/>
      <c r="P65" s="573"/>
      <c r="Q65" s="337"/>
      <c r="R65" s="337"/>
      <c r="S65" s="337"/>
      <c r="T65" s="337"/>
      <c r="U65" s="337"/>
      <c r="V65" s="139"/>
      <c r="W65" s="139"/>
      <c r="X65" s="139"/>
      <c r="Y65" s="139"/>
      <c r="Z65" s="139"/>
      <c r="AC65" s="574"/>
      <c r="AD65" s="574"/>
      <c r="AE65" s="574"/>
      <c r="AF65" s="574"/>
    </row>
    <row r="66" spans="4:32" s="40" customFormat="1" ht="21.95" customHeight="1">
      <c r="D66" s="337"/>
      <c r="E66" s="337"/>
      <c r="F66" s="337"/>
      <c r="G66" s="337"/>
      <c r="H66" s="573"/>
      <c r="I66" s="337"/>
      <c r="J66" s="337"/>
      <c r="K66" s="573"/>
      <c r="L66" s="573"/>
      <c r="M66" s="573"/>
      <c r="N66" s="337"/>
      <c r="O66" s="337"/>
      <c r="P66" s="573"/>
      <c r="Q66" s="337"/>
      <c r="R66" s="337"/>
      <c r="S66" s="337"/>
      <c r="T66" s="337"/>
      <c r="U66" s="337"/>
      <c r="V66" s="139"/>
      <c r="W66" s="139"/>
      <c r="X66" s="139"/>
      <c r="Y66" s="139"/>
      <c r="Z66" s="139"/>
      <c r="AC66" s="574"/>
      <c r="AD66" s="574"/>
      <c r="AE66" s="574"/>
      <c r="AF66" s="574"/>
    </row>
    <row r="67" spans="4:32" s="40" customFormat="1" ht="21.95" customHeight="1">
      <c r="D67" s="337"/>
      <c r="E67" s="337"/>
      <c r="F67" s="337"/>
      <c r="G67" s="337"/>
      <c r="H67" s="573"/>
      <c r="I67" s="337"/>
      <c r="J67" s="337"/>
      <c r="K67" s="573"/>
      <c r="L67" s="573"/>
      <c r="M67" s="573"/>
      <c r="N67" s="337"/>
      <c r="O67" s="337"/>
      <c r="P67" s="573"/>
      <c r="Q67" s="337"/>
      <c r="R67" s="337"/>
      <c r="S67" s="337"/>
      <c r="T67" s="337"/>
      <c r="U67" s="337"/>
      <c r="V67" s="139"/>
      <c r="W67" s="139"/>
      <c r="X67" s="139"/>
      <c r="Y67" s="139"/>
      <c r="Z67" s="139"/>
      <c r="AC67" s="574"/>
      <c r="AD67" s="574"/>
      <c r="AE67" s="574"/>
      <c r="AF67" s="574"/>
    </row>
    <row r="68" spans="4:32" s="40" customFormat="1" ht="21.95" customHeight="1">
      <c r="D68" s="337"/>
      <c r="E68" s="337"/>
      <c r="F68" s="337"/>
      <c r="G68" s="337"/>
      <c r="H68" s="573"/>
      <c r="I68" s="337"/>
      <c r="J68" s="337"/>
      <c r="K68" s="573"/>
      <c r="L68" s="573"/>
      <c r="M68" s="573"/>
      <c r="N68" s="337"/>
      <c r="O68" s="337"/>
      <c r="P68" s="573"/>
      <c r="Q68" s="337"/>
      <c r="R68" s="337"/>
      <c r="S68" s="337"/>
      <c r="T68" s="337"/>
      <c r="U68" s="337"/>
      <c r="V68" s="139"/>
      <c r="W68" s="139"/>
      <c r="X68" s="139"/>
      <c r="Y68" s="139"/>
      <c r="Z68" s="139"/>
      <c r="AC68" s="574"/>
      <c r="AD68" s="574"/>
      <c r="AE68" s="574"/>
      <c r="AF68" s="574"/>
    </row>
    <row r="69" spans="4:32" s="40" customFormat="1" ht="21.95" customHeight="1">
      <c r="D69" s="337"/>
      <c r="E69" s="337"/>
      <c r="F69" s="337"/>
      <c r="G69" s="337"/>
      <c r="H69" s="573"/>
      <c r="I69" s="337"/>
      <c r="J69" s="337"/>
      <c r="K69" s="573"/>
      <c r="L69" s="573"/>
      <c r="M69" s="573"/>
      <c r="N69" s="337"/>
      <c r="O69" s="337"/>
      <c r="P69" s="573"/>
      <c r="Q69" s="337"/>
      <c r="R69" s="337"/>
      <c r="S69" s="337"/>
      <c r="T69" s="337"/>
      <c r="U69" s="337"/>
      <c r="V69" s="139"/>
      <c r="W69" s="139"/>
      <c r="X69" s="139"/>
      <c r="Y69" s="139"/>
      <c r="Z69" s="139"/>
      <c r="AC69" s="574"/>
      <c r="AD69" s="574"/>
      <c r="AE69" s="574"/>
      <c r="AF69" s="574"/>
    </row>
    <row r="70" spans="4:32" s="40" customFormat="1" ht="21.95" customHeight="1">
      <c r="D70" s="337"/>
      <c r="E70" s="337"/>
      <c r="F70" s="337"/>
      <c r="G70" s="337"/>
      <c r="H70" s="573"/>
      <c r="I70" s="337"/>
      <c r="J70" s="337"/>
      <c r="K70" s="573"/>
      <c r="L70" s="573"/>
      <c r="M70" s="573"/>
      <c r="N70" s="337"/>
      <c r="O70" s="337"/>
      <c r="P70" s="573"/>
      <c r="Q70" s="337"/>
      <c r="R70" s="337"/>
      <c r="S70" s="337"/>
      <c r="T70" s="337"/>
      <c r="U70" s="337"/>
      <c r="V70" s="139"/>
      <c r="W70" s="139"/>
      <c r="X70" s="139"/>
      <c r="Y70" s="139"/>
      <c r="Z70" s="139"/>
      <c r="AC70" s="574"/>
      <c r="AD70" s="574"/>
      <c r="AE70" s="574"/>
      <c r="AF70" s="574"/>
    </row>
    <row r="71" spans="4:32" s="40" customFormat="1" ht="21.95" customHeight="1">
      <c r="D71" s="337"/>
      <c r="E71" s="337"/>
      <c r="F71" s="337"/>
      <c r="G71" s="337"/>
      <c r="H71" s="573"/>
      <c r="I71" s="337"/>
      <c r="J71" s="337"/>
      <c r="K71" s="573"/>
      <c r="L71" s="573"/>
      <c r="M71" s="573"/>
      <c r="N71" s="337"/>
      <c r="O71" s="337"/>
      <c r="P71" s="573"/>
      <c r="Q71" s="337"/>
      <c r="R71" s="337"/>
      <c r="S71" s="337"/>
      <c r="T71" s="337"/>
      <c r="U71" s="337"/>
      <c r="V71" s="139"/>
      <c r="W71" s="139"/>
      <c r="X71" s="139"/>
      <c r="Y71" s="139"/>
      <c r="Z71" s="139"/>
      <c r="AC71" s="574"/>
      <c r="AD71" s="574"/>
      <c r="AE71" s="574"/>
      <c r="AF71" s="574"/>
    </row>
    <row r="72" spans="4:32" s="40" customFormat="1" ht="21.95" customHeight="1">
      <c r="D72" s="337"/>
      <c r="E72" s="337"/>
      <c r="F72" s="337"/>
      <c r="G72" s="337"/>
      <c r="H72" s="573"/>
      <c r="I72" s="337"/>
      <c r="J72" s="337"/>
      <c r="K72" s="573"/>
      <c r="L72" s="573"/>
      <c r="M72" s="573"/>
      <c r="N72" s="337"/>
      <c r="O72" s="337"/>
      <c r="P72" s="573"/>
      <c r="Q72" s="337"/>
      <c r="R72" s="337"/>
      <c r="S72" s="337"/>
      <c r="T72" s="337"/>
      <c r="U72" s="337"/>
      <c r="V72" s="139"/>
      <c r="W72" s="139"/>
      <c r="X72" s="139"/>
      <c r="Y72" s="139"/>
      <c r="Z72" s="139"/>
      <c r="AC72" s="574"/>
      <c r="AD72" s="574"/>
      <c r="AE72" s="574"/>
      <c r="AF72" s="574"/>
    </row>
    <row r="73" spans="4:32" ht="21.95" customHeight="1">
      <c r="V73" s="139"/>
      <c r="W73" s="139"/>
      <c r="X73" s="139"/>
      <c r="Y73" s="139"/>
      <c r="Z73" s="139"/>
      <c r="AC73" s="574"/>
      <c r="AD73" s="574"/>
      <c r="AE73" s="574"/>
      <c r="AF73" s="574"/>
    </row>
    <row r="74" spans="4:32" ht="21.95" customHeight="1">
      <c r="V74" s="139"/>
      <c r="W74" s="139"/>
      <c r="X74" s="139"/>
      <c r="Y74" s="139"/>
      <c r="Z74" s="139"/>
      <c r="AC74" s="574"/>
      <c r="AD74" s="574"/>
      <c r="AE74" s="574"/>
      <c r="AF74" s="574"/>
    </row>
    <row r="75" spans="4:32">
      <c r="V75" s="139"/>
      <c r="W75" s="139"/>
      <c r="X75" s="139"/>
      <c r="Y75" s="139"/>
      <c r="Z75" s="139"/>
      <c r="AC75" s="574"/>
      <c r="AD75" s="574"/>
      <c r="AE75" s="574"/>
      <c r="AF75" s="574"/>
    </row>
    <row r="76" spans="4:32">
      <c r="V76" s="139"/>
      <c r="W76" s="139"/>
      <c r="X76" s="139"/>
      <c r="Y76" s="139"/>
      <c r="Z76" s="139"/>
      <c r="AC76" s="574"/>
      <c r="AD76" s="574"/>
    </row>
    <row r="77" spans="4:32">
      <c r="V77" s="139"/>
      <c r="W77" s="139"/>
      <c r="X77" s="139"/>
      <c r="Y77" s="139"/>
      <c r="Z77" s="139"/>
      <c r="AC77" s="574"/>
      <c r="AD77" s="574"/>
    </row>
    <row r="78" spans="4:32">
      <c r="V78" s="139"/>
      <c r="W78" s="139"/>
      <c r="X78" s="139"/>
      <c r="Y78" s="139"/>
      <c r="Z78" s="139"/>
      <c r="AC78" s="574"/>
      <c r="AD78" s="574"/>
    </row>
    <row r="79" spans="4:32">
      <c r="V79" s="139"/>
      <c r="W79" s="139"/>
      <c r="X79" s="139"/>
      <c r="Y79" s="139"/>
      <c r="Z79" s="139"/>
      <c r="AC79" s="574"/>
      <c r="AD79" s="574"/>
    </row>
    <row r="80" spans="4:32">
      <c r="V80" s="139"/>
      <c r="W80" s="139"/>
      <c r="X80" s="139"/>
      <c r="Y80" s="139"/>
      <c r="Z80" s="139"/>
      <c r="AC80" s="574"/>
      <c r="AD80" s="574"/>
    </row>
    <row r="81" spans="22:30">
      <c r="V81" s="139"/>
      <c r="W81" s="139"/>
      <c r="X81" s="139"/>
      <c r="Y81" s="139"/>
      <c r="Z81" s="139"/>
      <c r="AC81" s="574"/>
      <c r="AD81" s="574"/>
    </row>
    <row r="82" spans="22:30">
      <c r="V82" s="139"/>
      <c r="W82" s="139"/>
      <c r="X82" s="139"/>
      <c r="Y82" s="139"/>
      <c r="Z82" s="139"/>
    </row>
    <row r="83" spans="22:30">
      <c r="V83" s="139"/>
      <c r="W83" s="139"/>
      <c r="X83" s="139"/>
      <c r="Y83" s="139"/>
      <c r="Z83" s="139"/>
    </row>
    <row r="84" spans="22:30">
      <c r="V84" s="139"/>
      <c r="W84" s="139"/>
      <c r="X84" s="139"/>
      <c r="Y84" s="139"/>
      <c r="Z84" s="139"/>
    </row>
    <row r="85" spans="22:30">
      <c r="V85" s="139"/>
      <c r="W85" s="139"/>
      <c r="X85" s="139"/>
      <c r="Y85" s="139"/>
      <c r="Z85" s="139"/>
    </row>
  </sheetData>
  <mergeCells count="19">
    <mergeCell ref="T34:U34"/>
    <mergeCell ref="T35:U35"/>
    <mergeCell ref="T33:U33"/>
    <mergeCell ref="T28:U28"/>
    <mergeCell ref="T29:U29"/>
    <mergeCell ref="T30:U30"/>
    <mergeCell ref="T32:U32"/>
    <mergeCell ref="T31:U31"/>
    <mergeCell ref="T17:U17"/>
    <mergeCell ref="T18:U18"/>
    <mergeCell ref="T19:U19"/>
    <mergeCell ref="T27:U27"/>
    <mergeCell ref="T20:U20"/>
    <mergeCell ref="T21:U21"/>
    <mergeCell ref="T22:U22"/>
    <mergeCell ref="T23:U23"/>
    <mergeCell ref="T24:U24"/>
    <mergeCell ref="T25:U25"/>
    <mergeCell ref="T26:U26"/>
  </mergeCells>
  <conditionalFormatting sqref="B15">
    <cfRule type="cellIs" dxfId="3" priority="12" operator="greaterThan">
      <formula>0</formula>
    </cfRule>
  </conditionalFormatting>
  <conditionalFormatting sqref="M17:O35">
    <cfRule type="cellIs" dxfId="2" priority="1" operator="greaterThan">
      <formula>0.01</formula>
    </cfRule>
  </conditionalFormatting>
  <conditionalFormatting sqref="Q17:Q35">
    <cfRule type="cellIs" dxfId="1" priority="16" operator="greaterThan">
      <formula>0.01</formula>
    </cfRule>
  </conditionalFormatting>
  <conditionalFormatting sqref="R17:R35">
    <cfRule type="cellIs" dxfId="0" priority="17" operator="greaterThan">
      <formula>0.01</formula>
    </cfRule>
  </conditionalFormatting>
  <dataValidations count="1">
    <dataValidation allowBlank="1" showInputMessage="1" showErrorMessage="1" promptTitle="Toelichting" prompt="Vul in deze gekleurde cellen de gevraagde informatie in._x000d_" sqref="B14" xr:uid="{3E66330E-FE8E-D442-93CC-453129DFEF8C}"/>
  </dataValidations>
  <pageMargins left="0.7" right="0.7" top="0.75" bottom="0.75" header="0.3" footer="0.3"/>
  <pageSetup paperSize="9" scale="47" orientation="landscape" horizontalDpi="0" verticalDpi="0"/>
  <pictur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5:I87"/>
  <sheetViews>
    <sheetView showGridLines="0" showRowColHeaders="0" zoomScaleNormal="100" workbookViewId="0"/>
  </sheetViews>
  <sheetFormatPr defaultColWidth="0" defaultRowHeight="15"/>
  <cols>
    <col min="1" max="2" width="10.85546875" style="337" customWidth="1"/>
    <col min="3" max="3" width="26.140625" style="337" bestFit="1" customWidth="1"/>
    <col min="4" max="4" width="19.85546875" style="337" customWidth="1"/>
    <col min="5" max="5" width="94.140625" style="337" customWidth="1"/>
    <col min="6" max="7" width="19.85546875" style="337" customWidth="1"/>
    <col min="8" max="9" width="10.85546875" style="337" customWidth="1"/>
    <col min="10" max="16384" width="10.85546875" style="337" hidden="1"/>
  </cols>
  <sheetData>
    <row r="5" spans="3:7">
      <c r="D5" s="728"/>
      <c r="E5" s="123" t="s">
        <v>17</v>
      </c>
    </row>
    <row r="8" spans="3:7" ht="15.95" thickBot="1"/>
    <row r="9" spans="3:7" ht="24" thickTop="1">
      <c r="C9" s="657"/>
      <c r="D9" s="658"/>
      <c r="E9" s="659"/>
      <c r="F9" s="658"/>
      <c r="G9" s="660"/>
    </row>
    <row r="10" spans="3:7" ht="23.1">
      <c r="C10" s="661"/>
      <c r="E10" s="662" t="s">
        <v>36</v>
      </c>
      <c r="G10" s="663"/>
    </row>
    <row r="11" spans="3:7" ht="23.1">
      <c r="C11" s="661"/>
      <c r="E11" s="662"/>
      <c r="G11" s="663"/>
    </row>
    <row r="12" spans="3:7" ht="23.1">
      <c r="C12" s="661"/>
      <c r="E12" s="662" t="s">
        <v>37</v>
      </c>
      <c r="G12" s="663"/>
    </row>
    <row r="13" spans="3:7" ht="23.1">
      <c r="C13" s="661"/>
      <c r="E13" s="662" t="s">
        <v>38</v>
      </c>
      <c r="G13" s="663"/>
    </row>
    <row r="14" spans="3:7" ht="23.1">
      <c r="C14" s="661"/>
      <c r="E14" s="662" t="s">
        <v>39</v>
      </c>
      <c r="G14" s="663"/>
    </row>
    <row r="15" spans="3:7">
      <c r="C15" s="661"/>
      <c r="G15" s="663"/>
    </row>
    <row r="16" spans="3:7" ht="23.1">
      <c r="C16" s="661"/>
      <c r="E16" s="664" t="s">
        <v>40</v>
      </c>
      <c r="G16" s="663"/>
    </row>
    <row r="17" spans="3:7">
      <c r="C17" s="661"/>
      <c r="G17" s="663"/>
    </row>
    <row r="18" spans="3:7">
      <c r="C18" s="661"/>
      <c r="G18" s="663"/>
    </row>
    <row r="19" spans="3:7" ht="20.100000000000001">
      <c r="C19" s="661"/>
      <c r="D19" s="40"/>
      <c r="E19" s="729" t="s">
        <v>41</v>
      </c>
      <c r="F19" s="40"/>
      <c r="G19" s="663"/>
    </row>
    <row r="20" spans="3:7">
      <c r="C20" s="661"/>
      <c r="G20" s="663"/>
    </row>
    <row r="21" spans="3:7">
      <c r="C21" s="661"/>
      <c r="G21" s="663"/>
    </row>
    <row r="22" spans="3:7" ht="17.100000000000001">
      <c r="C22" s="661"/>
      <c r="D22" s="665" t="s">
        <v>42</v>
      </c>
      <c r="E22" s="666">
        <v>45473</v>
      </c>
      <c r="F22" s="667"/>
      <c r="G22" s="663"/>
    </row>
    <row r="23" spans="3:7" ht="17.100000000000001">
      <c r="C23" s="661"/>
      <c r="D23" s="665"/>
      <c r="E23" s="668"/>
      <c r="F23" s="667"/>
      <c r="G23" s="663"/>
    </row>
    <row r="24" spans="3:7" ht="17.100000000000001">
      <c r="C24" s="661"/>
      <c r="D24" s="665" t="s">
        <v>43</v>
      </c>
      <c r="E24" s="734" t="s">
        <v>44</v>
      </c>
      <c r="F24" s="667"/>
      <c r="G24" s="663"/>
    </row>
    <row r="25" spans="3:7" ht="17.100000000000001">
      <c r="C25" s="661"/>
      <c r="D25" s="665"/>
      <c r="E25" s="668"/>
      <c r="F25" s="667"/>
      <c r="G25" s="663"/>
    </row>
    <row r="26" spans="3:7" ht="17.100000000000001">
      <c r="C26" s="661"/>
      <c r="D26" s="669" t="s">
        <v>45</v>
      </c>
      <c r="E26" s="670" t="e">
        <f ca="1">REPLACE(LEFT(CELL("bestandsnaam",A1),SEARCH("]",CELL("bestandsnaam",A1))-6),1,SEARCH("[",CELL("bestandsnaam",A1)),"")</f>
        <v>#VALUE!</v>
      </c>
      <c r="F26" s="667"/>
      <c r="G26" s="663"/>
    </row>
    <row r="27" spans="3:7">
      <c r="C27" s="661"/>
      <c r="G27" s="663"/>
    </row>
    <row r="28" spans="3:7">
      <c r="C28" s="661"/>
      <c r="G28" s="663"/>
    </row>
    <row r="29" spans="3:7" ht="15.95" thickBot="1">
      <c r="C29" s="671"/>
      <c r="D29" s="672"/>
      <c r="E29" s="672"/>
      <c r="F29" s="672"/>
      <c r="G29" s="673"/>
    </row>
    <row r="30" spans="3:7" ht="17.100000000000001" thickTop="1" thickBot="1"/>
    <row r="31" spans="3:7" ht="15.95" thickTop="1">
      <c r="C31" s="674"/>
      <c r="D31" s="675"/>
      <c r="E31" s="675"/>
      <c r="F31" s="675"/>
      <c r="G31" s="676"/>
    </row>
    <row r="32" spans="3:7" ht="32.1">
      <c r="C32" s="682" t="s">
        <v>46</v>
      </c>
      <c r="G32" s="683" t="s">
        <v>47</v>
      </c>
    </row>
    <row r="33" spans="3:7">
      <c r="C33" s="678"/>
      <c r="G33" s="683"/>
    </row>
    <row r="34" spans="3:7">
      <c r="C34" s="678"/>
      <c r="G34" s="683"/>
    </row>
    <row r="35" spans="3:7" ht="18" customHeight="1">
      <c r="C35" s="678"/>
      <c r="G35" s="683"/>
    </row>
    <row r="36" spans="3:7" ht="18" customHeight="1">
      <c r="C36" s="678"/>
      <c r="G36" s="683"/>
    </row>
    <row r="37" spans="3:7" ht="18" customHeight="1">
      <c r="C37" s="678"/>
      <c r="G37" s="683"/>
    </row>
    <row r="38" spans="3:7" ht="18" customHeight="1">
      <c r="C38" s="678"/>
      <c r="G38" s="683"/>
    </row>
    <row r="39" spans="3:7" ht="18" customHeight="1">
      <c r="C39" s="678"/>
      <c r="G39" s="683"/>
    </row>
    <row r="40" spans="3:7" ht="18" customHeight="1">
      <c r="C40" s="678"/>
      <c r="G40" s="683"/>
    </row>
    <row r="41" spans="3:7" ht="18" customHeight="1">
      <c r="C41" s="678"/>
      <c r="G41" s="683"/>
    </row>
    <row r="42" spans="3:7" ht="18" customHeight="1">
      <c r="C42" s="678"/>
      <c r="G42" s="683"/>
    </row>
    <row r="43" spans="3:7" ht="18" customHeight="1">
      <c r="C43" s="678"/>
      <c r="G43" s="683"/>
    </row>
    <row r="44" spans="3:7" ht="18" customHeight="1">
      <c r="C44" s="678"/>
      <c r="G44" s="683"/>
    </row>
    <row r="45" spans="3:7" ht="18" customHeight="1">
      <c r="C45" s="678"/>
      <c r="G45" s="683"/>
    </row>
    <row r="46" spans="3:7" ht="18" customHeight="1">
      <c r="C46" s="678"/>
      <c r="G46" s="683"/>
    </row>
    <row r="47" spans="3:7" ht="18" customHeight="1">
      <c r="C47" s="678"/>
      <c r="G47" s="683"/>
    </row>
    <row r="48" spans="3:7" ht="18" customHeight="1">
      <c r="C48" s="678"/>
      <c r="G48" s="683"/>
    </row>
    <row r="49" spans="3:7" ht="18" customHeight="1">
      <c r="C49" s="678"/>
      <c r="G49" s="683"/>
    </row>
    <row r="50" spans="3:7" ht="18" customHeight="1">
      <c r="C50" s="678"/>
      <c r="G50" s="683"/>
    </row>
    <row r="51" spans="3:7" ht="18" customHeight="1">
      <c r="C51" s="678"/>
      <c r="G51" s="683"/>
    </row>
    <row r="52" spans="3:7" ht="18" customHeight="1">
      <c r="C52" s="678"/>
      <c r="G52" s="683"/>
    </row>
    <row r="53" spans="3:7" ht="18" customHeight="1">
      <c r="C53" s="678"/>
      <c r="G53" s="683"/>
    </row>
    <row r="54" spans="3:7" ht="18" customHeight="1">
      <c r="C54" s="678"/>
      <c r="G54" s="683"/>
    </row>
    <row r="55" spans="3:7" ht="18" customHeight="1">
      <c r="C55" s="678"/>
      <c r="G55" s="683"/>
    </row>
    <row r="56" spans="3:7" ht="18" customHeight="1">
      <c r="C56" s="678"/>
      <c r="G56" s="683"/>
    </row>
    <row r="57" spans="3:7" ht="18" customHeight="1">
      <c r="C57" s="678"/>
      <c r="G57" s="683"/>
    </row>
    <row r="58" spans="3:7" ht="18" customHeight="1">
      <c r="C58" s="678"/>
      <c r="G58" s="683"/>
    </row>
    <row r="59" spans="3:7" ht="18" customHeight="1">
      <c r="C59" s="678"/>
      <c r="G59" s="683"/>
    </row>
    <row r="60" spans="3:7" ht="18" customHeight="1">
      <c r="C60" s="678"/>
      <c r="G60" s="683"/>
    </row>
    <row r="61" spans="3:7" ht="18" customHeight="1">
      <c r="C61" s="678"/>
      <c r="G61" s="683"/>
    </row>
    <row r="62" spans="3:7" ht="18" customHeight="1">
      <c r="C62" s="678"/>
      <c r="G62" s="683"/>
    </row>
    <row r="63" spans="3:7" ht="18" customHeight="1">
      <c r="C63" s="678"/>
      <c r="G63" s="683"/>
    </row>
    <row r="64" spans="3:7" ht="18" customHeight="1">
      <c r="C64" s="678"/>
      <c r="G64" s="683"/>
    </row>
    <row r="65" spans="3:7" ht="18" customHeight="1">
      <c r="C65" s="678"/>
      <c r="G65" s="683"/>
    </row>
    <row r="66" spans="3:7" ht="18" customHeight="1">
      <c r="C66" s="678"/>
      <c r="G66" s="683"/>
    </row>
    <row r="67" spans="3:7" ht="18" customHeight="1">
      <c r="C67" s="678"/>
      <c r="G67" s="683"/>
    </row>
    <row r="68" spans="3:7" ht="18" customHeight="1">
      <c r="C68" s="678"/>
      <c r="G68" s="683"/>
    </row>
    <row r="69" spans="3:7" ht="18" customHeight="1">
      <c r="C69" s="678"/>
      <c r="G69" s="683"/>
    </row>
    <row r="70" spans="3:7" ht="18" customHeight="1">
      <c r="C70" s="678"/>
      <c r="G70" s="683"/>
    </row>
    <row r="71" spans="3:7" ht="18" customHeight="1">
      <c r="C71" s="678"/>
      <c r="G71" s="683"/>
    </row>
    <row r="72" spans="3:7" ht="18" customHeight="1">
      <c r="C72" s="678"/>
      <c r="G72" s="683"/>
    </row>
    <row r="73" spans="3:7" ht="18" customHeight="1">
      <c r="C73" s="678"/>
      <c r="G73" s="683"/>
    </row>
    <row r="74" spans="3:7" ht="18" customHeight="1">
      <c r="C74" s="678"/>
      <c r="G74" s="683"/>
    </row>
    <row r="75" spans="3:7" ht="18" customHeight="1">
      <c r="C75" s="678"/>
      <c r="G75" s="683"/>
    </row>
    <row r="76" spans="3:7" ht="18" customHeight="1">
      <c r="C76" s="678"/>
      <c r="G76" s="683"/>
    </row>
    <row r="77" spans="3:7" ht="18" customHeight="1">
      <c r="C77" s="678"/>
      <c r="G77" s="683"/>
    </row>
    <row r="78" spans="3:7" ht="18" customHeight="1">
      <c r="C78" s="678"/>
      <c r="G78" s="683"/>
    </row>
    <row r="79" spans="3:7" ht="18" customHeight="1">
      <c r="C79" s="678"/>
      <c r="G79" s="683"/>
    </row>
    <row r="80" spans="3:7" ht="18" customHeight="1">
      <c r="C80" s="678"/>
      <c r="G80" s="683"/>
    </row>
    <row r="81" spans="3:7" ht="18" customHeight="1">
      <c r="C81" s="678"/>
      <c r="G81" s="683"/>
    </row>
    <row r="82" spans="3:7">
      <c r="C82" s="678"/>
      <c r="G82" s="677"/>
    </row>
    <row r="83" spans="3:7">
      <c r="C83" s="678"/>
      <c r="G83" s="677"/>
    </row>
    <row r="84" spans="3:7">
      <c r="C84" s="678"/>
      <c r="G84" s="677"/>
    </row>
    <row r="85" spans="3:7">
      <c r="C85" s="678"/>
      <c r="G85" s="677"/>
    </row>
    <row r="86" spans="3:7" ht="15.95" thickBot="1">
      <c r="C86" s="679"/>
      <c r="D86" s="680"/>
      <c r="E86" s="680"/>
      <c r="F86" s="680"/>
      <c r="G86" s="681"/>
    </row>
    <row r="87" spans="3:7" ht="15.95" thickTop="1"/>
  </sheetData>
  <conditionalFormatting sqref="D5">
    <cfRule type="cellIs" dxfId="130" priority="69" operator="greaterThan">
      <formula>0</formula>
    </cfRule>
  </conditionalFormatting>
  <pageMargins left="0.75000000000000011" right="0.75000000000000011" top="1" bottom="1" header="0.5" footer="0.5"/>
  <pageSetup paperSize="9" scale="86" orientation="portrait"/>
  <pictur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IV65617"/>
  <sheetViews>
    <sheetView showGridLines="0" showRowColHeaders="0" showZeros="0" tabSelected="1" showOutlineSymbols="0" zoomScale="122" zoomScaleNormal="122" zoomScaleSheetLayoutView="75" zoomScalePageLayoutView="120" workbookViewId="0">
      <pane ySplit="12" topLeftCell="A30" activePane="bottomLeft" state="frozenSplit"/>
      <selection pane="bottomLeft"/>
    </sheetView>
  </sheetViews>
  <sheetFormatPr defaultColWidth="10.85546875" defaultRowHeight="15" zeroHeight="1"/>
  <cols>
    <col min="1" max="1" width="14.140625" style="6" customWidth="1"/>
    <col min="2" max="2" width="15.140625" style="27" customWidth="1"/>
    <col min="3" max="3" width="3.140625" style="27" customWidth="1"/>
    <col min="4" max="4" width="46" style="45" customWidth="1"/>
    <col min="5" max="5" width="21.42578125" style="27" customWidth="1"/>
    <col min="6" max="6" width="15.42578125" style="27" customWidth="1"/>
    <col min="7" max="7" width="14.5703125" style="27" customWidth="1"/>
    <col min="8" max="8" width="17" style="27" customWidth="1"/>
    <col min="9" max="9" width="15.85546875" style="27" customWidth="1"/>
    <col min="10" max="10" width="18.42578125" style="27" customWidth="1"/>
    <col min="11" max="11" width="5.85546875" style="30" customWidth="1"/>
    <col min="12" max="12" width="14.85546875" style="3" hidden="1" customWidth="1"/>
    <col min="13" max="13" width="14.140625" style="3" hidden="1" customWidth="1"/>
    <col min="14" max="14" width="27.140625" style="3" hidden="1" customWidth="1"/>
    <col min="15" max="15" width="11.85546875" style="3" customWidth="1"/>
    <col min="16" max="256" width="10.85546875" style="3" customWidth="1"/>
    <col min="257" max="16384" width="10.85546875" style="3"/>
  </cols>
  <sheetData>
    <row r="1" spans="1:11" ht="9" customHeight="1" thickBot="1">
      <c r="H1" s="94"/>
      <c r="I1" s="94"/>
      <c r="J1" s="94"/>
      <c r="K1" s="3"/>
    </row>
    <row r="2" spans="1:11" ht="8.1" customHeight="1">
      <c r="D2" s="96"/>
      <c r="E2" s="97"/>
      <c r="F2" s="97"/>
      <c r="G2" s="97"/>
      <c r="H2" s="94"/>
      <c r="I2" s="94"/>
      <c r="J2" s="94"/>
      <c r="K2" s="3"/>
    </row>
    <row r="3" spans="1:11" hidden="1">
      <c r="H3" s="94"/>
      <c r="I3" s="94"/>
      <c r="J3" s="94"/>
      <c r="K3" s="95"/>
    </row>
    <row r="4" spans="1:11" ht="6" customHeight="1">
      <c r="D4" s="28"/>
      <c r="E4" s="29"/>
    </row>
    <row r="5" spans="1:11" s="20" customFormat="1" ht="17.100000000000001">
      <c r="A5" s="6"/>
      <c r="B5" s="31"/>
      <c r="C5" s="31"/>
      <c r="D5" s="84" t="s">
        <v>48</v>
      </c>
      <c r="E5" s="85" t="s">
        <v>49</v>
      </c>
      <c r="F5" s="32"/>
      <c r="G5" s="32"/>
      <c r="H5" s="33"/>
      <c r="I5" s="32"/>
      <c r="J5" s="32"/>
      <c r="K5" s="34"/>
    </row>
    <row r="6" spans="1:11" s="20" customFormat="1" ht="15.95" customHeight="1">
      <c r="A6" s="6"/>
      <c r="B6" s="31"/>
      <c r="C6" s="31"/>
      <c r="D6" s="84" t="s">
        <v>50</v>
      </c>
      <c r="E6" s="35" t="str">
        <f>Voorblad!$E$16</f>
        <v>Invest-NL</v>
      </c>
      <c r="F6" s="32"/>
      <c r="G6" s="32"/>
      <c r="H6" s="36"/>
      <c r="I6" s="36"/>
      <c r="J6" s="36"/>
      <c r="K6" s="34"/>
    </row>
    <row r="7" spans="1:11" s="20" customFormat="1" ht="15.95" customHeight="1">
      <c r="A7" s="6"/>
      <c r="C7" s="31"/>
      <c r="D7" s="84" t="s">
        <v>51</v>
      </c>
      <c r="E7" s="35" t="s">
        <v>52</v>
      </c>
      <c r="F7" s="32"/>
      <c r="G7" s="32"/>
      <c r="H7" s="36"/>
      <c r="I7" s="36"/>
      <c r="J7" s="36"/>
      <c r="K7" s="34"/>
    </row>
    <row r="8" spans="1:11" s="20" customFormat="1" ht="15.95" customHeight="1">
      <c r="A8" s="561" t="s">
        <v>53</v>
      </c>
      <c r="B8" s="175"/>
      <c r="C8" s="31"/>
      <c r="D8" s="84" t="s">
        <v>54</v>
      </c>
      <c r="E8" s="37" t="str">
        <f>Voorblad!$E$24</f>
        <v>TN436801</v>
      </c>
      <c r="F8" s="32"/>
      <c r="G8" s="32"/>
      <c r="H8" s="36"/>
      <c r="I8" s="36"/>
      <c r="J8" s="36"/>
      <c r="K8" s="34"/>
    </row>
    <row r="9" spans="1:11" s="20" customFormat="1" ht="18" thickBot="1">
      <c r="A9" s="591"/>
      <c r="B9" s="562" t="s">
        <v>17</v>
      </c>
      <c r="C9" s="31"/>
      <c r="D9" s="84" t="s">
        <v>55</v>
      </c>
      <c r="E9" s="38" t="e">
        <f ca="1">Voorblad!$E$26</f>
        <v>#VALUE!</v>
      </c>
      <c r="F9" s="32"/>
      <c r="G9" s="32"/>
      <c r="H9" s="32"/>
      <c r="K9" s="34"/>
    </row>
    <row r="10" spans="1:11" s="20" customFormat="1" ht="18" thickBot="1">
      <c r="A10" s="563"/>
      <c r="B10" s="562" t="s">
        <v>18</v>
      </c>
      <c r="C10" s="31"/>
      <c r="D10" s="84" t="s">
        <v>56</v>
      </c>
      <c r="E10" s="86" t="str">
        <f>Voorblad!$E$19</f>
        <v>[Invoeren naam organisatie van Inschrijver]</v>
      </c>
      <c r="F10" s="32"/>
      <c r="G10" s="31"/>
      <c r="H10" s="31"/>
      <c r="K10" s="34"/>
    </row>
    <row r="11" spans="1:11" s="20" customFormat="1" ht="17.100000000000001">
      <c r="A11" s="6"/>
      <c r="B11" s="31"/>
      <c r="C11" s="31"/>
      <c r="D11" s="84" t="s">
        <v>57</v>
      </c>
      <c r="E11" s="41">
        <f>Voorblad!$E$22</f>
        <v>45473</v>
      </c>
      <c r="F11" s="32"/>
      <c r="G11" s="31"/>
      <c r="H11" s="31"/>
      <c r="K11" s="34"/>
    </row>
    <row r="12" spans="1:11" s="20" customFormat="1" ht="17.100000000000001">
      <c r="A12" s="6"/>
      <c r="B12" s="31"/>
      <c r="C12" s="31"/>
      <c r="D12" s="42"/>
      <c r="E12" s="31"/>
      <c r="F12" s="31"/>
      <c r="G12" s="31"/>
      <c r="H12" s="31"/>
      <c r="I12" s="31"/>
      <c r="J12" s="31"/>
      <c r="K12" s="34"/>
    </row>
    <row r="13" spans="1:11" s="20" customFormat="1" ht="17.100000000000001">
      <c r="A13" s="6"/>
      <c r="B13" s="31"/>
      <c r="C13" s="31"/>
      <c r="D13" s="111" t="s">
        <v>58</v>
      </c>
      <c r="E13" s="31"/>
      <c r="F13" s="31"/>
      <c r="G13" s="43"/>
      <c r="H13" s="43"/>
      <c r="I13" s="43"/>
      <c r="J13" s="44"/>
      <c r="K13" s="34"/>
    </row>
    <row r="14" spans="1:11"/>
    <row r="15" spans="1:11" s="19" customFormat="1" ht="62.1" customHeight="1">
      <c r="A15" s="6"/>
      <c r="B15" s="46"/>
      <c r="C15" s="46"/>
      <c r="D15" s="87" t="s">
        <v>59</v>
      </c>
      <c r="E15" s="88" t="s">
        <v>60</v>
      </c>
      <c r="F15" s="89" t="s">
        <v>61</v>
      </c>
      <c r="G15" s="89" t="s">
        <v>62</v>
      </c>
      <c r="H15" s="89" t="s">
        <v>63</v>
      </c>
      <c r="I15" s="89" t="s">
        <v>64</v>
      </c>
      <c r="J15" s="89" t="s">
        <v>65</v>
      </c>
      <c r="K15" s="47"/>
    </row>
    <row r="16" spans="1:11" s="19" customFormat="1">
      <c r="A16" s="6"/>
      <c r="B16" s="46"/>
      <c r="C16" s="46"/>
      <c r="D16" s="93"/>
      <c r="E16" s="91"/>
      <c r="F16" s="92"/>
      <c r="G16" s="92"/>
      <c r="H16" s="92"/>
      <c r="I16" s="92"/>
      <c r="J16" s="92"/>
      <c r="K16" s="47"/>
    </row>
    <row r="17" spans="1:256" s="19" customFormat="1">
      <c r="A17" s="6"/>
      <c r="B17" s="46"/>
      <c r="C17" s="46"/>
      <c r="D17" s="90"/>
      <c r="E17" s="91"/>
      <c r="F17" s="92"/>
      <c r="G17" s="92"/>
      <c r="H17" s="92"/>
      <c r="I17" s="92"/>
      <c r="J17" s="92"/>
      <c r="K17" s="47"/>
    </row>
    <row r="18" spans="1:256" ht="21" customHeight="1">
      <c r="C18" s="46"/>
      <c r="D18" s="101" t="s">
        <v>66</v>
      </c>
      <c r="E18" s="48"/>
      <c r="F18" s="48"/>
      <c r="G18" s="49"/>
      <c r="H18" s="49"/>
      <c r="I18" s="49"/>
      <c r="J18" s="49"/>
    </row>
    <row r="19" spans="1:256">
      <c r="A19" s="22"/>
      <c r="C19" s="46"/>
      <c r="D19" s="102"/>
      <c r="J19" s="50"/>
    </row>
    <row r="20" spans="1:256" ht="15.95">
      <c r="B20" s="39" t="s">
        <v>53</v>
      </c>
      <c r="C20" s="46"/>
      <c r="D20" s="527" t="s">
        <v>67</v>
      </c>
      <c r="E20" s="524">
        <v>0</v>
      </c>
      <c r="F20" s="51">
        <f>H20/G20</f>
        <v>0</v>
      </c>
      <c r="G20" s="52">
        <v>255</v>
      </c>
      <c r="H20" s="53">
        <f>$H$27*E20</f>
        <v>0</v>
      </c>
      <c r="I20" s="54">
        <f>HLOOKUP(D20,'1.4-Opbouw uurtarieven'!$M$16:$R$65,44,FALSE)</f>
        <v>0</v>
      </c>
      <c r="J20" s="55">
        <f>I20*H20</f>
        <v>0</v>
      </c>
    </row>
    <row r="21" spans="1:256">
      <c r="A21" s="22"/>
      <c r="C21" s="46"/>
      <c r="D21" s="102"/>
      <c r="E21" s="56"/>
      <c r="F21" s="57"/>
      <c r="H21" s="58"/>
      <c r="J21" s="50"/>
    </row>
    <row r="22" spans="1:256" ht="15.95">
      <c r="C22" s="46"/>
      <c r="D22" s="527" t="s">
        <v>67</v>
      </c>
      <c r="E22" s="524">
        <v>0</v>
      </c>
      <c r="F22" s="51">
        <f>H22/G22</f>
        <v>0</v>
      </c>
      <c r="G22" s="52">
        <v>255</v>
      </c>
      <c r="H22" s="53">
        <f>$H$27*E22</f>
        <v>0</v>
      </c>
      <c r="I22" s="54">
        <f>HLOOKUP(D22,'1.4-Opbouw uurtarieven'!$M$16:$R$65,44,FALSE)</f>
        <v>0</v>
      </c>
      <c r="J22" s="55">
        <f>I22*H22</f>
        <v>0</v>
      </c>
    </row>
    <row r="23" spans="1:256">
      <c r="C23" s="46"/>
      <c r="D23" s="103"/>
      <c r="E23" s="59"/>
      <c r="F23" s="60"/>
      <c r="G23" s="28"/>
      <c r="H23" s="61"/>
      <c r="I23" s="28"/>
      <c r="J23" s="28"/>
      <c r="K23" s="62"/>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row>
    <row r="24" spans="1:256" ht="15.95">
      <c r="C24" s="46"/>
      <c r="D24" s="527" t="s">
        <v>67</v>
      </c>
      <c r="E24" s="524">
        <v>0</v>
      </c>
      <c r="F24" s="51">
        <f>H24/G24</f>
        <v>0</v>
      </c>
      <c r="G24" s="52">
        <v>255</v>
      </c>
      <c r="H24" s="53">
        <f>$H$27*E24</f>
        <v>0</v>
      </c>
      <c r="I24" s="54">
        <f>HLOOKUP(D24,'1.4-Opbouw uurtarieven'!$M$16:$R$65,44,FALSE)</f>
        <v>0</v>
      </c>
      <c r="J24" s="55">
        <f>I24*H24</f>
        <v>0</v>
      </c>
    </row>
    <row r="25" spans="1:256">
      <c r="C25" s="46"/>
      <c r="D25" s="103"/>
      <c r="E25" s="59"/>
      <c r="F25" s="60"/>
      <c r="G25" s="28"/>
      <c r="H25" s="61"/>
      <c r="I25" s="28"/>
      <c r="J25" s="28"/>
      <c r="K25" s="62"/>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row>
    <row r="26" spans="1:256" ht="15.95">
      <c r="C26" s="46"/>
      <c r="D26" s="527" t="s">
        <v>67</v>
      </c>
      <c r="E26" s="524">
        <v>0</v>
      </c>
      <c r="F26" s="51">
        <f>H26/G26</f>
        <v>0</v>
      </c>
      <c r="G26" s="52">
        <v>255</v>
      </c>
      <c r="H26" s="53">
        <f>$H$27*E26</f>
        <v>0</v>
      </c>
      <c r="I26" s="54">
        <f>HLOOKUP(D26,'1.4-Opbouw uurtarieven'!$M$16:$R$65,44,FALSE)</f>
        <v>0</v>
      </c>
      <c r="J26" s="55">
        <f>I26*H26</f>
        <v>0</v>
      </c>
    </row>
    <row r="27" spans="1:256" ht="20.100000000000001" customHeight="1">
      <c r="C27" s="46"/>
      <c r="D27" s="104" t="str">
        <f>IF(E27&gt;100%,"Mag niet hoger zijn dan 100%","")</f>
        <v/>
      </c>
      <c r="E27" s="64">
        <f>SUM(E20:E26)</f>
        <v>0</v>
      </c>
      <c r="F27" s="98">
        <f>SUM(F20:F26)</f>
        <v>0</v>
      </c>
      <c r="G27" s="66"/>
      <c r="H27" s="99">
        <f>SUM('1.3-Basis ruimtestaat'!R:T)</f>
        <v>0</v>
      </c>
      <c r="I27" s="66" t="s">
        <v>68</v>
      </c>
      <c r="J27" s="100">
        <f>SUM(J20:J26)</f>
        <v>0</v>
      </c>
      <c r="L27" s="23">
        <f>IF(H27=0,0,J27/H27)</f>
        <v>0</v>
      </c>
      <c r="N27" s="24">
        <f>IF(E27&gt;100,"Is hoger dan 100%",0)</f>
        <v>0</v>
      </c>
    </row>
    <row r="28" spans="1:256">
      <c r="C28" s="46"/>
      <c r="D28" s="105"/>
      <c r="E28" s="69"/>
      <c r="F28" s="65"/>
      <c r="G28" s="49"/>
      <c r="H28" s="67"/>
      <c r="I28" s="70"/>
      <c r="J28" s="68"/>
      <c r="L28" s="5"/>
    </row>
    <row r="29" spans="1:256">
      <c r="C29" s="46"/>
      <c r="D29" s="105"/>
      <c r="E29" s="69"/>
      <c r="F29" s="65"/>
      <c r="G29" s="49"/>
      <c r="H29" s="67"/>
      <c r="I29" s="70"/>
      <c r="J29" s="71"/>
      <c r="L29" s="5"/>
    </row>
    <row r="30" spans="1:256">
      <c r="C30" s="46"/>
      <c r="D30" s="105" t="s">
        <v>69</v>
      </c>
      <c r="F30" s="57"/>
      <c r="G30" s="49"/>
      <c r="H30" s="61"/>
      <c r="I30" s="49"/>
      <c r="J30" s="49"/>
      <c r="L30" s="4"/>
    </row>
    <row r="31" spans="1:256">
      <c r="C31" s="46"/>
      <c r="D31" s="102"/>
      <c r="F31" s="57"/>
      <c r="H31" s="58"/>
      <c r="J31" s="50"/>
      <c r="L31" s="5"/>
    </row>
    <row r="32" spans="1:256" ht="15.95">
      <c r="B32" s="39" t="s">
        <v>53</v>
      </c>
      <c r="C32" s="46"/>
      <c r="D32" s="527" t="s">
        <v>67</v>
      </c>
      <c r="E32" s="524">
        <v>0</v>
      </c>
      <c r="F32" s="51">
        <f>H32/G32</f>
        <v>0</v>
      </c>
      <c r="G32" s="52">
        <v>255</v>
      </c>
      <c r="H32" s="53">
        <f>$H$27*E32</f>
        <v>0</v>
      </c>
      <c r="I32" s="54">
        <f>HLOOKUP(D32,'1.4-Opbouw uurtarieven'!$S$16:$W$65,44,FALSE)</f>
        <v>0</v>
      </c>
      <c r="J32" s="55">
        <f>I32*H32</f>
        <v>0</v>
      </c>
    </row>
    <row r="33" spans="3:256">
      <c r="C33" s="46"/>
      <c r="D33" s="106"/>
      <c r="E33" s="56"/>
      <c r="F33" s="51"/>
      <c r="G33" s="52"/>
      <c r="H33" s="53"/>
      <c r="I33" s="54"/>
      <c r="J33" s="72"/>
    </row>
    <row r="34" spans="3:256" ht="15.95">
      <c r="C34" s="46"/>
      <c r="D34" s="527" t="s">
        <v>67</v>
      </c>
      <c r="E34" s="524">
        <v>0</v>
      </c>
      <c r="F34" s="51">
        <f>H34/G34</f>
        <v>0</v>
      </c>
      <c r="G34" s="52">
        <v>255</v>
      </c>
      <c r="H34" s="53">
        <f>$H$27*E34</f>
        <v>0</v>
      </c>
      <c r="I34" s="54">
        <f>HLOOKUP(D34,'1.4-Opbouw uurtarieven'!$S$16:$W$65,44,FALSE)</f>
        <v>0</v>
      </c>
      <c r="J34" s="55">
        <f>I34*H34</f>
        <v>0</v>
      </c>
    </row>
    <row r="35" spans="3:256">
      <c r="C35" s="46"/>
      <c r="D35" s="106"/>
      <c r="E35" s="56"/>
      <c r="F35" s="51"/>
      <c r="G35" s="52"/>
      <c r="H35" s="53"/>
      <c r="I35" s="54"/>
      <c r="J35" s="72"/>
    </row>
    <row r="36" spans="3:256" ht="15.95">
      <c r="C36" s="46"/>
      <c r="D36" s="527" t="s">
        <v>67</v>
      </c>
      <c r="E36" s="524">
        <v>0</v>
      </c>
      <c r="F36" s="51">
        <f>H36/G36</f>
        <v>0</v>
      </c>
      <c r="G36" s="52">
        <v>255</v>
      </c>
      <c r="H36" s="53">
        <f>$H$27*E36</f>
        <v>0</v>
      </c>
      <c r="I36" s="54">
        <f>HLOOKUP(D36,'1.4-Opbouw uurtarieven'!$S$16:$W$65,44,FALSE)</f>
        <v>0</v>
      </c>
      <c r="J36" s="55">
        <f>I36*H36</f>
        <v>0</v>
      </c>
    </row>
    <row r="37" spans="3:256">
      <c r="C37" s="46"/>
      <c r="D37" s="106"/>
      <c r="E37" s="56"/>
      <c r="F37" s="51"/>
      <c r="G37" s="52"/>
      <c r="H37" s="53"/>
      <c r="I37" s="54"/>
      <c r="J37" s="72"/>
    </row>
    <row r="38" spans="3:256" ht="15.95">
      <c r="C38" s="46"/>
      <c r="D38" s="527" t="s">
        <v>67</v>
      </c>
      <c r="E38" s="524">
        <v>0</v>
      </c>
      <c r="F38" s="63">
        <f>H38/G38</f>
        <v>0</v>
      </c>
      <c r="G38" s="52">
        <v>255</v>
      </c>
      <c r="H38" s="73">
        <f>$H$27*E38</f>
        <v>0</v>
      </c>
      <c r="I38" s="54">
        <f>HLOOKUP(D38,'1.4-Opbouw uurtarieven'!$S$16:$W$65,44,FALSE)</f>
        <v>0</v>
      </c>
      <c r="J38" s="55">
        <f>I38*H38</f>
        <v>0</v>
      </c>
    </row>
    <row r="39" spans="3:256">
      <c r="C39" s="46"/>
      <c r="D39" s="106"/>
      <c r="E39" s="64">
        <f>SUM(E32:E38)</f>
        <v>0</v>
      </c>
      <c r="F39" s="65">
        <f>SUM(F32:F38)</f>
        <v>0</v>
      </c>
      <c r="G39" s="49"/>
      <c r="H39" s="67">
        <f>SUM(H32:H38)</f>
        <v>0</v>
      </c>
      <c r="I39" s="66" t="s">
        <v>70</v>
      </c>
      <c r="J39" s="68">
        <f>SUM(J30:J38)</f>
        <v>0</v>
      </c>
      <c r="K39" s="28"/>
      <c r="L39" s="23">
        <f>IF(H39=0,0,J39/H39)</f>
        <v>0</v>
      </c>
      <c r="N39" s="23">
        <f>J39+J27</f>
        <v>0</v>
      </c>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row>
    <row r="40" spans="3:256">
      <c r="C40" s="46"/>
      <c r="D40" s="105"/>
      <c r="E40" s="69"/>
      <c r="F40" s="74"/>
      <c r="G40" s="49"/>
      <c r="H40" s="74"/>
      <c r="I40" s="48"/>
      <c r="J40" s="75"/>
      <c r="L40" s="5"/>
    </row>
    <row r="41" spans="3:256">
      <c r="C41" s="46"/>
      <c r="D41" s="105"/>
      <c r="E41" s="69"/>
      <c r="F41" s="74"/>
      <c r="G41" s="49"/>
      <c r="H41" s="74"/>
      <c r="I41" s="74"/>
      <c r="J41" s="68"/>
      <c r="L41" s="23">
        <f>IF(H27=0,0,N39/H27)</f>
        <v>0</v>
      </c>
    </row>
    <row r="42" spans="3:256">
      <c r="C42" s="46"/>
      <c r="D42" s="105"/>
      <c r="E42" s="69"/>
      <c r="F42" s="74"/>
      <c r="G42" s="49"/>
      <c r="H42" s="74"/>
      <c r="I42" s="74"/>
      <c r="J42" s="68"/>
      <c r="L42" s="5"/>
    </row>
    <row r="43" spans="3:256">
      <c r="C43" s="46"/>
      <c r="D43" s="105"/>
      <c r="E43" s="69"/>
      <c r="F43" s="74"/>
      <c r="G43" s="49"/>
      <c r="H43" s="74"/>
      <c r="I43" s="66" t="s">
        <v>71</v>
      </c>
      <c r="J43" s="68">
        <f>J39+J27</f>
        <v>0</v>
      </c>
      <c r="L43" s="5"/>
    </row>
    <row r="44" spans="3:256">
      <c r="C44" s="46"/>
      <c r="D44" s="103"/>
      <c r="E44" s="59"/>
      <c r="F44" s="60"/>
      <c r="G44" s="28"/>
      <c r="H44" s="61"/>
      <c r="I44" s="28"/>
      <c r="J44" s="28"/>
      <c r="K44" s="62"/>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c r="IV44" s="21"/>
    </row>
    <row r="45" spans="3:256">
      <c r="C45" s="46"/>
      <c r="D45" s="105"/>
      <c r="E45" s="76"/>
      <c r="F45" s="74"/>
      <c r="G45" s="49"/>
      <c r="H45" s="49"/>
      <c r="I45" s="74"/>
      <c r="J45" s="70"/>
      <c r="L45" s="5"/>
    </row>
    <row r="46" spans="3:256" ht="17.100000000000001">
      <c r="C46" s="46"/>
      <c r="D46" s="112" t="s">
        <v>72</v>
      </c>
      <c r="E46" s="76"/>
      <c r="F46" s="74"/>
      <c r="G46" s="49"/>
      <c r="H46" s="74"/>
      <c r="I46" s="48"/>
      <c r="J46" s="68">
        <f>'1.6-Machine-investeringskosten'!H94</f>
        <v>0</v>
      </c>
      <c r="L46" s="5" t="e">
        <f>J46/H27</f>
        <v>#DIV/0!</v>
      </c>
    </row>
    <row r="47" spans="3:256">
      <c r="C47" s="46"/>
      <c r="D47" s="105"/>
      <c r="E47" s="76"/>
      <c r="F47" s="74"/>
      <c r="G47" s="49"/>
      <c r="H47" s="74"/>
      <c r="I47" s="48"/>
      <c r="J47" s="75"/>
    </row>
    <row r="48" spans="3:256">
      <c r="C48" s="46"/>
      <c r="D48" s="105"/>
      <c r="E48" s="76"/>
      <c r="F48" s="74"/>
      <c r="G48" s="49"/>
      <c r="I48" s="117" t="s">
        <v>73</v>
      </c>
      <c r="J48" s="68">
        <f>J43+J46</f>
        <v>0</v>
      </c>
      <c r="L48" s="25"/>
    </row>
    <row r="49" spans="1:15">
      <c r="C49" s="46"/>
      <c r="D49" s="105"/>
      <c r="E49" s="76"/>
      <c r="F49" s="74"/>
      <c r="G49" s="49"/>
      <c r="H49" s="74"/>
      <c r="I49" s="48"/>
      <c r="J49" s="75"/>
    </row>
    <row r="50" spans="1:15" s="20" customFormat="1" ht="17.100000000000001">
      <c r="A50" s="6"/>
      <c r="B50" s="31"/>
      <c r="C50" s="46"/>
      <c r="D50" s="111" t="s">
        <v>74</v>
      </c>
      <c r="E50" s="43"/>
      <c r="F50" s="43"/>
      <c r="G50" s="43"/>
      <c r="H50" s="43"/>
      <c r="I50" s="43"/>
      <c r="J50" s="44"/>
      <c r="K50" s="34"/>
    </row>
    <row r="51" spans="1:15">
      <c r="C51" s="46"/>
      <c r="D51" s="105"/>
      <c r="E51" s="48"/>
      <c r="F51" s="77"/>
      <c r="G51" s="78"/>
      <c r="H51" s="77"/>
      <c r="I51" s="48"/>
      <c r="J51" s="48"/>
    </row>
    <row r="52" spans="1:15">
      <c r="C52" s="46"/>
      <c r="D52" s="105"/>
      <c r="E52" s="48"/>
      <c r="G52" s="78"/>
      <c r="H52" s="77" t="s">
        <v>75</v>
      </c>
      <c r="I52" s="77" t="s">
        <v>76</v>
      </c>
      <c r="J52" s="48"/>
      <c r="L52" s="5"/>
    </row>
    <row r="53" spans="1:15">
      <c r="A53" s="26" t="s">
        <v>40</v>
      </c>
      <c r="C53" s="46"/>
      <c r="D53" s="106" t="s">
        <v>77</v>
      </c>
      <c r="E53" s="48"/>
      <c r="G53" s="79"/>
      <c r="H53" s="525">
        <f>'1.7-Additioneel'!$N$23</f>
        <v>486</v>
      </c>
      <c r="I53" s="526">
        <f>'1.7-Additioneel'!K18</f>
        <v>0</v>
      </c>
      <c r="J53" s="72">
        <f>I53*H53</f>
        <v>0</v>
      </c>
      <c r="L53" s="5"/>
    </row>
    <row r="54" spans="1:15">
      <c r="A54" s="26" t="s">
        <v>40</v>
      </c>
      <c r="C54" s="46"/>
      <c r="D54" s="103" t="s">
        <v>78</v>
      </c>
      <c r="E54" s="48"/>
      <c r="G54" s="79"/>
      <c r="H54" s="525">
        <f>'1.7-Additioneel'!$N$30</f>
        <v>53.06666666666667</v>
      </c>
      <c r="I54" s="526">
        <f>'1.7-Additioneel'!K19</f>
        <v>0</v>
      </c>
      <c r="J54" s="72">
        <f>I54*H54</f>
        <v>0</v>
      </c>
      <c r="L54" s="25"/>
    </row>
    <row r="55" spans="1:15">
      <c r="A55" s="26" t="s">
        <v>40</v>
      </c>
      <c r="C55" s="46"/>
      <c r="D55" s="103" t="s">
        <v>79</v>
      </c>
      <c r="E55" s="48"/>
      <c r="G55" s="79"/>
      <c r="H55" s="525">
        <f>'1.7-Additioneel'!$N$38</f>
        <v>49.866666666666667</v>
      </c>
      <c r="I55" s="526">
        <f>'1.7-Additioneel'!K20</f>
        <v>0</v>
      </c>
      <c r="J55" s="72">
        <f>I55*H55</f>
        <v>0</v>
      </c>
      <c r="L55" s="23"/>
      <c r="M55" s="4"/>
      <c r="N55" s="5"/>
      <c r="O55" s="4"/>
    </row>
    <row r="56" spans="1:15">
      <c r="A56" s="26" t="s">
        <v>40</v>
      </c>
      <c r="C56" s="46"/>
      <c r="D56" s="103" t="s">
        <v>80</v>
      </c>
      <c r="E56" s="48"/>
      <c r="G56" s="79"/>
      <c r="H56" s="525">
        <f>'1.7-Additioneel'!$N$45</f>
        <v>382.5</v>
      </c>
      <c r="I56" s="526">
        <f>'1.7-Additioneel'!K21</f>
        <v>0</v>
      </c>
      <c r="J56" s="72">
        <f>I56*H56</f>
        <v>0</v>
      </c>
      <c r="L56" s="23">
        <f>IF(H27=0,0,J48/H27)</f>
        <v>0</v>
      </c>
      <c r="M56" s="4"/>
      <c r="N56" s="5"/>
      <c r="O56" s="4"/>
    </row>
    <row r="57" spans="1:15">
      <c r="A57" s="26"/>
      <c r="C57" s="46"/>
      <c r="D57" s="103"/>
      <c r="E57" s="48"/>
      <c r="G57" s="79"/>
      <c r="H57" s="79"/>
      <c r="I57" s="79"/>
      <c r="J57" s="79"/>
      <c r="L57" s="23"/>
      <c r="M57" s="4"/>
      <c r="N57" s="5"/>
      <c r="O57" s="4"/>
    </row>
    <row r="58" spans="1:15">
      <c r="A58" s="26"/>
      <c r="C58" s="46"/>
      <c r="D58" s="103"/>
      <c r="E58" s="48"/>
      <c r="G58" s="79"/>
      <c r="H58" s="79"/>
      <c r="I58" s="79"/>
      <c r="J58" s="79"/>
      <c r="L58" s="23"/>
      <c r="M58" s="4"/>
      <c r="N58" s="5"/>
      <c r="O58" s="4"/>
    </row>
    <row r="59" spans="1:15">
      <c r="C59" s="46"/>
      <c r="D59" s="107"/>
      <c r="E59" s="48"/>
      <c r="F59" s="48"/>
      <c r="G59" s="48"/>
      <c r="H59" s="48"/>
      <c r="I59" s="48"/>
      <c r="J59" s="48"/>
    </row>
    <row r="60" spans="1:15" ht="17.100000000000001" customHeight="1">
      <c r="C60" s="46"/>
      <c r="D60" s="108"/>
      <c r="G60" s="113" t="s">
        <v>81</v>
      </c>
      <c r="H60" s="114"/>
      <c r="I60" s="115"/>
      <c r="J60" s="116">
        <f>SUM(J48:J59)</f>
        <v>0</v>
      </c>
      <c r="M60" s="4"/>
      <c r="O60" s="5"/>
    </row>
    <row r="61" spans="1:15" ht="17.100000000000001" customHeight="1">
      <c r="C61" s="46"/>
      <c r="D61" s="109"/>
      <c r="G61" s="45" t="s">
        <v>82</v>
      </c>
      <c r="I61" s="80">
        <v>0.21</v>
      </c>
      <c r="J61" s="81">
        <f>I61*J60</f>
        <v>0</v>
      </c>
    </row>
    <row r="62" spans="1:15" ht="17.100000000000001" customHeight="1">
      <c r="C62" s="46"/>
      <c r="D62" s="109"/>
      <c r="G62" s="45" t="s">
        <v>83</v>
      </c>
      <c r="J62" s="72">
        <f>J61+J60</f>
        <v>0</v>
      </c>
      <c r="M62" s="4"/>
      <c r="N62" s="5"/>
      <c r="O62" s="5"/>
    </row>
    <row r="63" spans="1:15">
      <c r="C63" s="46"/>
      <c r="D63" s="107"/>
      <c r="E63" s="48"/>
      <c r="F63" s="48"/>
      <c r="G63" s="48"/>
      <c r="H63" s="48"/>
      <c r="I63" s="48"/>
      <c r="J63" s="72"/>
    </row>
    <row r="64" spans="1:15">
      <c r="C64" s="46"/>
      <c r="D64" s="109"/>
    </row>
    <row r="65" spans="1:11" ht="17.100000000000001">
      <c r="C65" s="46"/>
      <c r="D65" s="111" t="s">
        <v>84</v>
      </c>
    </row>
    <row r="66" spans="1:11">
      <c r="A66" s="6">
        <v>368900</v>
      </c>
      <c r="C66" s="46"/>
      <c r="D66" s="109"/>
    </row>
    <row r="67" spans="1:11" s="19" customFormat="1" ht="62.1" customHeight="1">
      <c r="A67" s="6"/>
      <c r="B67" s="46"/>
      <c r="C67" s="46"/>
      <c r="D67" s="87"/>
      <c r="E67" s="87"/>
      <c r="F67" s="88" t="s">
        <v>85</v>
      </c>
      <c r="G67" s="89" t="s">
        <v>86</v>
      </c>
      <c r="H67" s="89" t="s">
        <v>87</v>
      </c>
      <c r="I67" s="89"/>
      <c r="J67" s="89" t="s">
        <v>65</v>
      </c>
      <c r="K67" s="47"/>
    </row>
    <row r="68" spans="1:11" s="19" customFormat="1">
      <c r="A68" s="6"/>
      <c r="B68" s="46"/>
      <c r="C68" s="46"/>
      <c r="D68" s="93"/>
      <c r="E68" s="91"/>
      <c r="F68" s="92"/>
      <c r="G68" s="92"/>
      <c r="H68" s="92"/>
      <c r="I68" s="92"/>
      <c r="J68" s="92"/>
      <c r="K68" s="47"/>
    </row>
    <row r="69" spans="1:11">
      <c r="C69" s="46"/>
      <c r="D69" s="109"/>
    </row>
    <row r="70" spans="1:11">
      <c r="C70" s="46"/>
      <c r="D70" s="109"/>
      <c r="F70" s="82">
        <f>SUM('1.8-Glasbewassing'!E15:E2488)</f>
        <v>0</v>
      </c>
      <c r="J70" s="83">
        <f>SUM('1.8-Glasbewassing'!X:X)</f>
        <v>0</v>
      </c>
    </row>
    <row r="71" spans="1:11">
      <c r="C71" s="46"/>
      <c r="D71" s="109"/>
      <c r="G71" s="82">
        <f>SUM('1.8-Glasbewassing'!F15:F2488)</f>
        <v>216.3</v>
      </c>
      <c r="J71" s="83">
        <f>SUM('1.8-Glasbewassing'!Y:Y)</f>
        <v>0</v>
      </c>
    </row>
    <row r="72" spans="1:11">
      <c r="C72" s="46"/>
      <c r="D72" s="109"/>
      <c r="H72" s="82">
        <f>SUM('1.8-Glasbewassing'!G15:G2488)</f>
        <v>760</v>
      </c>
      <c r="J72" s="83">
        <f>SUM('1.8-Glasbewassing'!Z:Z)</f>
        <v>0</v>
      </c>
    </row>
    <row r="73" spans="1:11">
      <c r="C73" s="46"/>
      <c r="D73" s="109"/>
    </row>
    <row r="74" spans="1:11">
      <c r="C74" s="46"/>
      <c r="D74" s="109"/>
      <c r="E74" s="3"/>
      <c r="G74" s="29" t="s">
        <v>88</v>
      </c>
      <c r="J74" s="83">
        <f>SUM('1.8-Glasbewassing'!W:W)</f>
        <v>0</v>
      </c>
    </row>
    <row r="75" spans="1:11">
      <c r="C75" s="46"/>
      <c r="D75" s="109"/>
      <c r="H75" s="82"/>
      <c r="J75" s="3"/>
    </row>
    <row r="76" spans="1:11">
      <c r="C76" s="46"/>
      <c r="D76" s="109"/>
    </row>
    <row r="77" spans="1:11">
      <c r="C77" s="46"/>
      <c r="D77" s="109"/>
    </row>
    <row r="78" spans="1:11">
      <c r="C78" s="46"/>
      <c r="D78" s="109"/>
      <c r="G78" s="113" t="s">
        <v>81</v>
      </c>
      <c r="H78" s="114"/>
      <c r="I78" s="115"/>
      <c r="J78" s="116">
        <f>SUM(J70:J77)</f>
        <v>0</v>
      </c>
    </row>
    <row r="79" spans="1:11">
      <c r="C79" s="46"/>
      <c r="D79" s="109"/>
      <c r="G79" s="45" t="s">
        <v>82</v>
      </c>
      <c r="I79" s="80">
        <v>0.21</v>
      </c>
      <c r="J79" s="81">
        <f>I79*J78</f>
        <v>0</v>
      </c>
    </row>
    <row r="80" spans="1:11">
      <c r="C80" s="46"/>
      <c r="D80" s="109"/>
      <c r="G80" s="45" t="s">
        <v>83</v>
      </c>
      <c r="J80" s="72">
        <f>J79+J78</f>
        <v>0</v>
      </c>
    </row>
    <row r="81" spans="3:11">
      <c r="C81" s="46"/>
      <c r="D81" s="109"/>
    </row>
    <row r="82" spans="3:11">
      <c r="C82" s="46"/>
      <c r="D82" s="102"/>
    </row>
    <row r="83" spans="3:11" ht="15.95" thickBot="1">
      <c r="C83" s="46"/>
      <c r="D83" s="3"/>
    </row>
    <row r="84" spans="3:11" ht="15.95" thickBot="1">
      <c r="C84" s="46"/>
      <c r="D84" s="187"/>
      <c r="E84" s="97"/>
      <c r="F84" s="97"/>
      <c r="G84" s="97"/>
      <c r="H84" s="97"/>
      <c r="I84" s="97"/>
      <c r="J84" s="97"/>
      <c r="K84" s="188"/>
    </row>
    <row r="85" spans="3:11" ht="15.95" thickBot="1">
      <c r="C85" s="46"/>
      <c r="D85" s="110" t="s">
        <v>89</v>
      </c>
      <c r="E85" s="110"/>
      <c r="F85" s="732">
        <f>J78+J60-J46</f>
        <v>0</v>
      </c>
    </row>
    <row r="86" spans="3:11" ht="15.95" thickBot="1">
      <c r="C86" s="46"/>
      <c r="D86" s="109"/>
    </row>
    <row r="87" spans="3:11" ht="20.100000000000001" customHeight="1" thickBot="1">
      <c r="C87" s="46"/>
      <c r="D87" s="110" t="s">
        <v>90</v>
      </c>
      <c r="E87" s="733"/>
      <c r="F87" s="732">
        <f>IF(J43=0,0,J43/H27)</f>
        <v>0</v>
      </c>
    </row>
    <row r="88" spans="3:11">
      <c r="C88" s="46"/>
      <c r="D88" s="109"/>
    </row>
    <row r="89" spans="3:11">
      <c r="C89" s="46"/>
      <c r="D89" s="109"/>
    </row>
    <row r="90" spans="3:11">
      <c r="C90" s="46"/>
      <c r="D90" s="109"/>
    </row>
    <row r="91" spans="3:11">
      <c r="C91" s="46"/>
      <c r="D91" s="109"/>
    </row>
    <row r="92" spans="3:11">
      <c r="C92" s="46"/>
      <c r="D92" s="3"/>
    </row>
    <row r="93" spans="3:11">
      <c r="C93" s="46"/>
      <c r="D93" s="109"/>
    </row>
    <row r="94" spans="3:11">
      <c r="C94" s="46"/>
      <c r="D94" s="109"/>
    </row>
    <row r="95" spans="3:11">
      <c r="C95" s="46"/>
      <c r="D95" s="109"/>
    </row>
    <row r="96" spans="3:11">
      <c r="C96" s="46"/>
      <c r="D96" s="109"/>
    </row>
    <row r="97" spans="3:3">
      <c r="C97" s="46"/>
    </row>
    <row r="98" spans="3:3">
      <c r="C98" s="46"/>
    </row>
    <row r="99" spans="3:3">
      <c r="C99" s="46"/>
    </row>
    <row r="100" spans="3:3">
      <c r="C100" s="46"/>
    </row>
    <row r="101" spans="3:3">
      <c r="C101" s="46"/>
    </row>
    <row r="102" spans="3:3">
      <c r="C102" s="46"/>
    </row>
    <row r="103" spans="3:3">
      <c r="C103" s="46"/>
    </row>
    <row r="104" spans="3:3">
      <c r="C104" s="46"/>
    </row>
    <row r="105" spans="3:3">
      <c r="C105" s="46"/>
    </row>
    <row r="106" spans="3:3">
      <c r="C106" s="46"/>
    </row>
    <row r="107" spans="3:3">
      <c r="C107" s="46"/>
    </row>
    <row r="108" spans="3:3">
      <c r="C108" s="46"/>
    </row>
    <row r="109" spans="3:3">
      <c r="C109" s="46"/>
    </row>
    <row r="110" spans="3:3">
      <c r="C110" s="46"/>
    </row>
    <row r="111" spans="3:3">
      <c r="C111" s="46"/>
    </row>
    <row r="112" spans="3:3">
      <c r="C112" s="46"/>
    </row>
    <row r="113" spans="3:3">
      <c r="C113" s="46"/>
    </row>
    <row r="114" spans="3:3">
      <c r="C114" s="46"/>
    </row>
    <row r="115" spans="3:3">
      <c r="C115" s="46"/>
    </row>
    <row r="116" spans="3:3">
      <c r="C116" s="46"/>
    </row>
    <row r="117" spans="3:3">
      <c r="C117" s="46"/>
    </row>
    <row r="118" spans="3:3">
      <c r="C118" s="46"/>
    </row>
    <row r="119" spans="3:3">
      <c r="C119" s="46"/>
    </row>
    <row r="120" spans="3:3">
      <c r="C120" s="46"/>
    </row>
    <row r="121" spans="3:3">
      <c r="C121" s="46"/>
    </row>
    <row r="122" spans="3:3">
      <c r="C122" s="46"/>
    </row>
    <row r="123" spans="3:3">
      <c r="C123" s="46"/>
    </row>
    <row r="124" spans="3:3">
      <c r="C124" s="46"/>
    </row>
    <row r="125" spans="3:3">
      <c r="C125" s="46"/>
    </row>
    <row r="126" spans="3:3">
      <c r="C126" s="46"/>
    </row>
    <row r="127" spans="3:3">
      <c r="C127" s="46"/>
    </row>
    <row r="128" spans="3:3">
      <c r="C128" s="46"/>
    </row>
    <row r="129" spans="3:3">
      <c r="C129" s="46"/>
    </row>
    <row r="130" spans="3:3">
      <c r="C130" s="46"/>
    </row>
    <row r="131" spans="3:3">
      <c r="C131" s="46"/>
    </row>
    <row r="132" spans="3:3">
      <c r="C132" s="46"/>
    </row>
    <row r="133" spans="3:3">
      <c r="C133" s="46"/>
    </row>
    <row r="134" spans="3:3">
      <c r="C134" s="46"/>
    </row>
    <row r="135" spans="3:3">
      <c r="C135" s="46"/>
    </row>
    <row r="136" spans="3:3">
      <c r="C136" s="46"/>
    </row>
    <row r="137" spans="3:3">
      <c r="C137" s="46"/>
    </row>
    <row r="138" spans="3:3">
      <c r="C138" s="46"/>
    </row>
    <row r="139" spans="3:3">
      <c r="C139" s="46"/>
    </row>
    <row r="140" spans="3:3">
      <c r="C140" s="46"/>
    </row>
    <row r="141" spans="3:3">
      <c r="C141" s="46"/>
    </row>
    <row r="142" spans="3:3">
      <c r="C142" s="46"/>
    </row>
    <row r="143" spans="3:3">
      <c r="C143" s="46"/>
    </row>
    <row r="144" spans="3:3">
      <c r="C144" s="46"/>
    </row>
    <row r="145" spans="3:3">
      <c r="C145" s="46"/>
    </row>
    <row r="146" spans="3:3">
      <c r="C146" s="46"/>
    </row>
    <row r="147" spans="3:3">
      <c r="C147" s="46"/>
    </row>
    <row r="148" spans="3:3">
      <c r="C148" s="46"/>
    </row>
    <row r="149" spans="3:3">
      <c r="C149" s="46"/>
    </row>
    <row r="150" spans="3:3">
      <c r="C150" s="46"/>
    </row>
    <row r="151" spans="3:3">
      <c r="C151" s="46"/>
    </row>
    <row r="152" spans="3:3">
      <c r="C152" s="46"/>
    </row>
    <row r="153" spans="3:3">
      <c r="C153" s="46"/>
    </row>
    <row r="154" spans="3:3">
      <c r="C154" s="46"/>
    </row>
    <row r="155" spans="3:3">
      <c r="C155" s="46"/>
    </row>
    <row r="156" spans="3:3">
      <c r="C156" s="46"/>
    </row>
    <row r="157" spans="3:3">
      <c r="C157" s="46"/>
    </row>
    <row r="158" spans="3:3">
      <c r="C158" s="46"/>
    </row>
    <row r="159" spans="3:3">
      <c r="C159" s="46"/>
    </row>
    <row r="160" spans="3:3">
      <c r="C160" s="46"/>
    </row>
    <row r="161" spans="3:3">
      <c r="C161" s="46"/>
    </row>
    <row r="162" spans="3:3">
      <c r="C162" s="46"/>
    </row>
    <row r="163" spans="3:3">
      <c r="C163" s="46"/>
    </row>
    <row r="164" spans="3:3">
      <c r="C164" s="46"/>
    </row>
    <row r="165" spans="3:3">
      <c r="C165" s="46"/>
    </row>
    <row r="166" spans="3:3">
      <c r="C166" s="46"/>
    </row>
    <row r="167" spans="3:3">
      <c r="C167" s="46"/>
    </row>
    <row r="168" spans="3:3">
      <c r="C168" s="46"/>
    </row>
    <row r="169" spans="3:3">
      <c r="C169" s="46"/>
    </row>
    <row r="170" spans="3:3">
      <c r="C170" s="46"/>
    </row>
    <row r="171" spans="3:3">
      <c r="C171" s="46"/>
    </row>
    <row r="172" spans="3:3">
      <c r="C172" s="46"/>
    </row>
    <row r="173" spans="3:3">
      <c r="C173" s="46"/>
    </row>
    <row r="174" spans="3:3">
      <c r="C174" s="46"/>
    </row>
    <row r="175" spans="3:3">
      <c r="C175" s="46"/>
    </row>
    <row r="176" spans="3:3">
      <c r="C176" s="46"/>
    </row>
    <row r="177" spans="3:3">
      <c r="C177" s="46"/>
    </row>
    <row r="178" spans="3:3">
      <c r="C178" s="46"/>
    </row>
    <row r="179" spans="3:3">
      <c r="C179" s="46"/>
    </row>
    <row r="180" spans="3:3">
      <c r="C180" s="46"/>
    </row>
    <row r="181" spans="3:3">
      <c r="C181" s="46"/>
    </row>
    <row r="182" spans="3:3">
      <c r="C182" s="46"/>
    </row>
    <row r="183" spans="3:3">
      <c r="C183" s="46"/>
    </row>
    <row r="184" spans="3:3">
      <c r="C184" s="46"/>
    </row>
    <row r="185" spans="3:3">
      <c r="C185" s="46"/>
    </row>
    <row r="186" spans="3:3">
      <c r="C186" s="46"/>
    </row>
    <row r="187" spans="3:3">
      <c r="C187" s="46"/>
    </row>
    <row r="188" spans="3:3">
      <c r="C188" s="46"/>
    </row>
    <row r="189" spans="3:3">
      <c r="C189" s="46"/>
    </row>
    <row r="190" spans="3:3">
      <c r="C190" s="46"/>
    </row>
    <row r="191" spans="3:3">
      <c r="C191" s="46"/>
    </row>
    <row r="192" spans="3:3">
      <c r="C192" s="46"/>
    </row>
    <row r="193" spans="3:3">
      <c r="C193" s="46"/>
    </row>
    <row r="194" spans="3:3">
      <c r="C194" s="46"/>
    </row>
    <row r="195" spans="3:3">
      <c r="C195" s="46"/>
    </row>
    <row r="196" spans="3:3">
      <c r="C196" s="46"/>
    </row>
    <row r="197" spans="3:3">
      <c r="C197" s="46"/>
    </row>
    <row r="198" spans="3:3">
      <c r="C198" s="46"/>
    </row>
    <row r="199" spans="3:3">
      <c r="C199" s="46"/>
    </row>
    <row r="200" spans="3:3">
      <c r="C200" s="46"/>
    </row>
    <row r="201" spans="3:3">
      <c r="C201" s="46"/>
    </row>
    <row r="202" spans="3:3">
      <c r="C202" s="46"/>
    </row>
    <row r="203" spans="3:3">
      <c r="C203" s="46"/>
    </row>
    <row r="204" spans="3:3">
      <c r="C204" s="46"/>
    </row>
    <row r="205" spans="3:3">
      <c r="C205" s="46"/>
    </row>
    <row r="206" spans="3:3">
      <c r="C206" s="46"/>
    </row>
    <row r="207" spans="3:3">
      <c r="C207" s="46"/>
    </row>
    <row r="208" spans="3:3">
      <c r="C208" s="46"/>
    </row>
    <row r="209" spans="3:3">
      <c r="C209" s="46"/>
    </row>
    <row r="210" spans="3:3">
      <c r="C210" s="46"/>
    </row>
    <row r="211" spans="3:3">
      <c r="C211" s="46"/>
    </row>
    <row r="212" spans="3:3">
      <c r="C212" s="46"/>
    </row>
    <row r="213" spans="3:3">
      <c r="C213" s="46"/>
    </row>
    <row r="214" spans="3:3">
      <c r="C214" s="46"/>
    </row>
    <row r="215" spans="3:3">
      <c r="C215" s="46"/>
    </row>
    <row r="216" spans="3:3">
      <c r="C216" s="46"/>
    </row>
    <row r="217" spans="3:3">
      <c r="C217" s="46"/>
    </row>
    <row r="218" spans="3:3">
      <c r="C218" s="46"/>
    </row>
    <row r="219" spans="3:3">
      <c r="C219" s="46"/>
    </row>
    <row r="220" spans="3:3">
      <c r="C220" s="46"/>
    </row>
    <row r="221" spans="3:3">
      <c r="C221" s="46"/>
    </row>
    <row r="222" spans="3:3">
      <c r="C222" s="46"/>
    </row>
    <row r="223" spans="3:3">
      <c r="C223" s="46"/>
    </row>
    <row r="224" spans="3:3">
      <c r="C224" s="46"/>
    </row>
    <row r="225" spans="3:3">
      <c r="C225" s="46"/>
    </row>
    <row r="226" spans="3:3">
      <c r="C226" s="46"/>
    </row>
    <row r="227" spans="3:3">
      <c r="C227" s="46"/>
    </row>
    <row r="228" spans="3:3">
      <c r="C228" s="46"/>
    </row>
    <row r="229" spans="3:3">
      <c r="C229" s="46"/>
    </row>
    <row r="230" spans="3:3">
      <c r="C230" s="46"/>
    </row>
    <row r="231" spans="3:3">
      <c r="C231" s="46"/>
    </row>
    <row r="232" spans="3:3">
      <c r="C232" s="46"/>
    </row>
    <row r="233" spans="3:3">
      <c r="C233" s="46"/>
    </row>
    <row r="234" spans="3:3">
      <c r="C234" s="46"/>
    </row>
    <row r="235" spans="3:3">
      <c r="C235" s="46"/>
    </row>
    <row r="236" spans="3:3">
      <c r="C236" s="46"/>
    </row>
    <row r="237" spans="3:3">
      <c r="C237" s="46"/>
    </row>
    <row r="238" spans="3:3">
      <c r="C238" s="46"/>
    </row>
    <row r="239" spans="3:3">
      <c r="C239" s="46"/>
    </row>
    <row r="240" spans="3:3">
      <c r="C240" s="46"/>
    </row>
    <row r="241" spans="3:3">
      <c r="C241" s="46"/>
    </row>
    <row r="242" spans="3:3">
      <c r="C242" s="46"/>
    </row>
    <row r="243" spans="3:3">
      <c r="C243" s="46"/>
    </row>
    <row r="244" spans="3:3">
      <c r="C244" s="46"/>
    </row>
    <row r="245" spans="3:3">
      <c r="C245" s="46"/>
    </row>
    <row r="246" spans="3:3">
      <c r="C246" s="46"/>
    </row>
    <row r="247" spans="3:3">
      <c r="C247" s="46"/>
    </row>
    <row r="248" spans="3:3">
      <c r="C248" s="46"/>
    </row>
    <row r="249" spans="3:3">
      <c r="C249" s="46"/>
    </row>
    <row r="250" spans="3:3">
      <c r="C250" s="46"/>
    </row>
    <row r="251" spans="3:3">
      <c r="C251" s="46"/>
    </row>
    <row r="252" spans="3:3">
      <c r="C252" s="46"/>
    </row>
    <row r="253" spans="3:3">
      <c r="C253" s="46"/>
    </row>
    <row r="254" spans="3:3">
      <c r="C254" s="46"/>
    </row>
    <row r="255" spans="3:3">
      <c r="C255" s="46"/>
    </row>
    <row r="256" spans="3:3">
      <c r="C256" s="46"/>
    </row>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row r="3377"/>
    <row r="3378"/>
    <row r="3379"/>
    <row r="3380"/>
    <row r="3381"/>
    <row r="3382"/>
    <row r="3383"/>
    <row r="3384"/>
    <row r="3385"/>
    <row r="3386"/>
    <row r="3387"/>
    <row r="3388"/>
    <row r="3389"/>
    <row r="3390"/>
    <row r="3391"/>
    <row r="3392"/>
    <row r="3393"/>
    <row r="3394"/>
    <row r="3395"/>
    <row r="3396"/>
    <row r="3397"/>
    <row r="3398"/>
    <row r="3399"/>
    <row r="3400"/>
    <row r="3401"/>
    <row r="3402"/>
    <row r="3403"/>
    <row r="3404"/>
    <row r="3405"/>
    <row r="3406"/>
    <row r="3407"/>
    <row r="3408"/>
    <row r="3409"/>
    <row r="3410"/>
    <row r="3411"/>
    <row r="3412"/>
    <row r="3413"/>
    <row r="3414"/>
    <row r="3415"/>
    <row r="3416"/>
    <row r="3417"/>
    <row r="3418"/>
    <row r="3419"/>
    <row r="3420"/>
    <row r="3421"/>
    <row r="3422"/>
    <row r="3423"/>
    <row r="3424"/>
    <row r="3425"/>
    <row r="3426"/>
    <row r="3427"/>
    <row r="3428"/>
    <row r="3429"/>
    <row r="3430"/>
    <row r="3431"/>
    <row r="3432"/>
    <row r="3433"/>
    <row r="3434"/>
    <row r="3435"/>
    <row r="3436"/>
    <row r="3437"/>
    <row r="3438"/>
    <row r="3439"/>
    <row r="3440"/>
    <row r="3441"/>
    <row r="3442"/>
    <row r="3443"/>
    <row r="3444"/>
    <row r="3445"/>
    <row r="3446"/>
    <row r="3447"/>
    <row r="3448"/>
    <row r="3449"/>
    <row r="3450"/>
    <row r="3451"/>
    <row r="3452"/>
    <row r="3453"/>
    <row r="3454"/>
    <row r="3455"/>
    <row r="3456"/>
    <row r="3457"/>
    <row r="3458"/>
    <row r="3459"/>
    <row r="3460"/>
    <row r="3461"/>
    <row r="3462"/>
    <row r="3463"/>
    <row r="3464"/>
    <row r="3465"/>
    <row r="3466"/>
    <row r="3467"/>
    <row r="3468"/>
    <row r="3469"/>
    <row r="3470"/>
    <row r="3471"/>
    <row r="3472"/>
    <row r="3473"/>
    <row r="3474"/>
    <row r="3475"/>
    <row r="3476"/>
    <row r="3477"/>
    <row r="3478"/>
    <row r="3479"/>
    <row r="3480"/>
    <row r="3481"/>
    <row r="3482"/>
    <row r="3483"/>
    <row r="3484"/>
    <row r="3485"/>
    <row r="3486"/>
    <row r="3487"/>
    <row r="3488"/>
    <row r="3489"/>
    <row r="3490"/>
    <row r="3491"/>
    <row r="3492"/>
    <row r="3493"/>
    <row r="3494"/>
    <row r="3495"/>
    <row r="3496"/>
    <row r="3497"/>
    <row r="3498"/>
    <row r="3499"/>
    <row r="3500"/>
    <row r="3501"/>
    <row r="3502"/>
    <row r="3503"/>
    <row r="3504"/>
    <row r="3505"/>
    <row r="3506"/>
    <row r="3507"/>
    <row r="3508"/>
    <row r="3509"/>
    <row r="3510"/>
    <row r="3511"/>
    <row r="3512"/>
    <row r="3513"/>
    <row r="3514"/>
    <row r="3515"/>
    <row r="3516"/>
    <row r="3517"/>
    <row r="3518"/>
    <row r="3519"/>
    <row r="3520"/>
    <row r="3521"/>
    <row r="3522"/>
    <row r="3523"/>
    <row r="3524"/>
    <row r="3525"/>
    <row r="3526"/>
    <row r="3527"/>
    <row r="3528"/>
    <row r="3529"/>
    <row r="3530"/>
    <row r="3531"/>
    <row r="3532"/>
    <row r="3533"/>
    <row r="3534"/>
    <row r="3535"/>
    <row r="3536"/>
    <row r="3537"/>
    <row r="3538"/>
    <row r="3539"/>
    <row r="3540"/>
    <row r="3541"/>
    <row r="3542"/>
    <row r="3543"/>
    <row r="3544"/>
    <row r="3545"/>
    <row r="3546"/>
    <row r="3547"/>
    <row r="3548"/>
    <row r="3549"/>
    <row r="3550"/>
    <row r="3551"/>
    <row r="3552"/>
    <row r="3553"/>
    <row r="3554"/>
    <row r="3555"/>
    <row r="3556"/>
    <row r="3557"/>
    <row r="3558"/>
    <row r="3559"/>
    <row r="3560"/>
    <row r="3561"/>
    <row r="3562"/>
    <row r="3563"/>
    <row r="3564"/>
    <row r="3565"/>
    <row r="3566"/>
    <row r="3567"/>
    <row r="3568"/>
    <row r="3569"/>
    <row r="3570"/>
    <row r="3571"/>
    <row r="3572"/>
    <row r="3573"/>
    <row r="3574"/>
    <row r="3575"/>
    <row r="3576"/>
    <row r="3577"/>
    <row r="3578"/>
    <row r="3579"/>
    <row r="3580"/>
    <row r="3581"/>
    <row r="3582"/>
    <row r="3583"/>
    <row r="3584"/>
    <row r="3585"/>
    <row r="3586"/>
    <row r="3587"/>
    <row r="3588"/>
    <row r="3589"/>
    <row r="3590"/>
    <row r="3591"/>
    <row r="3592"/>
    <row r="3593"/>
    <row r="3594"/>
    <row r="3595"/>
    <row r="3596"/>
    <row r="3597"/>
    <row r="3598"/>
    <row r="3599"/>
    <row r="3600"/>
    <row r="3601"/>
    <row r="3602"/>
    <row r="3603"/>
    <row r="3604"/>
    <row r="3605"/>
    <row r="3606"/>
    <row r="3607"/>
    <row r="3608"/>
    <row r="3609"/>
    <row r="3610"/>
    <row r="3611"/>
    <row r="3612"/>
    <row r="3613"/>
    <row r="3614"/>
    <row r="3615"/>
    <row r="3616"/>
    <row r="3617"/>
    <row r="3618"/>
    <row r="3619"/>
    <row r="3620"/>
    <row r="3621"/>
    <row r="3622"/>
    <row r="3623"/>
    <row r="3624"/>
    <row r="3625"/>
    <row r="3626"/>
    <row r="3627"/>
    <row r="3628"/>
    <row r="3629"/>
    <row r="3630"/>
    <row r="3631"/>
    <row r="3632"/>
    <row r="3633"/>
    <row r="3634"/>
    <row r="3635"/>
    <row r="3636"/>
    <row r="3637"/>
    <row r="3638"/>
    <row r="3639"/>
    <row r="3640"/>
    <row r="3641"/>
    <row r="3642"/>
    <row r="3643"/>
    <row r="3644"/>
    <row r="3645"/>
    <row r="3646"/>
    <row r="3647"/>
    <row r="3648"/>
    <row r="3649"/>
    <row r="3650"/>
    <row r="3651"/>
    <row r="3652"/>
    <row r="3653"/>
    <row r="3654"/>
    <row r="3655"/>
    <row r="3656"/>
    <row r="3657"/>
    <row r="3658"/>
    <row r="3659"/>
    <row r="3660"/>
    <row r="3661"/>
    <row r="3662"/>
    <row r="3663"/>
    <row r="3664"/>
    <row r="3665"/>
    <row r="3666"/>
    <row r="3667"/>
    <row r="3668"/>
    <row r="3669"/>
    <row r="3670"/>
    <row r="3671"/>
    <row r="3672"/>
    <row r="3673"/>
    <row r="3674"/>
    <row r="3675"/>
    <row r="3676"/>
    <row r="3677"/>
    <row r="3678"/>
    <row r="3679"/>
    <row r="3680"/>
    <row r="3681"/>
    <row r="3682"/>
    <row r="3683"/>
    <row r="3684"/>
    <row r="3685"/>
    <row r="3686"/>
    <row r="3687"/>
    <row r="3688"/>
    <row r="3689"/>
    <row r="3690"/>
    <row r="3691"/>
    <row r="3692"/>
    <row r="3693"/>
    <row r="3694"/>
    <row r="3695"/>
    <row r="3696"/>
    <row r="3697"/>
    <row r="3698"/>
    <row r="3699"/>
    <row r="3700"/>
    <row r="3701"/>
    <row r="3702"/>
    <row r="3703"/>
    <row r="3704"/>
    <row r="3705"/>
    <row r="3706"/>
    <row r="3707"/>
    <row r="3708"/>
    <row r="3709"/>
    <row r="3710"/>
    <row r="3711"/>
    <row r="3712"/>
    <row r="3713"/>
    <row r="3714"/>
    <row r="3715"/>
    <row r="3716"/>
    <row r="3717"/>
    <row r="3718"/>
    <row r="3719"/>
    <row r="3720"/>
    <row r="3721"/>
    <row r="3722"/>
    <row r="3723"/>
    <row r="3724"/>
    <row r="3725"/>
    <row r="3726"/>
    <row r="3727"/>
    <row r="3728"/>
    <row r="3729"/>
    <row r="3730"/>
    <row r="3731"/>
    <row r="3732"/>
    <row r="3733"/>
    <row r="3734"/>
    <row r="3735"/>
    <row r="3736"/>
    <row r="3737"/>
    <row r="3738"/>
    <row r="3739"/>
    <row r="3740"/>
    <row r="3741"/>
    <row r="3742"/>
    <row r="3743"/>
    <row r="3744"/>
    <row r="3745"/>
    <row r="3746"/>
    <row r="3747"/>
    <row r="3748"/>
    <row r="3749"/>
    <row r="3750"/>
    <row r="3751"/>
    <row r="3752"/>
    <row r="3753"/>
    <row r="3754"/>
    <row r="3755"/>
    <row r="3756"/>
    <row r="3757"/>
    <row r="3758"/>
    <row r="3759"/>
    <row r="3760"/>
    <row r="3761"/>
    <row r="3762"/>
    <row r="3763"/>
    <row r="3764"/>
    <row r="3765"/>
    <row r="3766"/>
    <row r="3767"/>
    <row r="3768"/>
    <row r="3769"/>
    <row r="3770"/>
    <row r="3771"/>
    <row r="3772"/>
    <row r="3773"/>
    <row r="3774"/>
    <row r="3775"/>
    <row r="3776"/>
    <row r="3777"/>
    <row r="3778"/>
    <row r="3779"/>
    <row r="3780"/>
    <row r="3781"/>
    <row r="3782"/>
    <row r="3783"/>
    <row r="3784"/>
    <row r="3785"/>
    <row r="3786"/>
    <row r="3787"/>
    <row r="3788"/>
    <row r="3789"/>
    <row r="3790"/>
    <row r="3791"/>
    <row r="3792"/>
    <row r="3793"/>
    <row r="3794"/>
    <row r="3795"/>
    <row r="3796"/>
    <row r="3797"/>
    <row r="3798"/>
    <row r="3799"/>
    <row r="3800"/>
    <row r="3801"/>
    <row r="3802"/>
    <row r="3803"/>
    <row r="3804"/>
    <row r="3805"/>
    <row r="3806"/>
    <row r="3807"/>
    <row r="3808"/>
    <row r="3809"/>
    <row r="3810"/>
    <row r="3811"/>
    <row r="3812"/>
    <row r="3813"/>
    <row r="3814"/>
    <row r="3815"/>
    <row r="3816"/>
    <row r="3817"/>
    <row r="3818"/>
    <row r="3819"/>
    <row r="3820"/>
    <row r="3821"/>
    <row r="3822"/>
    <row r="3823"/>
    <row r="3824"/>
    <row r="3825"/>
    <row r="3826"/>
    <row r="3827"/>
    <row r="3828"/>
    <row r="3829"/>
    <row r="3830"/>
    <row r="3831"/>
    <row r="3832"/>
    <row r="3833"/>
    <row r="3834"/>
    <row r="3835"/>
    <row r="3836"/>
    <row r="3837"/>
    <row r="3838"/>
    <row r="3839"/>
    <row r="3840"/>
    <row r="3841"/>
    <row r="3842"/>
    <row r="3843"/>
    <row r="3844"/>
    <row r="3845"/>
    <row r="3846"/>
    <row r="3847"/>
    <row r="3848"/>
    <row r="3849"/>
    <row r="3850"/>
    <row r="3851"/>
    <row r="3852"/>
    <row r="3853"/>
    <row r="3854"/>
    <row r="3855"/>
    <row r="3856"/>
    <row r="3857"/>
    <row r="3858"/>
    <row r="3859"/>
    <row r="3860"/>
    <row r="3861"/>
    <row r="3862"/>
    <row r="3863"/>
    <row r="3864"/>
    <row r="3865"/>
    <row r="3866"/>
    <row r="3867"/>
    <row r="3868"/>
    <row r="3869"/>
    <row r="3870"/>
    <row r="3871"/>
    <row r="3872"/>
    <row r="3873"/>
    <row r="3874"/>
    <row r="3875"/>
    <row r="3876"/>
    <row r="3877"/>
    <row r="3878"/>
    <row r="3879"/>
    <row r="3880"/>
    <row r="3881"/>
    <row r="3882"/>
    <row r="3883"/>
    <row r="3884"/>
    <row r="3885"/>
    <row r="3886"/>
    <row r="3887"/>
    <row r="3888"/>
    <row r="3889"/>
    <row r="3890"/>
    <row r="3891"/>
    <row r="3892"/>
    <row r="3893"/>
    <row r="3894"/>
    <row r="3895"/>
    <row r="3896"/>
    <row r="3897"/>
    <row r="3898"/>
    <row r="3899"/>
    <row r="3900"/>
    <row r="3901"/>
    <row r="3902"/>
    <row r="3903"/>
    <row r="3904"/>
    <row r="3905"/>
    <row r="3906"/>
    <row r="3907"/>
    <row r="3908"/>
    <row r="3909"/>
    <row r="3910"/>
    <row r="3911"/>
    <row r="3912"/>
    <row r="3913"/>
    <row r="3914"/>
    <row r="3915"/>
    <row r="3916"/>
    <row r="3917"/>
    <row r="3918"/>
    <row r="3919"/>
    <row r="3920"/>
    <row r="3921"/>
    <row r="3922"/>
    <row r="3923"/>
    <row r="3924"/>
    <row r="3925"/>
    <row r="3926"/>
    <row r="3927"/>
    <row r="3928"/>
    <row r="3929"/>
    <row r="3930"/>
    <row r="3931"/>
    <row r="3932"/>
    <row r="3933"/>
    <row r="3934"/>
    <row r="3935"/>
    <row r="3936"/>
    <row r="3937"/>
    <row r="3938"/>
    <row r="3939"/>
    <row r="3940"/>
    <row r="3941"/>
    <row r="3942"/>
    <row r="3943"/>
    <row r="3944"/>
    <row r="3945"/>
    <row r="3946"/>
    <row r="3947"/>
    <row r="3948"/>
    <row r="3949"/>
    <row r="3950"/>
    <row r="3951"/>
    <row r="3952"/>
    <row r="3953"/>
    <row r="3954"/>
    <row r="3955"/>
    <row r="3956"/>
    <row r="3957"/>
    <row r="3958"/>
    <row r="3959"/>
    <row r="3960"/>
    <row r="3961"/>
    <row r="3962"/>
    <row r="3963"/>
    <row r="3964"/>
    <row r="3965"/>
    <row r="3966"/>
    <row r="3967"/>
    <row r="3968"/>
    <row r="3969"/>
    <row r="3970"/>
    <row r="3971"/>
    <row r="3972"/>
    <row r="3973"/>
    <row r="3974"/>
    <row r="3975"/>
    <row r="3976"/>
    <row r="3977"/>
    <row r="3978"/>
    <row r="3979"/>
    <row r="3980"/>
    <row r="3981"/>
    <row r="3982"/>
    <row r="3983"/>
    <row r="3984"/>
    <row r="3985"/>
    <row r="3986"/>
    <row r="3987"/>
    <row r="3988"/>
    <row r="3989"/>
    <row r="3990"/>
    <row r="3991"/>
    <row r="3992"/>
    <row r="3993"/>
    <row r="3994"/>
    <row r="3995"/>
    <row r="3996"/>
    <row r="3997"/>
    <row r="3998"/>
    <row r="3999"/>
    <row r="4000"/>
    <row r="4001"/>
    <row r="4002"/>
    <row r="4003"/>
    <row r="4004"/>
    <row r="4005"/>
    <row r="4006"/>
    <row r="4007"/>
    <row r="4008"/>
    <row r="4009"/>
    <row r="4010"/>
    <row r="4011"/>
    <row r="4012"/>
    <row r="4013"/>
    <row r="4014"/>
    <row r="4015"/>
    <row r="4016"/>
    <row r="4017"/>
    <row r="4018"/>
    <row r="4019"/>
    <row r="4020"/>
    <row r="4021"/>
    <row r="4022"/>
    <row r="4023"/>
    <row r="4024"/>
    <row r="4025"/>
    <row r="4026"/>
    <row r="4027"/>
    <row r="4028"/>
    <row r="4029"/>
    <row r="4030"/>
    <row r="4031"/>
    <row r="4032"/>
    <row r="4033"/>
    <row r="4034"/>
    <row r="4035"/>
    <row r="4036"/>
    <row r="4037"/>
    <row r="4038"/>
    <row r="4039"/>
    <row r="4040"/>
    <row r="4041"/>
    <row r="4042"/>
    <row r="4043"/>
    <row r="4044"/>
    <row r="4045"/>
    <row r="4046"/>
    <row r="4047"/>
    <row r="4048"/>
    <row r="4049"/>
    <row r="4050"/>
    <row r="4051"/>
    <row r="4052"/>
    <row r="4053"/>
    <row r="4054"/>
    <row r="4055"/>
    <row r="4056"/>
    <row r="4057"/>
    <row r="4058"/>
    <row r="4059"/>
    <row r="4060"/>
    <row r="4061"/>
    <row r="4062"/>
    <row r="4063"/>
    <row r="4064"/>
    <row r="4065"/>
    <row r="4066"/>
    <row r="4067"/>
    <row r="4068"/>
    <row r="4069"/>
    <row r="4070"/>
    <row r="4071"/>
    <row r="4072"/>
    <row r="4073"/>
    <row r="4074"/>
    <row r="4075"/>
    <row r="4076"/>
    <row r="4077"/>
    <row r="4078"/>
    <row r="4079"/>
    <row r="4080"/>
    <row r="4081"/>
    <row r="4082"/>
    <row r="4083"/>
    <row r="4084"/>
    <row r="4085"/>
    <row r="4086"/>
    <row r="4087"/>
    <row r="4088"/>
    <row r="4089"/>
    <row r="4090"/>
    <row r="4091"/>
    <row r="4092"/>
    <row r="4093"/>
    <row r="4094"/>
    <row r="4095"/>
    <row r="4096"/>
    <row r="4097"/>
    <row r="4098"/>
    <row r="4099"/>
    <row r="4100"/>
    <row r="4101"/>
    <row r="4102"/>
    <row r="4103"/>
    <row r="4104"/>
    <row r="4105"/>
    <row r="4106"/>
    <row r="4107"/>
    <row r="4108"/>
    <row r="4109"/>
    <row r="4110"/>
    <row r="4111"/>
    <row r="4112"/>
    <row r="4113"/>
    <row r="4114"/>
    <row r="4115"/>
    <row r="4116"/>
    <row r="4117"/>
    <row r="4118"/>
    <row r="4119"/>
    <row r="4120"/>
    <row r="4121"/>
    <row r="4122"/>
    <row r="4123"/>
    <row r="4124"/>
    <row r="4125"/>
    <row r="4126"/>
    <row r="4127"/>
    <row r="4128"/>
    <row r="4129"/>
    <row r="4130"/>
    <row r="4131"/>
    <row r="4132"/>
    <row r="4133"/>
    <row r="4134"/>
    <row r="4135"/>
    <row r="4136"/>
    <row r="4137"/>
    <row r="4138"/>
    <row r="4139"/>
    <row r="4140"/>
    <row r="4141"/>
    <row r="4142"/>
    <row r="4143"/>
    <row r="4144"/>
    <row r="4145"/>
    <row r="4146"/>
    <row r="4147"/>
    <row r="4148"/>
    <row r="4149"/>
    <row r="4150"/>
    <row r="4151"/>
    <row r="4152"/>
    <row r="4153"/>
    <row r="4154"/>
    <row r="4155"/>
    <row r="4156"/>
    <row r="4157"/>
    <row r="4158"/>
    <row r="4159"/>
    <row r="4160"/>
    <row r="4161"/>
    <row r="4162"/>
    <row r="4163"/>
    <row r="4164"/>
    <row r="4165"/>
    <row r="4166"/>
    <row r="4167"/>
    <row r="4168"/>
    <row r="4169"/>
    <row r="4170"/>
    <row r="4171"/>
    <row r="4172"/>
    <row r="4173"/>
    <row r="4174"/>
    <row r="4175"/>
    <row r="4176"/>
    <row r="4177"/>
    <row r="4178"/>
    <row r="4179"/>
    <row r="4180"/>
    <row r="4181"/>
    <row r="4182"/>
    <row r="4183"/>
    <row r="4184"/>
    <row r="4185"/>
    <row r="4186"/>
    <row r="4187"/>
    <row r="4188"/>
    <row r="4189"/>
    <row r="4190"/>
    <row r="4191"/>
    <row r="4192"/>
    <row r="4193"/>
    <row r="4194"/>
    <row r="4195"/>
    <row r="4196"/>
    <row r="4197"/>
    <row r="4198"/>
    <row r="4199"/>
    <row r="4200"/>
    <row r="4201"/>
    <row r="4202"/>
    <row r="4203"/>
    <row r="4204"/>
    <row r="4205"/>
    <row r="4206"/>
    <row r="4207"/>
    <row r="4208"/>
    <row r="4209"/>
    <row r="4210"/>
    <row r="4211"/>
    <row r="4212"/>
    <row r="4213"/>
    <row r="4214"/>
    <row r="4215"/>
    <row r="4216"/>
    <row r="4217"/>
    <row r="4218"/>
    <row r="4219"/>
    <row r="4220"/>
    <row r="4221"/>
    <row r="4222"/>
    <row r="4223"/>
    <row r="4224"/>
    <row r="4225"/>
    <row r="4226"/>
    <row r="4227"/>
    <row r="4228"/>
    <row r="4229"/>
    <row r="4230"/>
    <row r="4231"/>
    <row r="4232"/>
    <row r="4233"/>
    <row r="4234"/>
    <row r="4235"/>
    <row r="4236"/>
    <row r="4237"/>
    <row r="4238"/>
    <row r="4239"/>
    <row r="4240"/>
    <row r="4241"/>
    <row r="4242"/>
    <row r="4243"/>
    <row r="4244"/>
    <row r="4245"/>
    <row r="4246"/>
    <row r="4247"/>
    <row r="4248"/>
    <row r="4249"/>
    <row r="4250"/>
    <row r="4251"/>
    <row r="4252"/>
    <row r="4253"/>
    <row r="4254"/>
    <row r="4255"/>
    <row r="4256"/>
    <row r="4257"/>
    <row r="4258"/>
    <row r="4259"/>
    <row r="4260"/>
    <row r="4261"/>
    <row r="4262"/>
    <row r="4263"/>
    <row r="4264"/>
    <row r="4265"/>
    <row r="4266"/>
    <row r="4267"/>
    <row r="4268"/>
    <row r="4269"/>
    <row r="4270"/>
    <row r="4271"/>
    <row r="4272"/>
    <row r="4273"/>
    <row r="4274"/>
    <row r="4275"/>
    <row r="4276"/>
    <row r="4277"/>
    <row r="4278"/>
    <row r="4279"/>
    <row r="4280"/>
    <row r="4281"/>
    <row r="4282"/>
    <row r="4283"/>
    <row r="4284"/>
    <row r="4285"/>
    <row r="4286"/>
    <row r="4287"/>
    <row r="4288"/>
    <row r="4289"/>
    <row r="4290"/>
    <row r="4291"/>
    <row r="4292"/>
    <row r="4293"/>
    <row r="4294"/>
    <row r="4295"/>
    <row r="4296"/>
    <row r="4297"/>
    <row r="4298"/>
    <row r="4299"/>
    <row r="4300"/>
    <row r="4301"/>
    <row r="4302"/>
    <row r="4303"/>
    <row r="4304"/>
    <row r="4305"/>
    <row r="4306"/>
    <row r="4307"/>
    <row r="4308"/>
    <row r="4309"/>
    <row r="4310"/>
    <row r="4311"/>
    <row r="4312"/>
    <row r="4313"/>
    <row r="4314"/>
    <row r="4315"/>
    <row r="4316"/>
    <row r="4317"/>
    <row r="4318"/>
    <row r="4319"/>
    <row r="4320"/>
    <row r="4321"/>
    <row r="4322"/>
    <row r="4323"/>
    <row r="4324"/>
    <row r="4325"/>
    <row r="4326"/>
    <row r="4327"/>
    <row r="4328"/>
    <row r="4329"/>
    <row r="4330"/>
    <row r="4331"/>
    <row r="4332"/>
    <row r="4333"/>
    <row r="4334"/>
    <row r="4335"/>
    <row r="4336"/>
    <row r="4337"/>
    <row r="4338"/>
    <row r="4339"/>
    <row r="4340"/>
    <row r="4341"/>
    <row r="4342"/>
    <row r="4343"/>
    <row r="4344"/>
    <row r="4345"/>
    <row r="4346"/>
    <row r="4347"/>
    <row r="4348"/>
    <row r="4349"/>
    <row r="4350"/>
    <row r="4351"/>
    <row r="4352"/>
    <row r="4353"/>
    <row r="4354"/>
    <row r="4355"/>
    <row r="4356"/>
    <row r="4357"/>
    <row r="4358"/>
    <row r="4359"/>
    <row r="4360"/>
    <row r="4361"/>
    <row r="4362"/>
    <row r="4363"/>
    <row r="4364"/>
    <row r="4365"/>
    <row r="4366"/>
    <row r="4367"/>
    <row r="4368"/>
    <row r="4369"/>
    <row r="4370"/>
    <row r="4371"/>
    <row r="4372"/>
    <row r="4373"/>
    <row r="4374"/>
    <row r="4375"/>
    <row r="4376"/>
    <row r="4377"/>
    <row r="4378"/>
    <row r="4379"/>
    <row r="4380"/>
    <row r="4381"/>
    <row r="4382"/>
    <row r="4383"/>
    <row r="4384"/>
    <row r="4385"/>
    <row r="4386"/>
    <row r="4387"/>
    <row r="4388"/>
    <row r="4389"/>
    <row r="4390"/>
    <row r="4391"/>
    <row r="4392"/>
    <row r="4393"/>
    <row r="4394"/>
    <row r="4395"/>
    <row r="4396"/>
    <row r="4397"/>
    <row r="4398"/>
    <row r="4399"/>
    <row r="4400"/>
    <row r="4401"/>
    <row r="4402"/>
    <row r="4403"/>
    <row r="4404"/>
    <row r="4405"/>
    <row r="4406"/>
    <row r="4407"/>
    <row r="4408"/>
    <row r="4409"/>
    <row r="4410"/>
    <row r="4411"/>
    <row r="4412"/>
    <row r="4413"/>
    <row r="4414"/>
    <row r="4415"/>
    <row r="4416"/>
    <row r="4417"/>
    <row r="4418"/>
    <row r="4419"/>
    <row r="4420"/>
    <row r="4421"/>
    <row r="4422"/>
    <row r="4423"/>
    <row r="4424"/>
    <row r="4425"/>
    <row r="4426"/>
    <row r="4427"/>
    <row r="4428"/>
    <row r="4429"/>
    <row r="4430"/>
    <row r="4431"/>
    <row r="4432"/>
    <row r="4433"/>
    <row r="4434"/>
    <row r="4435"/>
    <row r="4436"/>
    <row r="4437"/>
    <row r="4438"/>
    <row r="4439"/>
    <row r="4440"/>
    <row r="4441"/>
    <row r="4442"/>
    <row r="4443"/>
    <row r="4444"/>
    <row r="4445"/>
    <row r="4446"/>
    <row r="4447"/>
    <row r="4448"/>
    <row r="4449"/>
    <row r="4450"/>
    <row r="4451"/>
    <row r="4452"/>
    <row r="4453"/>
    <row r="4454"/>
    <row r="4455"/>
    <row r="4456"/>
    <row r="4457"/>
    <row r="4458"/>
    <row r="4459"/>
    <row r="4460"/>
    <row r="4461"/>
    <row r="4462"/>
    <row r="4463"/>
    <row r="4464"/>
    <row r="4465"/>
    <row r="4466"/>
    <row r="4467"/>
    <row r="4468"/>
    <row r="4469"/>
    <row r="4470"/>
    <row r="4471"/>
    <row r="4472"/>
    <row r="4473"/>
    <row r="4474"/>
    <row r="4475"/>
    <row r="4476"/>
    <row r="4477"/>
    <row r="4478"/>
    <row r="4479"/>
    <row r="4480"/>
    <row r="4481"/>
    <row r="4482"/>
    <row r="4483"/>
    <row r="4484"/>
    <row r="4485"/>
    <row r="4486"/>
    <row r="4487"/>
    <row r="4488"/>
    <row r="4489"/>
    <row r="4490"/>
    <row r="4491"/>
    <row r="4492"/>
    <row r="4493"/>
    <row r="4494"/>
    <row r="4495"/>
    <row r="4496"/>
    <row r="4497"/>
    <row r="4498"/>
    <row r="4499"/>
    <row r="4500"/>
    <row r="4501"/>
    <row r="4502"/>
    <row r="4503"/>
    <row r="4504"/>
    <row r="4505"/>
    <row r="4506"/>
    <row r="4507"/>
    <row r="4508"/>
    <row r="4509"/>
    <row r="4510"/>
    <row r="4511"/>
    <row r="4512"/>
    <row r="4513"/>
    <row r="4514"/>
    <row r="4515"/>
    <row r="4516"/>
    <row r="4517"/>
    <row r="4518"/>
    <row r="4519"/>
    <row r="4520"/>
    <row r="4521"/>
    <row r="4522"/>
    <row r="4523"/>
    <row r="4524"/>
    <row r="4525"/>
    <row r="4526"/>
    <row r="4527"/>
    <row r="4528"/>
    <row r="4529"/>
    <row r="4530"/>
    <row r="4531"/>
    <row r="4532"/>
    <row r="4533"/>
    <row r="4534"/>
    <row r="4535"/>
    <row r="4536"/>
    <row r="4537"/>
    <row r="4538"/>
    <row r="4539"/>
    <row r="4540"/>
    <row r="4541"/>
    <row r="4542"/>
    <row r="4543"/>
    <row r="4544"/>
    <row r="4545"/>
    <row r="4546"/>
    <row r="4547"/>
    <row r="4548"/>
    <row r="4549"/>
    <row r="4550"/>
    <row r="4551"/>
    <row r="4552"/>
    <row r="4553"/>
    <row r="4554"/>
    <row r="4555"/>
    <row r="4556"/>
    <row r="4557"/>
    <row r="4558"/>
    <row r="4559"/>
    <row r="4560"/>
    <row r="4561"/>
    <row r="4562"/>
    <row r="4563"/>
    <row r="4564"/>
    <row r="4565"/>
    <row r="4566"/>
    <row r="4567"/>
    <row r="4568"/>
    <row r="4569"/>
    <row r="4570"/>
    <row r="4571"/>
    <row r="4572"/>
    <row r="4573"/>
    <row r="4574"/>
    <row r="4575"/>
    <row r="4576"/>
    <row r="4577"/>
    <row r="4578"/>
    <row r="4579"/>
    <row r="4580"/>
    <row r="4581"/>
    <row r="4582"/>
    <row r="4583"/>
    <row r="4584"/>
    <row r="4585"/>
    <row r="4586"/>
    <row r="4587"/>
    <row r="4588"/>
    <row r="4589"/>
    <row r="4590"/>
    <row r="4591"/>
    <row r="4592"/>
    <row r="4593"/>
    <row r="4594"/>
    <row r="4595"/>
    <row r="4596"/>
    <row r="4597"/>
    <row r="4598"/>
    <row r="4599"/>
    <row r="4600"/>
    <row r="4601"/>
    <row r="4602"/>
    <row r="4603"/>
    <row r="4604"/>
    <row r="4605"/>
    <row r="4606"/>
    <row r="4607"/>
    <row r="4608"/>
    <row r="4609"/>
    <row r="4610"/>
    <row r="4611"/>
    <row r="4612"/>
    <row r="4613"/>
    <row r="4614"/>
    <row r="4615"/>
    <row r="4616"/>
    <row r="4617"/>
    <row r="4618"/>
    <row r="4619"/>
    <row r="4620"/>
    <row r="4621"/>
    <row r="4622"/>
    <row r="4623"/>
    <row r="4624"/>
    <row r="4625"/>
    <row r="4626"/>
    <row r="4627"/>
    <row r="4628"/>
    <row r="4629"/>
    <row r="4630"/>
    <row r="4631"/>
    <row r="4632"/>
    <row r="4633"/>
    <row r="4634"/>
    <row r="4635"/>
    <row r="4636"/>
    <row r="4637"/>
    <row r="4638"/>
    <row r="4639"/>
    <row r="4640"/>
    <row r="4641"/>
    <row r="4642"/>
    <row r="4643"/>
    <row r="4644"/>
    <row r="4645"/>
    <row r="4646"/>
    <row r="4647"/>
    <row r="4648"/>
    <row r="4649"/>
    <row r="4650"/>
    <row r="4651"/>
    <row r="4652"/>
    <row r="4653"/>
    <row r="4654"/>
    <row r="4655"/>
    <row r="4656"/>
    <row r="4657"/>
    <row r="4658"/>
    <row r="4659"/>
    <row r="4660"/>
    <row r="4661"/>
    <row r="4662"/>
    <row r="4663"/>
    <row r="4664"/>
    <row r="4665"/>
    <row r="4666"/>
    <row r="4667"/>
    <row r="4668"/>
    <row r="4669"/>
    <row r="4670"/>
    <row r="4671"/>
    <row r="4672"/>
    <row r="4673"/>
    <row r="4674"/>
    <row r="4675"/>
    <row r="4676"/>
    <row r="4677"/>
    <row r="4678"/>
    <row r="4679"/>
    <row r="4680"/>
    <row r="4681"/>
    <row r="4682"/>
    <row r="4683"/>
    <row r="4684"/>
    <row r="4685"/>
    <row r="4686"/>
    <row r="4687"/>
    <row r="4688"/>
    <row r="4689"/>
    <row r="4690"/>
    <row r="4691"/>
    <row r="4692"/>
    <row r="4693"/>
    <row r="4694"/>
    <row r="4695"/>
    <row r="4696"/>
    <row r="4697"/>
    <row r="4698"/>
    <row r="4699"/>
    <row r="4700"/>
    <row r="4701"/>
    <row r="4702"/>
    <row r="4703"/>
    <row r="4704"/>
    <row r="4705"/>
    <row r="4706"/>
    <row r="4707"/>
    <row r="4708"/>
    <row r="4709"/>
    <row r="4710"/>
    <row r="4711"/>
    <row r="4712"/>
    <row r="4713"/>
    <row r="4714"/>
    <row r="4715"/>
    <row r="4716"/>
    <row r="4717"/>
    <row r="4718"/>
    <row r="4719"/>
    <row r="4720"/>
    <row r="4721"/>
    <row r="4722"/>
    <row r="4723"/>
    <row r="4724"/>
    <row r="4725"/>
    <row r="4726"/>
    <row r="4727"/>
    <row r="4728"/>
    <row r="4729"/>
    <row r="4730"/>
    <row r="4731"/>
    <row r="4732"/>
    <row r="4733"/>
    <row r="4734"/>
    <row r="4735"/>
    <row r="4736"/>
    <row r="4737"/>
    <row r="4738"/>
    <row r="4739"/>
    <row r="4740"/>
    <row r="4741"/>
    <row r="4742"/>
    <row r="4743"/>
    <row r="4744"/>
    <row r="4745"/>
    <row r="4746"/>
    <row r="4747"/>
    <row r="4748"/>
    <row r="4749"/>
    <row r="4750"/>
    <row r="4751"/>
    <row r="4752"/>
    <row r="4753"/>
    <row r="4754"/>
    <row r="4755"/>
    <row r="4756"/>
    <row r="4757"/>
    <row r="4758"/>
    <row r="4759"/>
    <row r="4760"/>
    <row r="4761"/>
    <row r="4762"/>
    <row r="4763"/>
    <row r="4764"/>
    <row r="4765"/>
    <row r="4766"/>
    <row r="4767"/>
    <row r="4768"/>
    <row r="4769"/>
    <row r="4770"/>
    <row r="4771"/>
    <row r="4772"/>
    <row r="4773"/>
    <row r="4774"/>
    <row r="4775"/>
    <row r="4776"/>
    <row r="4777"/>
    <row r="4778"/>
    <row r="4779"/>
    <row r="4780"/>
    <row r="4781"/>
    <row r="4782"/>
    <row r="4783"/>
    <row r="4784"/>
    <row r="4785"/>
    <row r="4786"/>
    <row r="4787"/>
    <row r="4788"/>
    <row r="4789"/>
    <row r="4790"/>
    <row r="4791"/>
    <row r="4792"/>
    <row r="4793"/>
    <row r="4794"/>
    <row r="4795"/>
    <row r="4796"/>
    <row r="4797"/>
    <row r="4798"/>
    <row r="4799"/>
    <row r="4800"/>
    <row r="4801"/>
    <row r="4802"/>
    <row r="4803"/>
    <row r="4804"/>
    <row r="4805"/>
    <row r="4806"/>
    <row r="4807"/>
    <row r="4808"/>
    <row r="4809"/>
    <row r="4810"/>
    <row r="4811"/>
    <row r="4812"/>
    <row r="4813"/>
    <row r="4814"/>
    <row r="4815"/>
    <row r="4816"/>
    <row r="4817"/>
    <row r="4818"/>
    <row r="4819"/>
    <row r="4820"/>
    <row r="4821"/>
    <row r="4822"/>
    <row r="4823"/>
    <row r="4824"/>
    <row r="4825"/>
    <row r="4826"/>
    <row r="4827"/>
    <row r="4828"/>
    <row r="4829"/>
    <row r="4830"/>
    <row r="4831"/>
    <row r="4832"/>
    <row r="4833"/>
    <row r="4834"/>
    <row r="4835"/>
    <row r="4836"/>
    <row r="4837"/>
    <row r="4838"/>
    <row r="4839"/>
    <row r="4840"/>
    <row r="4841"/>
    <row r="4842"/>
    <row r="4843"/>
    <row r="4844"/>
    <row r="4845"/>
    <row r="4846"/>
    <row r="4847"/>
    <row r="4848"/>
    <row r="4849"/>
    <row r="4850"/>
    <row r="4851"/>
    <row r="4852"/>
    <row r="4853"/>
    <row r="4854"/>
    <row r="4855"/>
    <row r="4856"/>
    <row r="4857"/>
    <row r="4858"/>
    <row r="4859"/>
    <row r="4860"/>
    <row r="4861"/>
    <row r="4862"/>
    <row r="4863"/>
    <row r="4864"/>
    <row r="4865"/>
    <row r="4866"/>
    <row r="4867"/>
    <row r="4868"/>
    <row r="4869"/>
    <row r="4870"/>
    <row r="4871"/>
    <row r="4872"/>
    <row r="4873"/>
    <row r="4874"/>
    <row r="4875"/>
    <row r="4876"/>
    <row r="4877"/>
    <row r="4878"/>
    <row r="4879"/>
    <row r="4880"/>
    <row r="4881"/>
    <row r="4882"/>
    <row r="4883"/>
    <row r="4884"/>
    <row r="4885"/>
    <row r="4886"/>
    <row r="4887"/>
    <row r="4888"/>
    <row r="4889"/>
    <row r="4890"/>
    <row r="4891"/>
    <row r="4892"/>
    <row r="4893"/>
    <row r="4894"/>
    <row r="4895"/>
    <row r="4896"/>
    <row r="4897"/>
    <row r="4898"/>
    <row r="4899"/>
    <row r="4900"/>
    <row r="4901"/>
    <row r="4902"/>
    <row r="4903"/>
    <row r="4904"/>
    <row r="4905"/>
    <row r="4906"/>
    <row r="4907"/>
    <row r="4908"/>
    <row r="4909"/>
    <row r="4910"/>
    <row r="4911"/>
    <row r="4912"/>
    <row r="4913"/>
    <row r="4914"/>
    <row r="4915"/>
    <row r="4916"/>
    <row r="4917"/>
    <row r="4918"/>
    <row r="4919"/>
    <row r="4920"/>
    <row r="4921"/>
    <row r="4922"/>
    <row r="4923"/>
    <row r="4924"/>
    <row r="4925"/>
    <row r="4926"/>
    <row r="4927"/>
    <row r="4928"/>
    <row r="4929"/>
    <row r="4930"/>
    <row r="4931"/>
    <row r="4932"/>
    <row r="4933"/>
    <row r="4934"/>
    <row r="4935"/>
    <row r="4936"/>
    <row r="4937"/>
    <row r="4938"/>
    <row r="4939"/>
    <row r="4940"/>
    <row r="4941"/>
    <row r="4942"/>
    <row r="4943"/>
    <row r="4944"/>
    <row r="4945"/>
    <row r="4946"/>
    <row r="4947"/>
    <row r="4948"/>
    <row r="4949"/>
    <row r="4950"/>
    <row r="4951"/>
    <row r="4952"/>
    <row r="4953"/>
    <row r="4954"/>
    <row r="4955"/>
    <row r="4956"/>
    <row r="4957"/>
    <row r="4958"/>
    <row r="4959"/>
    <row r="4960"/>
    <row r="4961"/>
    <row r="4962"/>
    <row r="4963"/>
    <row r="4964"/>
    <row r="4965"/>
    <row r="4966"/>
    <row r="4967"/>
    <row r="4968"/>
    <row r="4969"/>
    <row r="4970"/>
    <row r="4971"/>
    <row r="4972"/>
    <row r="4973"/>
    <row r="4974"/>
    <row r="4975"/>
    <row r="4976"/>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sheetData>
  <phoneticPr fontId="8"/>
  <conditionalFormatting sqref="B20">
    <cfRule type="cellIs" dxfId="129" priority="97" operator="greaterThan">
      <formula>0</formula>
    </cfRule>
  </conditionalFormatting>
  <conditionalFormatting sqref="B32">
    <cfRule type="cellIs" dxfId="128" priority="85" operator="greaterThan">
      <formula>0</formula>
    </cfRule>
  </conditionalFormatting>
  <conditionalFormatting sqref="D60">
    <cfRule type="cellIs" dxfId="127" priority="47" operator="greaterThan">
      <formula>0</formula>
    </cfRule>
  </conditionalFormatting>
  <conditionalFormatting sqref="E20">
    <cfRule type="cellIs" dxfId="126" priority="150" operator="greaterThan">
      <formula>0</formula>
    </cfRule>
  </conditionalFormatting>
  <conditionalFormatting sqref="E22">
    <cfRule type="cellIs" dxfId="125" priority="6" operator="greaterThan">
      <formula>0</formula>
    </cfRule>
  </conditionalFormatting>
  <conditionalFormatting sqref="E24">
    <cfRule type="cellIs" dxfId="124" priority="27" operator="greaterThan">
      <formula>0</formula>
    </cfRule>
  </conditionalFormatting>
  <conditionalFormatting sqref="E26">
    <cfRule type="cellIs" dxfId="123" priority="24" operator="greaterThan">
      <formula>0</formula>
    </cfRule>
  </conditionalFormatting>
  <conditionalFormatting sqref="E27:E29 E40:E43">
    <cfRule type="cellIs" dxfId="122" priority="232" stopIfTrue="1" operator="greaterThan">
      <formula>1</formula>
    </cfRule>
  </conditionalFormatting>
  <conditionalFormatting sqref="E32">
    <cfRule type="cellIs" dxfId="121" priority="142" operator="greaterThan">
      <formula>0</formula>
    </cfRule>
  </conditionalFormatting>
  <conditionalFormatting sqref="E34">
    <cfRule type="cellIs" dxfId="120" priority="4" operator="greaterThan">
      <formula>0</formula>
    </cfRule>
  </conditionalFormatting>
  <conditionalFormatting sqref="E36">
    <cfRule type="cellIs" dxfId="119" priority="21" operator="greaterThan">
      <formula>0</formula>
    </cfRule>
  </conditionalFormatting>
  <conditionalFormatting sqref="E38">
    <cfRule type="cellIs" dxfId="118" priority="138" operator="greaterThan">
      <formula>0</formula>
    </cfRule>
  </conditionalFormatting>
  <conditionalFormatting sqref="H53:I56">
    <cfRule type="cellIs" dxfId="117" priority="1" operator="greaterThan">
      <formula>0</formula>
    </cfRule>
  </conditionalFormatting>
  <conditionalFormatting sqref="J20">
    <cfRule type="cellIs" dxfId="116" priority="149" operator="greaterThan">
      <formula>0</formula>
    </cfRule>
  </conditionalFormatting>
  <conditionalFormatting sqref="J22">
    <cfRule type="cellIs" dxfId="115" priority="5" operator="greaterThan">
      <formula>0</formula>
    </cfRule>
  </conditionalFormatting>
  <conditionalFormatting sqref="J24">
    <cfRule type="cellIs" dxfId="114" priority="17" operator="greaterThan">
      <formula>0</formula>
    </cfRule>
  </conditionalFormatting>
  <conditionalFormatting sqref="J26:J29">
    <cfRule type="cellIs" dxfId="113" priority="16" operator="greaterThan">
      <formula>0</formula>
    </cfRule>
  </conditionalFormatting>
  <conditionalFormatting sqref="J32">
    <cfRule type="cellIs" dxfId="112" priority="141" operator="greaterThan">
      <formula>0</formula>
    </cfRule>
  </conditionalFormatting>
  <conditionalFormatting sqref="J34">
    <cfRule type="cellIs" dxfId="111" priority="3" operator="greaterThan">
      <formula>0</formula>
    </cfRule>
  </conditionalFormatting>
  <conditionalFormatting sqref="J36">
    <cfRule type="cellIs" dxfId="110" priority="20" operator="greaterThan">
      <formula>0</formula>
    </cfRule>
  </conditionalFormatting>
  <conditionalFormatting sqref="J38:J39">
    <cfRule type="cellIs" dxfId="109" priority="137" operator="greaterThan">
      <formula>0</formula>
    </cfRule>
  </conditionalFormatting>
  <conditionalFormatting sqref="J41:J43">
    <cfRule type="cellIs" dxfId="108" priority="36" operator="greaterThan">
      <formula>0</formula>
    </cfRule>
  </conditionalFormatting>
  <conditionalFormatting sqref="J46">
    <cfRule type="cellIs" dxfId="107" priority="152" operator="greaterThan">
      <formula>0</formula>
    </cfRule>
  </conditionalFormatting>
  <conditionalFormatting sqref="J48">
    <cfRule type="cellIs" dxfId="106" priority="154" operator="greaterThan">
      <formula>0</formula>
    </cfRule>
  </conditionalFormatting>
  <conditionalFormatting sqref="J60">
    <cfRule type="cellIs" dxfId="105" priority="153" operator="greaterThan">
      <formula>0</formula>
    </cfRule>
  </conditionalFormatting>
  <conditionalFormatting sqref="J78">
    <cfRule type="cellIs" dxfId="104" priority="18" operator="greaterThan">
      <formula>0</formula>
    </cfRule>
  </conditionalFormatting>
  <dataValidations xWindow="213" yWindow="580" count="4">
    <dataValidation allowBlank="1" showInputMessage="1" showErrorMessage="1" promptTitle="Toelichting" prompt="Vul in deze gekleurde cellen de gevraagde informatie in (percentages inzet medewerkers). Let op: Het totale percentage mag niet hoger zijn dan 100%_x000d_" sqref="A8" xr:uid="{00000000-0002-0000-0200-000000000000}"/>
    <dataValidation allowBlank="1" showInputMessage="1" showErrorMessage="1" promptTitle="Toelichting" prompt="Nadat de categorie medewerkers en uurtarieven in het tablad 1.5 Opbouw uurtarieven zijn samengesteld, selecteer de cel met de tekst &quot;Selecteer categorie medewerker&quot;. Maak een keuze uit de lijst, het samengestelde uurtarief wordt automatisch ingevoerd." sqref="B32 B20" xr:uid="{00000000-0002-0000-0200-000001000000}"/>
    <dataValidation type="list" allowBlank="1" showInputMessage="1" showErrorMessage="1" sqref="D20 D22 D24 D26" xr:uid="{3F7F4EDC-1284-FC43-9FE1-F1EF5578FC7B}">
      <formula1>tariefSMO</formula1>
    </dataValidation>
    <dataValidation type="list" allowBlank="1" showInputMessage="1" showErrorMessage="1" sqref="D36 D34 D32 D38" xr:uid="{49307662-B4F3-AF47-9BC2-8FD31A467F51}">
      <formula1>tariefTZ</formula1>
    </dataValidation>
  </dataValidations>
  <printOptions horizontalCentered="1"/>
  <pageMargins left="0.19685039370078741" right="0.19685039370078741" top="0.39370078740157483" bottom="0.39370078740157483" header="0.39370078740157483" footer="0.19685039370078741"/>
  <pageSetup paperSize="9" scale="60" orientation="portrait" copies="3"/>
  <headerFooter>
    <oddHeader>&amp;L&amp;C&amp;R</oddHeader>
    <oddFooter>&amp;L&amp;"Verdana,Standaard"&amp;K000000&amp;F-&amp;A&amp;R&amp;"Verdana,Standaard"&amp;K000000printversie &amp;D</oddFooter>
  </headerFooter>
  <drawing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pageSetUpPr fitToPage="1"/>
  </sheetPr>
  <dimension ref="A1:U712"/>
  <sheetViews>
    <sheetView showGridLines="0" showRowColHeaders="0" showZeros="0" showOutlineSymbols="0" zoomScale="96" zoomScaleNormal="100" zoomScaleSheetLayoutView="94" workbookViewId="0"/>
  </sheetViews>
  <sheetFormatPr defaultColWidth="22.140625" defaultRowHeight="15" zeroHeight="1"/>
  <cols>
    <col min="1" max="1" width="8.140625" style="40" customWidth="1"/>
    <col min="2" max="2" width="38.85546875" style="40" bestFit="1" customWidth="1"/>
    <col min="3" max="3" width="30.140625" style="40" customWidth="1"/>
    <col min="4" max="4" width="23.85546875" style="40" customWidth="1"/>
    <col min="5" max="5" width="22.140625" style="40" customWidth="1"/>
    <col min="6" max="6" width="22.85546875" style="40" customWidth="1"/>
    <col min="7" max="7" width="15.5703125" style="40" customWidth="1"/>
    <col min="8" max="8" width="21.42578125" style="40" customWidth="1"/>
    <col min="9" max="9" width="23.85546875" style="40" customWidth="1"/>
    <col min="10" max="10" width="23.140625" style="40" customWidth="1"/>
    <col min="11" max="11" width="20" style="40" customWidth="1"/>
    <col min="12" max="12" width="19.140625" style="40" customWidth="1"/>
    <col min="13" max="13" width="31.140625" style="40" customWidth="1"/>
    <col min="14" max="14" width="6.85546875" style="40" customWidth="1"/>
    <col min="15" max="15" width="29.85546875" style="40" bestFit="1" customWidth="1"/>
    <col min="16" max="16" width="8.85546875" style="118" hidden="1" customWidth="1"/>
    <col min="17" max="17" width="6.85546875" style="40" hidden="1" customWidth="1"/>
    <col min="18" max="18" width="8.85546875" style="40" hidden="1" customWidth="1"/>
    <col min="19" max="19" width="11" style="40" customWidth="1"/>
    <col min="20" max="20" width="22.140625" style="40"/>
    <col min="21" max="25" width="22.140625" style="40" customWidth="1"/>
    <col min="26" max="16384" width="22.140625" style="40"/>
  </cols>
  <sheetData>
    <row r="1" spans="1:20" ht="15.95" thickBot="1">
      <c r="B1" s="45"/>
      <c r="C1" s="45"/>
      <c r="D1" s="45"/>
      <c r="E1" s="45"/>
      <c r="F1" s="45"/>
      <c r="G1" s="45"/>
      <c r="H1" s="45"/>
      <c r="I1" s="27"/>
      <c r="J1" s="94"/>
      <c r="K1" s="94"/>
      <c r="L1" s="94"/>
      <c r="M1" s="95"/>
    </row>
    <row r="2" spans="1:20">
      <c r="B2" s="96"/>
      <c r="C2" s="96"/>
      <c r="D2" s="96"/>
      <c r="E2" s="96"/>
      <c r="F2" s="96"/>
      <c r="G2" s="96"/>
      <c r="H2" s="96"/>
      <c r="I2" s="97"/>
      <c r="J2" s="94"/>
      <c r="K2" s="94"/>
      <c r="L2" s="94"/>
      <c r="M2" s="95"/>
    </row>
    <row r="3" spans="1:20" ht="17.100000000000001">
      <c r="B3" s="172" t="s">
        <v>91</v>
      </c>
      <c r="C3" s="173" t="s">
        <v>92</v>
      </c>
      <c r="D3" s="31"/>
    </row>
    <row r="4" spans="1:20" ht="17.100000000000001">
      <c r="B4" s="119" t="s">
        <v>93</v>
      </c>
      <c r="C4" s="35" t="str">
        <f>Voorblad!$E$16</f>
        <v>Invest-NL</v>
      </c>
      <c r="D4" s="31"/>
    </row>
    <row r="5" spans="1:20" ht="17.100000000000001">
      <c r="B5" s="119" t="s">
        <v>94</v>
      </c>
      <c r="C5" s="35" t="str">
        <f>'1.0-Contractblad'!$E$7</f>
        <v>Kingsfordweg 43-117 Amsterdam</v>
      </c>
      <c r="D5" s="31"/>
    </row>
    <row r="6" spans="1:20" ht="15.95" customHeight="1">
      <c r="B6" s="119" t="s">
        <v>43</v>
      </c>
      <c r="C6" s="37" t="str">
        <f>Voorblad!$E$24</f>
        <v>TN436801</v>
      </c>
      <c r="D6" s="31"/>
      <c r="E6" s="564" t="s">
        <v>53</v>
      </c>
      <c r="G6" s="36"/>
      <c r="H6" s="36"/>
      <c r="I6" s="36"/>
      <c r="J6" s="36"/>
      <c r="K6" s="120"/>
    </row>
    <row r="7" spans="1:20" ht="15.95" customHeight="1">
      <c r="B7" s="119" t="s">
        <v>45</v>
      </c>
      <c r="C7" s="38" t="e">
        <f ca="1">Voorblad!$E$26</f>
        <v>#VALUE!</v>
      </c>
      <c r="D7" s="31"/>
      <c r="F7" s="121"/>
      <c r="G7" s="36"/>
      <c r="H7" s="36"/>
      <c r="I7" s="36"/>
      <c r="J7" s="36"/>
    </row>
    <row r="8" spans="1:20" ht="15.95" customHeight="1">
      <c r="B8" s="172" t="s">
        <v>95</v>
      </c>
      <c r="C8" s="174" t="str">
        <f>Voorblad!$E$19</f>
        <v>[Invoeren naam organisatie van Inschrijver]</v>
      </c>
      <c r="D8" s="122"/>
      <c r="G8" s="36"/>
      <c r="H8" s="36"/>
      <c r="I8" s="36"/>
      <c r="J8" s="36"/>
    </row>
    <row r="9" spans="1:20" ht="17.100000000000001">
      <c r="B9" s="119" t="s">
        <v>42</v>
      </c>
      <c r="C9" s="41">
        <f>Voorblad!$E$22</f>
        <v>45473</v>
      </c>
    </row>
    <row r="10" spans="1:20" ht="17.100000000000001">
      <c r="B10" s="119"/>
      <c r="C10" s="41"/>
    </row>
    <row r="11" spans="1:20" s="175" customFormat="1" ht="48" customHeight="1">
      <c r="B11" s="176" t="s">
        <v>96</v>
      </c>
      <c r="C11" s="87" t="s">
        <v>97</v>
      </c>
      <c r="D11" s="177" t="s">
        <v>98</v>
      </c>
      <c r="E11" s="178" t="s">
        <v>99</v>
      </c>
      <c r="F11" s="178" t="s">
        <v>100</v>
      </c>
      <c r="G11" s="179" t="s">
        <v>101</v>
      </c>
      <c r="H11" s="87" t="s">
        <v>102</v>
      </c>
      <c r="I11" s="87" t="s">
        <v>103</v>
      </c>
      <c r="J11" s="87" t="s">
        <v>104</v>
      </c>
      <c r="K11" s="87" t="s">
        <v>105</v>
      </c>
      <c r="L11" s="87" t="s">
        <v>106</v>
      </c>
      <c r="M11" s="87" t="s">
        <v>107</v>
      </c>
      <c r="N11" s="40"/>
      <c r="Q11" s="87" t="s">
        <v>108</v>
      </c>
    </row>
    <row r="12" spans="1:20" s="175" customFormat="1">
      <c r="A12" s="535"/>
      <c r="B12" s="186"/>
      <c r="C12" s="90"/>
      <c r="D12" s="182"/>
      <c r="E12" s="183"/>
      <c r="F12" s="183"/>
      <c r="G12" s="184"/>
      <c r="H12" s="90"/>
      <c r="I12" s="90"/>
      <c r="J12" s="90"/>
      <c r="K12" s="90"/>
      <c r="L12" s="90"/>
      <c r="M12" s="90"/>
      <c r="N12" s="40"/>
      <c r="Q12" s="90"/>
    </row>
    <row r="13" spans="1:20" ht="20.100000000000001" customHeight="1">
      <c r="A13" s="536">
        <f t="shared" ref="A13" si="0">G13</f>
        <v>1</v>
      </c>
      <c r="B13" s="40" t="s">
        <v>40</v>
      </c>
      <c r="C13" s="123" t="s">
        <v>109</v>
      </c>
      <c r="D13" s="40" t="s">
        <v>110</v>
      </c>
      <c r="E13" s="124">
        <f ca="1">SUMIF('1.3-Basis ruimtestaat'!E:K,'1.1a-Jaarprijzen'!B13,'1.3-Basis ruimtestaat'!K:K)</f>
        <v>1967.8531085000002</v>
      </c>
      <c r="F13" s="124">
        <f ca="1">SUMIF('1.3-Basis ruimtestaat'!E:L,'1.1a-Jaarprijzen'!B13,'1.3-Basis ruimtestaat'!L:L)</f>
        <v>36.090000000000003</v>
      </c>
      <c r="G13" s="125">
        <v>1</v>
      </c>
      <c r="H13" s="126">
        <f>SUMIF('1.3-Basis ruimtestaat'!E:E,'1.1a-Jaarprijzen'!B13,'1.3-Basis ruimtestaat'!R:R)+SUMIF('1.3-Basis ruimtestaat'!E:E,'1.1a-Jaarprijzen'!B13,'1.3-Basis ruimtestaat'!T:T)</f>
        <v>0</v>
      </c>
      <c r="I13" s="126">
        <f>SUMIF('1.3-Basis ruimtestaat'!E:E,'1.1a-Jaarprijzen'!B13,'1.3-Basis ruimtestaat'!S:S)</f>
        <v>0</v>
      </c>
      <c r="K13" s="128">
        <f>(H13+I13)*'1.0-Contractblad'!$E$39</f>
        <v>0</v>
      </c>
      <c r="L13" s="129">
        <f>SUMIF('1.8-Glasbewassing'!D:D,'1.1a-Jaarprijzen'!B13,'1.8-Glasbewassing'!H:H)</f>
        <v>976.30000000000007</v>
      </c>
      <c r="M13" s="130">
        <f>IF(H13=0,0,SUMIF('1.3-Basis ruimtestaat'!E:E,'1.1a-Jaarprijzen'!B13,'1.3-Basis ruimtestaat'!AC:AC)/SUM(H13+I13))</f>
        <v>0</v>
      </c>
      <c r="N13" s="131"/>
      <c r="Q13" s="132">
        <f t="shared" ref="Q13" si="1">H13/200</f>
        <v>0</v>
      </c>
      <c r="R13" s="133"/>
      <c r="S13" s="133"/>
    </row>
    <row r="14" spans="1:20" ht="20.100000000000001" hidden="1" customHeight="1">
      <c r="A14" s="536"/>
      <c r="C14" s="123"/>
      <c r="E14" s="124"/>
      <c r="F14" s="124"/>
      <c r="G14" s="125"/>
      <c r="H14" s="126"/>
      <c r="I14" s="126"/>
      <c r="K14" s="128"/>
      <c r="L14" s="129"/>
      <c r="M14" s="130"/>
      <c r="N14" s="131"/>
      <c r="Q14" s="132"/>
      <c r="R14" s="133"/>
      <c r="S14" s="133"/>
    </row>
    <row r="15" spans="1:20" s="134" customFormat="1" ht="20.100000000000001" hidden="1" customHeight="1">
      <c r="A15" s="536"/>
      <c r="B15" s="40"/>
      <c r="C15" s="123"/>
      <c r="D15" s="40"/>
      <c r="E15" s="124"/>
      <c r="F15" s="124"/>
      <c r="G15" s="125"/>
      <c r="H15" s="126"/>
      <c r="I15" s="126"/>
      <c r="J15" s="40"/>
      <c r="K15" s="128"/>
      <c r="L15" s="129"/>
      <c r="M15" s="130"/>
      <c r="N15" s="131"/>
      <c r="O15" s="40"/>
      <c r="P15" s="118"/>
      <c r="Q15" s="132"/>
      <c r="R15" s="133"/>
      <c r="S15" s="133"/>
      <c r="T15" s="40"/>
    </row>
    <row r="16" spans="1:20" s="134" customFormat="1" ht="20.100000000000001" hidden="1" customHeight="1">
      <c r="A16" s="536"/>
      <c r="B16" s="40"/>
      <c r="C16" s="123"/>
      <c r="D16" s="40"/>
      <c r="E16" s="124"/>
      <c r="F16" s="124"/>
      <c r="G16" s="125"/>
      <c r="H16" s="126"/>
      <c r="I16" s="126"/>
      <c r="J16" s="40"/>
      <c r="K16" s="128"/>
      <c r="L16" s="129"/>
      <c r="M16" s="130"/>
      <c r="N16" s="131"/>
      <c r="O16" s="40"/>
      <c r="P16" s="118"/>
      <c r="Q16" s="132"/>
      <c r="R16" s="133"/>
      <c r="S16" s="133"/>
      <c r="T16" s="40"/>
    </row>
    <row r="17" spans="1:20" s="134" customFormat="1" ht="20.100000000000001" hidden="1" customHeight="1">
      <c r="A17" s="536"/>
      <c r="B17" s="40"/>
      <c r="C17" s="123"/>
      <c r="D17" s="40"/>
      <c r="E17" s="124"/>
      <c r="F17" s="124"/>
      <c r="G17" s="125"/>
      <c r="H17" s="126"/>
      <c r="I17" s="126"/>
      <c r="J17" s="40"/>
      <c r="K17" s="128"/>
      <c r="L17" s="129"/>
      <c r="M17" s="130"/>
      <c r="N17" s="131"/>
      <c r="O17" s="40"/>
      <c r="P17" s="118"/>
      <c r="Q17" s="132"/>
      <c r="R17" s="133"/>
      <c r="S17" s="133"/>
      <c r="T17" s="40"/>
    </row>
    <row r="18" spans="1:20" s="134" customFormat="1" ht="20.100000000000001" hidden="1" customHeight="1">
      <c r="A18" s="536"/>
      <c r="B18" s="40"/>
      <c r="C18" s="123"/>
      <c r="D18" s="40"/>
      <c r="E18" s="124"/>
      <c r="F18" s="124"/>
      <c r="G18" s="125"/>
      <c r="H18" s="126"/>
      <c r="I18" s="126"/>
      <c r="J18" s="40"/>
      <c r="K18" s="128"/>
      <c r="L18" s="129"/>
      <c r="M18" s="130"/>
      <c r="N18" s="131"/>
      <c r="O18" s="40"/>
      <c r="P18" s="118"/>
      <c r="Q18" s="132"/>
      <c r="R18" s="133"/>
      <c r="S18" s="133"/>
      <c r="T18" s="40"/>
    </row>
    <row r="19" spans="1:20" ht="20.100000000000001" hidden="1" customHeight="1">
      <c r="A19" s="536"/>
      <c r="B19" s="590"/>
      <c r="C19" s="123"/>
      <c r="E19" s="124"/>
      <c r="F19" s="124"/>
      <c r="G19" s="125"/>
      <c r="H19" s="126"/>
      <c r="I19" s="126"/>
      <c r="K19" s="128"/>
      <c r="L19" s="129"/>
      <c r="M19" s="130"/>
      <c r="N19" s="131"/>
      <c r="Q19" s="132"/>
      <c r="R19" s="133"/>
      <c r="S19" s="133"/>
    </row>
    <row r="20" spans="1:20" ht="20.100000000000001" hidden="1" customHeight="1">
      <c r="A20" s="536"/>
      <c r="C20" s="123"/>
      <c r="E20" s="124"/>
      <c r="F20" s="124"/>
      <c r="G20" s="125"/>
      <c r="H20" s="126"/>
      <c r="I20" s="126"/>
      <c r="K20" s="128"/>
      <c r="L20" s="129"/>
      <c r="M20" s="130"/>
      <c r="N20" s="131"/>
      <c r="Q20" s="132"/>
      <c r="R20" s="133"/>
      <c r="S20" s="133"/>
    </row>
    <row r="21" spans="1:20" ht="20.100000000000001" hidden="1" customHeight="1">
      <c r="A21" s="536"/>
      <c r="C21" s="123"/>
      <c r="E21" s="124"/>
      <c r="F21" s="124"/>
      <c r="G21" s="125"/>
      <c r="H21" s="126"/>
      <c r="I21" s="126"/>
      <c r="K21" s="128"/>
      <c r="L21" s="129"/>
      <c r="M21" s="130"/>
      <c r="N21" s="131"/>
      <c r="Q21" s="132"/>
      <c r="R21" s="133"/>
      <c r="S21" s="133"/>
    </row>
    <row r="22" spans="1:20" s="134" customFormat="1" ht="20.100000000000001" hidden="1" customHeight="1">
      <c r="A22" s="536"/>
      <c r="B22" s="40"/>
      <c r="C22" s="123"/>
      <c r="D22" s="40"/>
      <c r="E22" s="124"/>
      <c r="F22" s="124"/>
      <c r="G22" s="125"/>
      <c r="H22" s="126"/>
      <c r="I22" s="126"/>
      <c r="J22" s="40"/>
      <c r="K22" s="128"/>
      <c r="L22" s="129"/>
      <c r="M22" s="130"/>
      <c r="N22" s="131"/>
      <c r="O22" s="40"/>
      <c r="P22" s="118"/>
      <c r="Q22" s="132"/>
      <c r="R22" s="133"/>
      <c r="S22" s="133"/>
      <c r="T22" s="40"/>
    </row>
    <row r="23" spans="1:20" s="134" customFormat="1" ht="20.100000000000001" hidden="1" customHeight="1">
      <c r="A23" s="536"/>
      <c r="B23" s="40"/>
      <c r="C23" s="123"/>
      <c r="D23" s="40"/>
      <c r="E23" s="124"/>
      <c r="F23" s="124"/>
      <c r="G23" s="125"/>
      <c r="H23" s="126"/>
      <c r="I23" s="126"/>
      <c r="J23" s="40"/>
      <c r="K23" s="128"/>
      <c r="L23" s="129"/>
      <c r="M23" s="130"/>
      <c r="N23" s="131"/>
      <c r="O23" s="40"/>
      <c r="P23" s="118"/>
      <c r="Q23" s="132"/>
      <c r="R23" s="133"/>
      <c r="S23" s="133"/>
      <c r="T23" s="40"/>
    </row>
    <row r="24" spans="1:20" s="134" customFormat="1" ht="20.100000000000001" hidden="1" customHeight="1">
      <c r="A24" s="536"/>
      <c r="B24" s="40"/>
      <c r="C24" s="123"/>
      <c r="D24" s="40"/>
      <c r="E24" s="124"/>
      <c r="F24" s="124"/>
      <c r="G24" s="125"/>
      <c r="H24" s="126"/>
      <c r="I24" s="126"/>
      <c r="J24" s="40"/>
      <c r="K24" s="128"/>
      <c r="L24" s="129"/>
      <c r="M24" s="130"/>
      <c r="N24" s="131"/>
      <c r="O24" s="40"/>
      <c r="P24" s="118"/>
      <c r="Q24" s="132"/>
      <c r="R24" s="133"/>
      <c r="S24" s="133"/>
      <c r="T24" s="40"/>
    </row>
    <row r="25" spans="1:20" s="134" customFormat="1" ht="20.100000000000001" hidden="1" customHeight="1">
      <c r="A25" s="536"/>
      <c r="B25" s="40"/>
      <c r="C25" s="123"/>
      <c r="D25" s="40"/>
      <c r="E25" s="124"/>
      <c r="F25" s="124"/>
      <c r="G25" s="125"/>
      <c r="H25" s="126"/>
      <c r="I25" s="126"/>
      <c r="J25" s="40"/>
      <c r="K25" s="128"/>
      <c r="L25" s="129"/>
      <c r="M25" s="130"/>
      <c r="N25" s="131"/>
      <c r="O25" s="40"/>
      <c r="P25" s="118"/>
      <c r="Q25" s="132"/>
      <c r="R25" s="133"/>
      <c r="S25" s="133"/>
      <c r="T25" s="40"/>
    </row>
    <row r="26" spans="1:20" s="134" customFormat="1" ht="20.100000000000001" hidden="1" customHeight="1">
      <c r="A26" s="536"/>
      <c r="B26" s="40"/>
      <c r="C26" s="123"/>
      <c r="D26" s="40"/>
      <c r="E26" s="124"/>
      <c r="F26" s="124"/>
      <c r="G26" s="125"/>
      <c r="H26" s="126"/>
      <c r="I26" s="126"/>
      <c r="J26" s="40"/>
      <c r="K26" s="128"/>
      <c r="L26" s="129"/>
      <c r="M26" s="130"/>
      <c r="N26" s="131"/>
      <c r="O26" s="40"/>
      <c r="P26" s="118"/>
      <c r="Q26" s="132"/>
      <c r="R26" s="133"/>
      <c r="S26" s="133"/>
      <c r="T26" s="40"/>
    </row>
    <row r="27" spans="1:20" s="134" customFormat="1" ht="20.100000000000001" hidden="1" customHeight="1">
      <c r="A27" s="536"/>
      <c r="B27" s="40"/>
      <c r="C27" s="123"/>
      <c r="D27" s="40"/>
      <c r="E27" s="124"/>
      <c r="F27" s="124"/>
      <c r="G27" s="125"/>
      <c r="H27" s="126"/>
      <c r="I27" s="126"/>
      <c r="J27" s="40"/>
      <c r="K27" s="128"/>
      <c r="L27" s="129"/>
      <c r="M27" s="130"/>
      <c r="N27" s="131"/>
      <c r="O27" s="40"/>
      <c r="P27" s="118"/>
      <c r="Q27" s="132"/>
      <c r="R27" s="133"/>
      <c r="S27" s="133"/>
      <c r="T27" s="40"/>
    </row>
    <row r="28" spans="1:20" s="134" customFormat="1" ht="20.100000000000001" hidden="1" customHeight="1">
      <c r="A28" s="536"/>
      <c r="B28" s="40"/>
      <c r="C28" s="123"/>
      <c r="D28" s="40"/>
      <c r="E28" s="124"/>
      <c r="F28" s="124"/>
      <c r="G28" s="125"/>
      <c r="H28" s="126"/>
      <c r="I28" s="126"/>
      <c r="J28" s="40"/>
      <c r="K28" s="128"/>
      <c r="L28" s="129"/>
      <c r="M28" s="130"/>
      <c r="N28" s="131"/>
      <c r="O28" s="40"/>
      <c r="P28" s="118"/>
      <c r="Q28" s="132"/>
      <c r="R28" s="133"/>
      <c r="S28" s="133"/>
      <c r="T28" s="40"/>
    </row>
    <row r="29" spans="1:20" s="134" customFormat="1" ht="20.100000000000001" hidden="1" customHeight="1">
      <c r="A29" s="536"/>
      <c r="B29" s="40"/>
      <c r="C29" s="123"/>
      <c r="D29" s="40"/>
      <c r="E29" s="124"/>
      <c r="F29" s="124"/>
      <c r="G29" s="125"/>
      <c r="H29" s="126"/>
      <c r="I29" s="126"/>
      <c r="J29" s="40"/>
      <c r="K29" s="128"/>
      <c r="L29" s="129"/>
      <c r="M29" s="130"/>
      <c r="N29" s="131"/>
      <c r="O29" s="40"/>
      <c r="P29" s="118"/>
      <c r="Q29" s="132"/>
      <c r="R29" s="133"/>
      <c r="S29" s="133"/>
      <c r="T29" s="40"/>
    </row>
    <row r="30" spans="1:20" s="134" customFormat="1" ht="20.100000000000001" hidden="1" customHeight="1">
      <c r="A30" s="536"/>
      <c r="B30" s="40"/>
      <c r="C30" s="123"/>
      <c r="D30" s="40"/>
      <c r="E30" s="124"/>
      <c r="F30" s="124"/>
      <c r="G30" s="125"/>
      <c r="H30" s="126"/>
      <c r="I30" s="126"/>
      <c r="J30" s="40"/>
      <c r="K30" s="128"/>
      <c r="L30" s="129"/>
      <c r="M30" s="130"/>
      <c r="N30" s="131"/>
      <c r="O30" s="40"/>
      <c r="P30" s="118"/>
      <c r="Q30" s="132"/>
      <c r="R30" s="133"/>
      <c r="S30" s="133"/>
      <c r="T30" s="40"/>
    </row>
    <row r="31" spans="1:20" s="134" customFormat="1" ht="20.100000000000001" hidden="1" customHeight="1">
      <c r="A31" s="536"/>
      <c r="B31" s="40"/>
      <c r="C31" s="123"/>
      <c r="D31" s="40"/>
      <c r="E31" s="124"/>
      <c r="F31" s="124"/>
      <c r="G31" s="125"/>
      <c r="H31" s="126"/>
      <c r="I31" s="126"/>
      <c r="J31" s="40"/>
      <c r="K31" s="128"/>
      <c r="L31" s="129"/>
      <c r="M31" s="130"/>
      <c r="N31" s="131"/>
      <c r="O31" s="40"/>
      <c r="P31" s="118"/>
      <c r="Q31" s="132"/>
      <c r="R31" s="133"/>
      <c r="S31" s="133"/>
      <c r="T31" s="40"/>
    </row>
    <row r="32" spans="1:20" ht="20.100000000000001" hidden="1" customHeight="1">
      <c r="A32" s="536"/>
      <c r="C32" s="123"/>
      <c r="E32" s="124"/>
      <c r="F32" s="124"/>
      <c r="G32" s="125"/>
      <c r="H32" s="126"/>
      <c r="I32" s="126"/>
      <c r="K32" s="128"/>
      <c r="L32" s="129"/>
      <c r="M32" s="130"/>
      <c r="N32" s="131"/>
      <c r="Q32" s="132"/>
      <c r="R32" s="133"/>
      <c r="S32" s="133"/>
    </row>
    <row r="33" spans="1:20" s="134" customFormat="1" ht="20.100000000000001" hidden="1" customHeight="1">
      <c r="A33" s="536"/>
      <c r="B33" s="40"/>
      <c r="C33" s="123"/>
      <c r="D33" s="40"/>
      <c r="E33" s="124"/>
      <c r="F33" s="124"/>
      <c r="G33" s="125"/>
      <c r="H33" s="126"/>
      <c r="I33" s="126"/>
      <c r="J33" s="40"/>
      <c r="K33" s="128"/>
      <c r="L33" s="129"/>
      <c r="M33" s="130"/>
      <c r="N33" s="131"/>
      <c r="O33" s="40"/>
      <c r="P33" s="118"/>
      <c r="Q33" s="132"/>
      <c r="R33" s="133"/>
      <c r="S33" s="133"/>
      <c r="T33" s="40"/>
    </row>
    <row r="34" spans="1:20" s="134" customFormat="1" ht="20.100000000000001" hidden="1" customHeight="1">
      <c r="A34" s="536"/>
      <c r="B34" s="40"/>
      <c r="C34" s="123"/>
      <c r="D34" s="40"/>
      <c r="E34" s="124"/>
      <c r="F34" s="124"/>
      <c r="G34" s="125"/>
      <c r="H34" s="126"/>
      <c r="I34" s="126"/>
      <c r="J34" s="40"/>
      <c r="K34" s="128"/>
      <c r="L34" s="129"/>
      <c r="M34" s="130"/>
      <c r="N34" s="131"/>
      <c r="O34" s="40"/>
      <c r="P34" s="118"/>
      <c r="Q34" s="132"/>
      <c r="R34" s="133"/>
      <c r="S34" s="133"/>
      <c r="T34" s="40"/>
    </row>
    <row r="35" spans="1:20" ht="20.100000000000001" hidden="1" customHeight="1">
      <c r="A35" s="536"/>
      <c r="C35" s="123"/>
      <c r="E35" s="124"/>
      <c r="F35" s="124"/>
      <c r="G35" s="125"/>
      <c r="H35" s="126"/>
      <c r="I35" s="126"/>
      <c r="K35" s="128"/>
      <c r="L35" s="129"/>
      <c r="M35" s="130"/>
      <c r="N35" s="131"/>
      <c r="Q35" s="132"/>
      <c r="R35" s="133"/>
      <c r="S35" s="133"/>
    </row>
    <row r="36" spans="1:20" s="134" customFormat="1" ht="20.100000000000001" hidden="1" customHeight="1">
      <c r="A36" s="536"/>
      <c r="B36" s="40"/>
      <c r="C36" s="123"/>
      <c r="D36" s="40"/>
      <c r="E36" s="124"/>
      <c r="F36" s="124"/>
      <c r="G36" s="125"/>
      <c r="H36" s="126"/>
      <c r="I36" s="126"/>
      <c r="J36" s="40"/>
      <c r="K36" s="128"/>
      <c r="L36" s="129"/>
      <c r="M36" s="130"/>
      <c r="N36" s="131"/>
      <c r="O36" s="40"/>
      <c r="P36" s="118"/>
      <c r="Q36" s="132"/>
      <c r="R36" s="133"/>
      <c r="S36" s="133"/>
      <c r="T36" s="40"/>
    </row>
    <row r="37" spans="1:20" s="134" customFormat="1" ht="20.100000000000001" hidden="1" customHeight="1">
      <c r="A37" s="536"/>
      <c r="B37" s="40"/>
      <c r="C37" s="123"/>
      <c r="D37" s="40"/>
      <c r="E37" s="124"/>
      <c r="F37" s="124"/>
      <c r="G37" s="125"/>
      <c r="H37" s="126"/>
      <c r="I37" s="126"/>
      <c r="J37" s="40"/>
      <c r="K37" s="128"/>
      <c r="L37" s="129"/>
      <c r="M37" s="130"/>
      <c r="N37" s="131"/>
      <c r="O37" s="40"/>
      <c r="P37" s="118"/>
      <c r="Q37" s="132"/>
      <c r="R37" s="133"/>
      <c r="S37" s="133"/>
      <c r="T37" s="40"/>
    </row>
    <row r="38" spans="1:20" ht="20.100000000000001" hidden="1" customHeight="1">
      <c r="A38" s="536"/>
      <c r="C38" s="123"/>
      <c r="E38" s="124"/>
      <c r="F38" s="124"/>
      <c r="G38" s="125"/>
      <c r="H38" s="126"/>
      <c r="I38" s="126"/>
      <c r="K38" s="128"/>
      <c r="L38" s="129"/>
      <c r="M38" s="130"/>
      <c r="N38" s="131"/>
      <c r="Q38" s="132"/>
      <c r="R38" s="133"/>
      <c r="S38" s="133"/>
    </row>
    <row r="39" spans="1:20" s="134" customFormat="1" ht="20.100000000000001" hidden="1" customHeight="1">
      <c r="A39" s="536"/>
      <c r="B39" s="40"/>
      <c r="C39" s="123"/>
      <c r="D39" s="40"/>
      <c r="E39" s="124"/>
      <c r="F39" s="124"/>
      <c r="G39" s="125"/>
      <c r="H39" s="126"/>
      <c r="I39" s="126"/>
      <c r="J39" s="40"/>
      <c r="K39" s="128"/>
      <c r="L39" s="129"/>
      <c r="M39" s="130"/>
      <c r="N39" s="131"/>
      <c r="O39" s="40"/>
      <c r="P39" s="118"/>
      <c r="Q39" s="132"/>
      <c r="R39" s="133"/>
      <c r="S39" s="133"/>
      <c r="T39" s="40"/>
    </row>
    <row r="40" spans="1:20" s="134" customFormat="1" ht="20.100000000000001" hidden="1" customHeight="1">
      <c r="A40" s="536"/>
      <c r="B40" s="40"/>
      <c r="C40" s="123"/>
      <c r="D40" s="40"/>
      <c r="E40" s="124"/>
      <c r="F40" s="124"/>
      <c r="G40" s="125"/>
      <c r="H40" s="126"/>
      <c r="I40" s="126"/>
      <c r="J40" s="40"/>
      <c r="K40" s="128"/>
      <c r="L40" s="129"/>
      <c r="M40" s="130"/>
      <c r="N40" s="131"/>
      <c r="O40" s="40"/>
      <c r="P40" s="118"/>
      <c r="Q40" s="132"/>
      <c r="R40" s="133"/>
      <c r="S40" s="133"/>
      <c r="T40" s="40"/>
    </row>
    <row r="41" spans="1:20" s="134" customFormat="1" ht="20.100000000000001" hidden="1" customHeight="1">
      <c r="A41" s="536"/>
      <c r="B41" s="40"/>
      <c r="C41" s="123"/>
      <c r="D41" s="40"/>
      <c r="E41" s="124"/>
      <c r="F41" s="124"/>
      <c r="G41" s="125"/>
      <c r="H41" s="126"/>
      <c r="I41" s="126"/>
      <c r="J41" s="40"/>
      <c r="K41" s="128"/>
      <c r="L41" s="129"/>
      <c r="M41" s="130"/>
      <c r="N41" s="131"/>
      <c r="O41" s="40"/>
      <c r="P41" s="118"/>
      <c r="Q41" s="132"/>
      <c r="R41" s="133"/>
      <c r="S41" s="133"/>
      <c r="T41" s="40"/>
    </row>
    <row r="42" spans="1:20" ht="20.100000000000001" hidden="1" customHeight="1">
      <c r="A42" s="536"/>
      <c r="C42" s="123"/>
      <c r="E42" s="124"/>
      <c r="F42" s="124"/>
      <c r="G42" s="125"/>
      <c r="H42" s="126"/>
      <c r="I42" s="126"/>
      <c r="K42" s="128"/>
      <c r="L42" s="129"/>
      <c r="M42" s="130"/>
      <c r="N42" s="131"/>
      <c r="Q42" s="132"/>
      <c r="R42" s="133"/>
      <c r="S42" s="133"/>
    </row>
    <row r="43" spans="1:20" ht="20.100000000000001" hidden="1" customHeight="1">
      <c r="A43" s="536"/>
      <c r="C43" s="123"/>
      <c r="E43" s="124"/>
      <c r="F43" s="124"/>
      <c r="G43" s="125"/>
      <c r="H43" s="126"/>
      <c r="I43" s="126"/>
      <c r="K43" s="128"/>
      <c r="L43" s="129"/>
      <c r="M43" s="130"/>
      <c r="N43" s="131"/>
      <c r="Q43" s="132"/>
      <c r="R43" s="133"/>
      <c r="S43" s="133"/>
    </row>
    <row r="44" spans="1:20" ht="20.100000000000001" hidden="1" customHeight="1">
      <c r="A44" s="536"/>
      <c r="C44" s="123"/>
      <c r="E44" s="124"/>
      <c r="F44" s="124"/>
      <c r="G44" s="125"/>
      <c r="H44" s="126"/>
      <c r="I44" s="126"/>
      <c r="K44" s="128"/>
      <c r="L44" s="129"/>
      <c r="M44" s="130"/>
      <c r="N44" s="131"/>
      <c r="Q44" s="132"/>
      <c r="R44" s="133"/>
      <c r="S44" s="133"/>
    </row>
    <row r="45" spans="1:20" s="134" customFormat="1" ht="20.100000000000001" hidden="1" customHeight="1">
      <c r="A45" s="536"/>
      <c r="B45" s="40"/>
      <c r="C45" s="123"/>
      <c r="D45" s="40"/>
      <c r="E45" s="124"/>
      <c r="F45" s="124"/>
      <c r="G45" s="125"/>
      <c r="H45" s="126"/>
      <c r="I45" s="126"/>
      <c r="J45" s="40"/>
      <c r="K45" s="128"/>
      <c r="L45" s="129"/>
      <c r="M45" s="130"/>
      <c r="N45" s="131"/>
      <c r="O45" s="40"/>
      <c r="P45" s="118"/>
      <c r="Q45" s="132"/>
      <c r="R45" s="133"/>
      <c r="S45" s="133"/>
      <c r="T45" s="40"/>
    </row>
    <row r="46" spans="1:20" s="134" customFormat="1" ht="20.100000000000001" hidden="1" customHeight="1">
      <c r="A46" s="536"/>
      <c r="B46" s="40"/>
      <c r="C46" s="123"/>
      <c r="D46" s="40"/>
      <c r="E46" s="124"/>
      <c r="F46" s="124"/>
      <c r="G46" s="125"/>
      <c r="H46" s="126"/>
      <c r="I46" s="126"/>
      <c r="J46" s="40"/>
      <c r="K46" s="128"/>
      <c r="L46" s="129"/>
      <c r="M46" s="130"/>
      <c r="N46" s="131"/>
      <c r="O46" s="40"/>
      <c r="P46" s="118"/>
      <c r="Q46" s="132"/>
      <c r="R46" s="133"/>
      <c r="S46" s="133"/>
      <c r="T46" s="40"/>
    </row>
    <row r="47" spans="1:20">
      <c r="A47" s="537"/>
      <c r="E47" s="124"/>
      <c r="F47" s="124"/>
      <c r="G47" s="124"/>
      <c r="H47" s="124"/>
      <c r="I47" s="126"/>
      <c r="J47" s="126"/>
      <c r="K47" s="126"/>
      <c r="L47" s="128"/>
      <c r="M47" s="135"/>
      <c r="N47" s="136"/>
      <c r="O47" s="137"/>
    </row>
    <row r="48" spans="1:20">
      <c r="A48" s="537"/>
      <c r="E48" s="124"/>
      <c r="F48" s="124"/>
      <c r="G48" s="124"/>
      <c r="H48" s="124"/>
      <c r="I48" s="126"/>
      <c r="J48" s="126"/>
      <c r="K48" s="126"/>
      <c r="L48" s="128"/>
      <c r="M48" s="135"/>
      <c r="N48" s="136"/>
      <c r="O48" s="137"/>
    </row>
    <row r="49" spans="1:21" hidden="1">
      <c r="A49" s="537"/>
      <c r="B49" s="138"/>
      <c r="E49" s="133"/>
      <c r="F49" s="133"/>
      <c r="H49" s="139">
        <f>'1.0-Contractblad'!$L$27</f>
        <v>0</v>
      </c>
      <c r="I49" s="139">
        <f>H49</f>
        <v>0</v>
      </c>
      <c r="J49" s="139"/>
      <c r="K49" s="139"/>
      <c r="L49" s="139">
        <f>'1.0-Contractblad'!$L$39</f>
        <v>0</v>
      </c>
      <c r="M49" s="140"/>
      <c r="N49" s="140"/>
    </row>
    <row r="50" spans="1:21" ht="15.95" hidden="1" thickBot="1">
      <c r="A50" s="537" t="s">
        <v>111</v>
      </c>
      <c r="B50" s="138"/>
      <c r="D50" s="141"/>
      <c r="E50" s="142"/>
      <c r="F50" s="142"/>
      <c r="G50" s="141"/>
      <c r="H50" s="141"/>
    </row>
    <row r="51" spans="1:21" s="180" customFormat="1" ht="48" customHeight="1">
      <c r="A51" s="538" t="s">
        <v>111</v>
      </c>
      <c r="B51" s="176" t="s">
        <v>96</v>
      </c>
      <c r="C51" s="87" t="s">
        <v>97</v>
      </c>
      <c r="D51" s="177" t="s">
        <v>112</v>
      </c>
      <c r="E51" s="87" t="s">
        <v>113</v>
      </c>
      <c r="F51" s="87" t="s">
        <v>114</v>
      </c>
      <c r="G51" s="87" t="s">
        <v>115</v>
      </c>
      <c r="H51" s="87" t="s">
        <v>116</v>
      </c>
      <c r="I51" s="87" t="s">
        <v>117</v>
      </c>
      <c r="J51" s="87" t="s">
        <v>118</v>
      </c>
      <c r="K51" s="87" t="s">
        <v>119</v>
      </c>
      <c r="L51" s="87" t="s">
        <v>120</v>
      </c>
      <c r="M51" s="87" t="s">
        <v>121</v>
      </c>
      <c r="Q51" s="181"/>
      <c r="R51" s="175"/>
      <c r="S51" s="175"/>
      <c r="T51" s="175"/>
      <c r="U51" s="175"/>
    </row>
    <row r="52" spans="1:21" s="175" customFormat="1">
      <c r="A52" s="535"/>
      <c r="B52" s="186"/>
      <c r="C52" s="90"/>
      <c r="D52" s="182"/>
      <c r="E52" s="183"/>
      <c r="F52" s="183"/>
      <c r="G52" s="90"/>
      <c r="H52" s="90"/>
      <c r="I52" s="90"/>
      <c r="J52" s="90"/>
      <c r="K52" s="90"/>
      <c r="L52" s="90"/>
      <c r="M52" s="90"/>
      <c r="N52" s="185"/>
      <c r="Q52" s="90"/>
    </row>
    <row r="53" spans="1:21" ht="20.100000000000001" customHeight="1">
      <c r="A53" s="648">
        <f>A13</f>
        <v>1</v>
      </c>
      <c r="B53" s="138" t="str">
        <f>B13</f>
        <v>Invest-NL</v>
      </c>
      <c r="C53" s="40" t="str">
        <f>C13</f>
        <v>Kingsfordweg 43-117</v>
      </c>
      <c r="D53" s="143">
        <f>SUMIF('1.0-Contractblad'!$A$52:$A$56,'1.1a-Jaarprijzen'!B53,'1.0-Contractblad'!$J$52:$J$56)</f>
        <v>0</v>
      </c>
      <c r="E53" s="144">
        <f>VLOOKUP($B53,'1.6-Machine-investeringskosten'!$E$99:$H$141,4,FALSE)</f>
        <v>0</v>
      </c>
      <c r="F53" s="144">
        <f>$H$49*H13+$I$49*I13</f>
        <v>0</v>
      </c>
      <c r="G53" s="144">
        <f>$L$49*K13</f>
        <v>0</v>
      </c>
      <c r="H53" s="144">
        <f>$H$49*J13</f>
        <v>0</v>
      </c>
      <c r="I53" s="144">
        <f>E53+F53+G53+D53+H53</f>
        <v>0</v>
      </c>
      <c r="J53" s="145">
        <f>SUMIF('1.3A-Mutaties'!E:E,'1.1a-Jaarprijzen'!B53,'1.3A-Mutaties'!Z:Z)</f>
        <v>0</v>
      </c>
      <c r="K53" s="146"/>
      <c r="L53" s="127">
        <f>SUMIF('1.8-Glasbewassing'!D:D,'1.1a-Jaarprijzen'!B53,'1.8-Glasbewassing'!V:W)</f>
        <v>0</v>
      </c>
      <c r="M53" s="127">
        <f>I53+L53</f>
        <v>0</v>
      </c>
      <c r="N53" s="118"/>
      <c r="Q53" s="147">
        <f t="shared" ref="Q53" ca="1" si="2">L53/(E13)</f>
        <v>0</v>
      </c>
      <c r="T53" s="163"/>
    </row>
    <row r="54" spans="1:21" ht="20.100000000000001" hidden="1" customHeight="1">
      <c r="A54" s="648"/>
      <c r="B54" s="138"/>
      <c r="D54" s="143"/>
      <c r="E54" s="144"/>
      <c r="F54" s="144"/>
      <c r="G54" s="144"/>
      <c r="H54" s="144"/>
      <c r="I54" s="144"/>
      <c r="J54" s="145"/>
      <c r="K54" s="146"/>
      <c r="L54" s="127"/>
      <c r="M54" s="127"/>
      <c r="N54" s="118"/>
      <c r="Q54" s="147"/>
      <c r="T54" s="163"/>
    </row>
    <row r="55" spans="1:21" ht="20.100000000000001" hidden="1" customHeight="1">
      <c r="A55" s="648"/>
      <c r="B55" s="138"/>
      <c r="D55" s="143"/>
      <c r="E55" s="144"/>
      <c r="F55" s="144"/>
      <c r="G55" s="144"/>
      <c r="H55" s="144"/>
      <c r="I55" s="144"/>
      <c r="J55" s="145"/>
      <c r="K55" s="146"/>
      <c r="L55" s="127"/>
      <c r="M55" s="127"/>
      <c r="N55" s="118"/>
      <c r="Q55" s="147"/>
      <c r="T55" s="163"/>
    </row>
    <row r="56" spans="1:21" ht="20.100000000000001" hidden="1" customHeight="1">
      <c r="A56" s="648"/>
      <c r="B56" s="138"/>
      <c r="D56" s="143"/>
      <c r="E56" s="144"/>
      <c r="F56" s="144"/>
      <c r="G56" s="144"/>
      <c r="H56" s="144"/>
      <c r="I56" s="144"/>
      <c r="J56" s="145"/>
      <c r="K56" s="146"/>
      <c r="L56" s="127"/>
      <c r="M56" s="127"/>
      <c r="N56" s="118"/>
      <c r="Q56" s="147"/>
      <c r="T56" s="163"/>
    </row>
    <row r="57" spans="1:21" ht="20.100000000000001" hidden="1" customHeight="1">
      <c r="A57" s="648"/>
      <c r="B57" s="138"/>
      <c r="D57" s="143"/>
      <c r="E57" s="144"/>
      <c r="F57" s="144"/>
      <c r="G57" s="144"/>
      <c r="H57" s="144"/>
      <c r="I57" s="144"/>
      <c r="J57" s="145"/>
      <c r="K57" s="146"/>
      <c r="L57" s="127"/>
      <c r="M57" s="127"/>
      <c r="N57" s="118"/>
      <c r="Q57" s="147"/>
      <c r="T57" s="163"/>
    </row>
    <row r="58" spans="1:21" ht="20.100000000000001" hidden="1" customHeight="1">
      <c r="A58" s="648"/>
      <c r="B58" s="138"/>
      <c r="D58" s="143"/>
      <c r="E58" s="144"/>
      <c r="F58" s="144"/>
      <c r="G58" s="144"/>
      <c r="H58" s="144"/>
      <c r="I58" s="144"/>
      <c r="J58" s="145"/>
      <c r="K58" s="146"/>
      <c r="L58" s="127"/>
      <c r="M58" s="127"/>
      <c r="N58" s="118"/>
      <c r="Q58" s="147"/>
      <c r="T58" s="163"/>
    </row>
    <row r="59" spans="1:21" ht="20.100000000000001" hidden="1" customHeight="1">
      <c r="A59" s="648"/>
      <c r="B59" s="138"/>
      <c r="D59" s="143"/>
      <c r="E59" s="144"/>
      <c r="F59" s="144"/>
      <c r="G59" s="144"/>
      <c r="H59" s="144"/>
      <c r="I59" s="144"/>
      <c r="J59" s="145"/>
      <c r="K59" s="146"/>
      <c r="L59" s="127"/>
      <c r="M59" s="127"/>
      <c r="N59" s="118"/>
      <c r="Q59" s="147"/>
      <c r="T59" s="163"/>
    </row>
    <row r="60" spans="1:21" ht="20.100000000000001" hidden="1" customHeight="1">
      <c r="A60" s="648"/>
      <c r="B60" s="138"/>
      <c r="D60" s="143"/>
      <c r="E60" s="144"/>
      <c r="F60" s="144"/>
      <c r="G60" s="144"/>
      <c r="H60" s="144"/>
      <c r="I60" s="144"/>
      <c r="J60" s="145"/>
      <c r="K60" s="146"/>
      <c r="L60" s="127"/>
      <c r="M60" s="127"/>
      <c r="N60" s="118"/>
      <c r="Q60" s="147"/>
      <c r="T60" s="163"/>
    </row>
    <row r="61" spans="1:21" ht="20.100000000000001" hidden="1" customHeight="1">
      <c r="A61" s="648"/>
      <c r="B61" s="138"/>
      <c r="D61" s="143"/>
      <c r="E61" s="144"/>
      <c r="F61" s="144"/>
      <c r="G61" s="144"/>
      <c r="H61" s="144"/>
      <c r="I61" s="144"/>
      <c r="J61" s="145"/>
      <c r="K61" s="146"/>
      <c r="L61" s="127"/>
      <c r="M61" s="127"/>
      <c r="N61" s="118"/>
      <c r="Q61" s="147"/>
      <c r="T61" s="163"/>
    </row>
    <row r="62" spans="1:21" ht="20.100000000000001" hidden="1" customHeight="1">
      <c r="A62" s="648"/>
      <c r="B62" s="138"/>
      <c r="D62" s="143"/>
      <c r="E62" s="144"/>
      <c r="F62" s="144"/>
      <c r="G62" s="144"/>
      <c r="H62" s="144"/>
      <c r="I62" s="144"/>
      <c r="J62" s="145"/>
      <c r="K62" s="146"/>
      <c r="L62" s="127"/>
      <c r="M62" s="127"/>
      <c r="N62" s="118"/>
      <c r="Q62" s="147"/>
      <c r="T62" s="163"/>
    </row>
    <row r="63" spans="1:21" ht="20.100000000000001" hidden="1" customHeight="1">
      <c r="A63" s="648"/>
      <c r="B63" s="138"/>
      <c r="D63" s="143"/>
      <c r="E63" s="144"/>
      <c r="F63" s="144"/>
      <c r="G63" s="144"/>
      <c r="H63" s="144"/>
      <c r="I63" s="144"/>
      <c r="J63" s="145"/>
      <c r="K63" s="146"/>
      <c r="L63" s="127"/>
      <c r="M63" s="127"/>
      <c r="N63" s="118"/>
      <c r="Q63" s="147"/>
      <c r="T63" s="163"/>
    </row>
    <row r="64" spans="1:21" ht="20.100000000000001" hidden="1" customHeight="1">
      <c r="A64" s="648"/>
      <c r="B64" s="138"/>
      <c r="D64" s="143"/>
      <c r="E64" s="144"/>
      <c r="F64" s="144"/>
      <c r="G64" s="144"/>
      <c r="H64" s="144"/>
      <c r="I64" s="144"/>
      <c r="J64" s="145"/>
      <c r="K64" s="146"/>
      <c r="L64" s="127"/>
      <c r="M64" s="127"/>
      <c r="N64" s="118"/>
      <c r="Q64" s="147"/>
      <c r="T64" s="163"/>
    </row>
    <row r="65" spans="1:20" ht="20.100000000000001" hidden="1" customHeight="1">
      <c r="A65" s="648"/>
      <c r="B65" s="138"/>
      <c r="D65" s="143"/>
      <c r="E65" s="144"/>
      <c r="F65" s="144"/>
      <c r="G65" s="144"/>
      <c r="H65" s="144"/>
      <c r="I65" s="144"/>
      <c r="J65" s="145"/>
      <c r="K65" s="146"/>
      <c r="L65" s="127"/>
      <c r="M65" s="127"/>
      <c r="N65" s="118"/>
      <c r="Q65" s="147"/>
      <c r="T65" s="163"/>
    </row>
    <row r="66" spans="1:20" ht="20.100000000000001" hidden="1" customHeight="1">
      <c r="A66" s="648"/>
      <c r="B66" s="138"/>
      <c r="D66" s="143"/>
      <c r="E66" s="144"/>
      <c r="F66" s="144"/>
      <c r="G66" s="144"/>
      <c r="H66" s="144"/>
      <c r="I66" s="144"/>
      <c r="J66" s="145"/>
      <c r="K66" s="146"/>
      <c r="L66" s="127"/>
      <c r="M66" s="127"/>
      <c r="N66" s="118"/>
      <c r="Q66" s="147"/>
      <c r="T66" s="163"/>
    </row>
    <row r="67" spans="1:20" ht="20.100000000000001" hidden="1" customHeight="1">
      <c r="A67" s="648"/>
      <c r="B67" s="138"/>
      <c r="D67" s="143"/>
      <c r="E67" s="144"/>
      <c r="F67" s="144"/>
      <c r="G67" s="144"/>
      <c r="H67" s="144"/>
      <c r="I67" s="144"/>
      <c r="J67" s="145"/>
      <c r="K67" s="146"/>
      <c r="L67" s="127"/>
      <c r="M67" s="127"/>
      <c r="N67" s="118"/>
      <c r="Q67" s="147"/>
      <c r="T67" s="163"/>
    </row>
    <row r="68" spans="1:20" ht="20.100000000000001" hidden="1" customHeight="1">
      <c r="A68" s="648"/>
      <c r="B68" s="138"/>
      <c r="D68" s="143"/>
      <c r="E68" s="144"/>
      <c r="F68" s="144"/>
      <c r="G68" s="144"/>
      <c r="H68" s="144"/>
      <c r="I68" s="144"/>
      <c r="J68" s="145"/>
      <c r="K68" s="146"/>
      <c r="L68" s="127"/>
      <c r="M68" s="127"/>
      <c r="N68" s="118"/>
      <c r="Q68" s="147"/>
      <c r="T68" s="163"/>
    </row>
    <row r="69" spans="1:20" ht="20.100000000000001" hidden="1" customHeight="1">
      <c r="A69" s="648"/>
      <c r="B69" s="138"/>
      <c r="D69" s="143"/>
      <c r="E69" s="144"/>
      <c r="F69" s="144"/>
      <c r="G69" s="144"/>
      <c r="H69" s="144"/>
      <c r="I69" s="144"/>
      <c r="J69" s="145"/>
      <c r="K69" s="146"/>
      <c r="L69" s="127"/>
      <c r="M69" s="127"/>
      <c r="N69" s="118"/>
      <c r="Q69" s="147"/>
      <c r="T69" s="163"/>
    </row>
    <row r="70" spans="1:20" ht="20.100000000000001" hidden="1" customHeight="1">
      <c r="A70" s="648"/>
      <c r="B70" s="138"/>
      <c r="D70" s="143"/>
      <c r="E70" s="144"/>
      <c r="F70" s="144"/>
      <c r="G70" s="144"/>
      <c r="H70" s="144"/>
      <c r="I70" s="144"/>
      <c r="J70" s="145"/>
      <c r="K70" s="146"/>
      <c r="L70" s="127"/>
      <c r="M70" s="127"/>
      <c r="N70" s="118"/>
      <c r="Q70" s="147"/>
      <c r="T70" s="163"/>
    </row>
    <row r="71" spans="1:20" ht="20.100000000000001" customHeight="1">
      <c r="A71" s="648"/>
      <c r="B71" s="138"/>
      <c r="D71" s="143"/>
      <c r="E71" s="144"/>
      <c r="F71" s="144"/>
      <c r="G71" s="144"/>
      <c r="H71" s="144"/>
      <c r="I71" s="144"/>
      <c r="J71" s="145"/>
      <c r="K71" s="146"/>
      <c r="L71" s="127"/>
      <c r="M71" s="127"/>
      <c r="N71" s="118"/>
      <c r="Q71" s="147"/>
      <c r="T71" s="163"/>
    </row>
    <row r="72" spans="1:20" ht="20.100000000000001" hidden="1" customHeight="1">
      <c r="A72" s="648"/>
      <c r="B72" s="138"/>
      <c r="D72" s="143"/>
      <c r="E72" s="144"/>
      <c r="F72" s="144"/>
      <c r="G72" s="144"/>
      <c r="H72" s="144"/>
      <c r="I72" s="144"/>
      <c r="J72" s="145"/>
      <c r="K72" s="146"/>
      <c r="L72" s="127"/>
      <c r="M72" s="127"/>
      <c r="N72" s="118"/>
      <c r="Q72" s="147"/>
      <c r="T72" s="163"/>
    </row>
    <row r="73" spans="1:20" ht="20.100000000000001" hidden="1" customHeight="1">
      <c r="A73" s="648"/>
      <c r="B73" s="138"/>
      <c r="D73" s="143"/>
      <c r="E73" s="144"/>
      <c r="F73" s="144"/>
      <c r="G73" s="144"/>
      <c r="H73" s="144"/>
      <c r="I73" s="144"/>
      <c r="J73" s="145"/>
      <c r="K73" s="146"/>
      <c r="L73" s="127"/>
      <c r="M73" s="127"/>
      <c r="N73" s="118"/>
      <c r="Q73" s="147"/>
      <c r="T73" s="163"/>
    </row>
    <row r="74" spans="1:20" ht="20.100000000000001" hidden="1" customHeight="1">
      <c r="A74" s="648"/>
      <c r="B74" s="138"/>
      <c r="D74" s="143"/>
      <c r="E74" s="144"/>
      <c r="F74" s="144"/>
      <c r="G74" s="144"/>
      <c r="H74" s="144"/>
      <c r="I74" s="144"/>
      <c r="J74" s="145"/>
      <c r="K74" s="146"/>
      <c r="L74" s="127"/>
      <c r="M74" s="127"/>
      <c r="N74" s="118"/>
      <c r="Q74" s="147"/>
      <c r="T74" s="163"/>
    </row>
    <row r="75" spans="1:20" ht="20.100000000000001" hidden="1" customHeight="1">
      <c r="A75" s="648"/>
      <c r="B75" s="138"/>
      <c r="D75" s="143"/>
      <c r="E75" s="144"/>
      <c r="F75" s="144"/>
      <c r="G75" s="144"/>
      <c r="H75" s="144"/>
      <c r="I75" s="144"/>
      <c r="J75" s="145"/>
      <c r="K75" s="146"/>
      <c r="L75" s="127"/>
      <c r="M75" s="127"/>
      <c r="N75" s="118"/>
      <c r="Q75" s="147"/>
      <c r="T75" s="163"/>
    </row>
    <row r="76" spans="1:20" ht="20.100000000000001" hidden="1" customHeight="1">
      <c r="A76" s="648"/>
      <c r="B76" s="138"/>
      <c r="D76" s="143"/>
      <c r="E76" s="144"/>
      <c r="F76" s="144"/>
      <c r="G76" s="144"/>
      <c r="H76" s="144"/>
      <c r="I76" s="144"/>
      <c r="J76" s="145"/>
      <c r="K76" s="146"/>
      <c r="L76" s="127"/>
      <c r="M76" s="127"/>
      <c r="N76" s="118"/>
      <c r="Q76" s="147"/>
      <c r="T76" s="163"/>
    </row>
    <row r="77" spans="1:20" ht="20.100000000000001" hidden="1" customHeight="1">
      <c r="A77" s="648"/>
      <c r="B77" s="138"/>
      <c r="D77" s="143"/>
      <c r="E77" s="144"/>
      <c r="F77" s="144"/>
      <c r="G77" s="144"/>
      <c r="H77" s="144"/>
      <c r="I77" s="144"/>
      <c r="J77" s="145"/>
      <c r="K77" s="146"/>
      <c r="L77" s="127"/>
      <c r="M77" s="127"/>
      <c r="N77" s="118"/>
      <c r="Q77" s="147"/>
      <c r="T77" s="163"/>
    </row>
    <row r="78" spans="1:20" ht="20.100000000000001" hidden="1" customHeight="1">
      <c r="A78" s="648"/>
      <c r="B78" s="138"/>
      <c r="D78" s="143"/>
      <c r="E78" s="144"/>
      <c r="F78" s="144"/>
      <c r="G78" s="144"/>
      <c r="H78" s="144"/>
      <c r="I78" s="144"/>
      <c r="J78" s="145"/>
      <c r="K78" s="146"/>
      <c r="L78" s="127"/>
      <c r="M78" s="127"/>
      <c r="N78" s="118"/>
      <c r="Q78" s="147"/>
      <c r="T78" s="163"/>
    </row>
    <row r="79" spans="1:20" ht="20.100000000000001" hidden="1" customHeight="1">
      <c r="A79" s="648"/>
      <c r="B79" s="138"/>
      <c r="D79" s="143"/>
      <c r="E79" s="144"/>
      <c r="F79" s="144"/>
      <c r="G79" s="144"/>
      <c r="H79" s="144"/>
      <c r="I79" s="144"/>
      <c r="J79" s="145"/>
      <c r="K79" s="146"/>
      <c r="L79" s="127"/>
      <c r="M79" s="127"/>
      <c r="N79" s="118"/>
      <c r="Q79" s="147"/>
      <c r="T79" s="163"/>
    </row>
    <row r="80" spans="1:20" ht="20.100000000000001" hidden="1" customHeight="1">
      <c r="A80" s="648"/>
      <c r="B80" s="138"/>
      <c r="D80" s="143"/>
      <c r="E80" s="144"/>
      <c r="F80" s="144"/>
      <c r="G80" s="144"/>
      <c r="H80" s="144"/>
      <c r="I80" s="144"/>
      <c r="J80" s="145"/>
      <c r="K80" s="146"/>
      <c r="L80" s="127"/>
      <c r="M80" s="127"/>
      <c r="N80" s="118"/>
      <c r="Q80" s="147"/>
      <c r="T80" s="163"/>
    </row>
    <row r="81" spans="1:20" ht="20.100000000000001" hidden="1" customHeight="1">
      <c r="A81" s="648"/>
      <c r="B81" s="138"/>
      <c r="D81" s="143"/>
      <c r="E81" s="144"/>
      <c r="F81" s="144"/>
      <c r="G81" s="144"/>
      <c r="H81" s="144"/>
      <c r="I81" s="144"/>
      <c r="J81" s="145"/>
      <c r="K81" s="146"/>
      <c r="L81" s="127"/>
      <c r="M81" s="127"/>
      <c r="N81" s="118"/>
      <c r="Q81" s="147"/>
      <c r="T81" s="163"/>
    </row>
    <row r="82" spans="1:20" ht="20.100000000000001" hidden="1" customHeight="1">
      <c r="A82" s="648"/>
      <c r="B82" s="138"/>
      <c r="D82" s="143"/>
      <c r="E82" s="144"/>
      <c r="F82" s="144"/>
      <c r="G82" s="144"/>
      <c r="H82" s="144"/>
      <c r="I82" s="144"/>
      <c r="J82" s="145"/>
      <c r="K82" s="146"/>
      <c r="L82" s="127"/>
      <c r="M82" s="127"/>
      <c r="N82" s="118"/>
      <c r="Q82" s="147"/>
      <c r="T82" s="163"/>
    </row>
    <row r="83" spans="1:20" ht="20.100000000000001" hidden="1" customHeight="1">
      <c r="A83" s="648"/>
      <c r="B83" s="138"/>
      <c r="D83" s="143"/>
      <c r="E83" s="144"/>
      <c r="F83" s="144"/>
      <c r="G83" s="144"/>
      <c r="H83" s="144"/>
      <c r="I83" s="144"/>
      <c r="J83" s="145"/>
      <c r="K83" s="146"/>
      <c r="L83" s="127"/>
      <c r="M83" s="127"/>
      <c r="N83" s="118"/>
      <c r="Q83" s="147"/>
      <c r="T83" s="163"/>
    </row>
    <row r="84" spans="1:20" ht="20.100000000000001" hidden="1" customHeight="1">
      <c r="A84" s="648"/>
      <c r="B84" s="138"/>
      <c r="D84" s="143"/>
      <c r="E84" s="144"/>
      <c r="F84" s="144"/>
      <c r="G84" s="144"/>
      <c r="H84" s="144"/>
      <c r="I84" s="144"/>
      <c r="J84" s="145"/>
      <c r="K84" s="146"/>
      <c r="L84" s="127"/>
      <c r="M84" s="127"/>
      <c r="N84" s="118"/>
      <c r="Q84" s="147"/>
      <c r="T84" s="163"/>
    </row>
    <row r="85" spans="1:20" ht="20.100000000000001" hidden="1" customHeight="1">
      <c r="A85" s="648"/>
      <c r="B85" s="138"/>
      <c r="D85" s="143"/>
      <c r="E85" s="144"/>
      <c r="F85" s="144"/>
      <c r="G85" s="144"/>
      <c r="H85" s="144"/>
      <c r="I85" s="144"/>
      <c r="J85" s="145"/>
      <c r="K85" s="146"/>
      <c r="L85" s="127"/>
      <c r="M85" s="127"/>
      <c r="N85" s="118"/>
      <c r="Q85" s="147"/>
      <c r="T85" s="163"/>
    </row>
    <row r="86" spans="1:20" ht="20.100000000000001" hidden="1" customHeight="1">
      <c r="A86" s="648"/>
      <c r="B86" s="138"/>
      <c r="D86" s="143"/>
      <c r="E86" s="144"/>
      <c r="F86" s="144"/>
      <c r="G86" s="144"/>
      <c r="H86" s="144"/>
      <c r="I86" s="144"/>
      <c r="J86" s="145"/>
      <c r="K86" s="146"/>
      <c r="L86" s="127"/>
      <c r="M86" s="127"/>
      <c r="N86" s="118"/>
      <c r="Q86" s="147"/>
      <c r="T86" s="163"/>
    </row>
    <row r="87" spans="1:20" hidden="1">
      <c r="A87" s="648"/>
      <c r="B87" s="138"/>
      <c r="D87" s="143"/>
      <c r="E87" s="144"/>
      <c r="F87" s="144"/>
      <c r="G87" s="144"/>
      <c r="H87" s="144"/>
      <c r="I87" s="144"/>
      <c r="J87" s="145"/>
      <c r="K87" s="146"/>
      <c r="L87" s="149"/>
      <c r="M87" s="144"/>
      <c r="N87" s="147"/>
      <c r="Q87" s="148"/>
      <c r="T87" s="163"/>
    </row>
    <row r="88" spans="1:20" ht="17.100000000000001" hidden="1">
      <c r="A88" s="649"/>
      <c r="E88" s="133"/>
      <c r="F88" s="133"/>
      <c r="H88" s="150"/>
      <c r="I88" s="151"/>
      <c r="J88" s="151"/>
      <c r="K88" s="152"/>
      <c r="L88" s="151"/>
      <c r="M88" s="151"/>
      <c r="N88" s="153"/>
      <c r="Q88" s="154"/>
    </row>
    <row r="89" spans="1:20">
      <c r="A89" s="650"/>
      <c r="B89" s="156"/>
      <c r="E89" s="133"/>
      <c r="F89" s="133"/>
      <c r="Q89" s="118"/>
    </row>
    <row r="90" spans="1:20" s="159" customFormat="1" ht="17.100000000000001">
      <c r="A90" s="651">
        <v>1</v>
      </c>
      <c r="C90" s="620" t="s">
        <v>122</v>
      </c>
      <c r="D90" s="157">
        <f ca="1">SUMIF($A$53:$M$86,$A90,$D$53:$D$86)</f>
        <v>0</v>
      </c>
      <c r="E90" s="158">
        <f ca="1">SUMIF($A$53:$M$86,$A90,$E$53:$E$86)</f>
        <v>0</v>
      </c>
      <c r="F90" s="158">
        <f ca="1">SUMIF($A$53:$M$86,$A90,$F$53:$F$86)</f>
        <v>0</v>
      </c>
      <c r="G90" s="158">
        <f ca="1">SUMIF($A$53:$M$86,$A90,$G$53:$G$86)</f>
        <v>0</v>
      </c>
      <c r="H90" s="158">
        <f ca="1">SUMIF($A$53:$M$86,$A90,$H$53:$H$86)</f>
        <v>0</v>
      </c>
      <c r="I90" s="158">
        <f ca="1">SUMIF($A$53:$M$86,$A90,$I$53:$I$86)</f>
        <v>0</v>
      </c>
      <c r="J90" s="158">
        <f ca="1">SUMIF($A$53:$M$86,$A90,$J$53:$J$86)</f>
        <v>0</v>
      </c>
      <c r="K90" s="158"/>
      <c r="L90" s="158">
        <f ca="1">SUMIF($A$53:$M$86,$A90,$L$53:$L$86)</f>
        <v>0</v>
      </c>
      <c r="M90" s="158">
        <f ca="1">SUMIF($A$53:$M$86,$A90,$M$53:$M$86)</f>
        <v>0</v>
      </c>
      <c r="Q90" s="160"/>
    </row>
    <row r="91" spans="1:20" ht="17.100000000000001">
      <c r="A91" s="651"/>
      <c r="B91" s="118"/>
      <c r="C91" s="620"/>
      <c r="D91" s="157"/>
      <c r="E91" s="158"/>
      <c r="F91" s="158"/>
      <c r="G91" s="158"/>
      <c r="H91" s="158"/>
      <c r="I91" s="158"/>
      <c r="J91" s="158"/>
      <c r="K91" s="158"/>
      <c r="L91" s="158"/>
      <c r="M91" s="158"/>
      <c r="Q91" s="155"/>
    </row>
    <row r="92" spans="1:20">
      <c r="A92" s="161"/>
      <c r="B92" s="156"/>
      <c r="E92" s="133"/>
      <c r="F92" s="133"/>
      <c r="P92" s="40"/>
      <c r="Q92" s="154"/>
    </row>
    <row r="93" spans="1:20" ht="17.100000000000001">
      <c r="A93" s="161"/>
      <c r="E93" s="133"/>
      <c r="F93" s="162"/>
      <c r="G93" s="162"/>
      <c r="H93" s="162"/>
      <c r="I93" s="150"/>
      <c r="J93" s="151"/>
      <c r="K93" s="151"/>
      <c r="L93" s="151"/>
      <c r="M93" s="150"/>
      <c r="N93" s="151"/>
      <c r="O93" s="151"/>
      <c r="P93" s="40"/>
      <c r="Q93" s="118"/>
    </row>
    <row r="94" spans="1:20">
      <c r="B94" s="164"/>
      <c r="C94" s="124"/>
      <c r="D94" s="132"/>
      <c r="E94" s="132"/>
      <c r="F94" s="132"/>
      <c r="G94" s="132"/>
      <c r="I94" s="163"/>
      <c r="J94" s="163"/>
    </row>
    <row r="95" spans="1:20">
      <c r="B95" s="164"/>
      <c r="C95" s="165"/>
      <c r="D95" s="165"/>
      <c r="E95" s="165"/>
      <c r="F95" s="165"/>
      <c r="G95" s="165"/>
      <c r="H95" s="165"/>
      <c r="M95" s="143"/>
    </row>
    <row r="96" spans="1:20">
      <c r="B96" s="166"/>
      <c r="C96" s="494" t="s">
        <v>123</v>
      </c>
      <c r="D96" s="494" t="s">
        <v>123</v>
      </c>
      <c r="E96" s="494" t="s">
        <v>123</v>
      </c>
      <c r="F96" s="494" t="s">
        <v>123</v>
      </c>
      <c r="G96" s="494" t="s">
        <v>123</v>
      </c>
      <c r="H96" s="167"/>
    </row>
    <row r="97" spans="2:14" ht="15.95">
      <c r="B97" s="166"/>
      <c r="C97" s="495">
        <v>2025</v>
      </c>
      <c r="D97" s="495">
        <f>C97+1</f>
        <v>2026</v>
      </c>
      <c r="E97" s="495">
        <f>D97+1</f>
        <v>2027</v>
      </c>
      <c r="F97" s="495">
        <f>E97+1</f>
        <v>2028</v>
      </c>
      <c r="G97" s="495">
        <f>F97+1</f>
        <v>2029</v>
      </c>
      <c r="H97" s="167"/>
      <c r="M97" s="168"/>
    </row>
    <row r="98" spans="2:14" ht="18" customHeight="1">
      <c r="B98" s="169" t="s">
        <v>124</v>
      </c>
      <c r="C98" s="491"/>
      <c r="D98" s="491"/>
      <c r="E98" s="491"/>
      <c r="F98" s="491"/>
      <c r="G98" s="492"/>
      <c r="H98" s="167"/>
    </row>
    <row r="99" spans="2:14">
      <c r="B99" s="169" t="s">
        <v>125</v>
      </c>
      <c r="C99" s="493"/>
      <c r="D99" s="493"/>
      <c r="E99" s="493"/>
      <c r="F99" s="493"/>
      <c r="G99" s="493"/>
      <c r="H99" s="167"/>
    </row>
    <row r="100" spans="2:14" hidden="1">
      <c r="B100" s="170">
        <v>1</v>
      </c>
      <c r="C100" s="171">
        <f>B100*C99+B100</f>
        <v>1</v>
      </c>
      <c r="D100" s="171">
        <f>C100*D99+C100</f>
        <v>1</v>
      </c>
      <c r="E100" s="171">
        <f>D100*E99+D100</f>
        <v>1</v>
      </c>
      <c r="F100" s="171">
        <f>E100*F99+E100</f>
        <v>1</v>
      </c>
      <c r="G100" s="171">
        <f>F100*G99+F100</f>
        <v>1</v>
      </c>
      <c r="H100" s="167"/>
    </row>
    <row r="101" spans="2:14" ht="15.95" thickBot="1">
      <c r="E101" s="133"/>
      <c r="F101" s="133"/>
    </row>
    <row r="102" spans="2:14">
      <c r="B102" s="189"/>
      <c r="C102" s="189"/>
      <c r="D102" s="189"/>
      <c r="E102" s="189"/>
      <c r="F102" s="189"/>
      <c r="G102" s="189"/>
      <c r="H102" s="189"/>
      <c r="I102" s="189"/>
      <c r="J102" s="189"/>
      <c r="K102" s="189"/>
      <c r="L102" s="189"/>
      <c r="M102" s="189"/>
      <c r="N102" s="189"/>
    </row>
    <row r="103" spans="2:14">
      <c r="B103" s="164"/>
      <c r="E103" s="133"/>
      <c r="F103" s="133"/>
    </row>
    <row r="104" spans="2:14">
      <c r="E104" s="133"/>
      <c r="F104" s="133"/>
    </row>
    <row r="105" spans="2:14">
      <c r="E105" s="133"/>
      <c r="F105" s="133"/>
    </row>
    <row r="106" spans="2:14">
      <c r="E106" s="133"/>
      <c r="F106" s="133"/>
    </row>
    <row r="107" spans="2:14">
      <c r="E107" s="133"/>
      <c r="F107" s="133"/>
    </row>
    <row r="108" spans="2:14">
      <c r="E108" s="133"/>
      <c r="F108" s="133"/>
    </row>
    <row r="109" spans="2:14">
      <c r="E109" s="133"/>
      <c r="F109" s="133"/>
    </row>
    <row r="110" spans="2:14">
      <c r="E110" s="133"/>
      <c r="F110" s="133"/>
    </row>
    <row r="111" spans="2:14">
      <c r="E111" s="133"/>
      <c r="F111" s="133"/>
    </row>
    <row r="112" spans="2:14">
      <c r="E112" s="133"/>
      <c r="F112" s="133"/>
    </row>
    <row r="113" spans="5:6">
      <c r="E113" s="133"/>
      <c r="F113" s="133"/>
    </row>
    <row r="114" spans="5:6">
      <c r="E114" s="133"/>
      <c r="F114" s="133"/>
    </row>
    <row r="115" spans="5:6">
      <c r="E115" s="133"/>
      <c r="F115" s="133"/>
    </row>
    <row r="116" spans="5:6">
      <c r="E116" s="133"/>
      <c r="F116" s="133"/>
    </row>
    <row r="117" spans="5:6">
      <c r="E117" s="133"/>
      <c r="F117" s="133"/>
    </row>
    <row r="118" spans="5:6">
      <c r="E118" s="133"/>
      <c r="F118" s="133"/>
    </row>
    <row r="119" spans="5:6">
      <c r="E119" s="133"/>
      <c r="F119" s="133"/>
    </row>
    <row r="120" spans="5:6">
      <c r="E120" s="133"/>
      <c r="F120" s="133"/>
    </row>
    <row r="121" spans="5:6">
      <c r="E121" s="133"/>
      <c r="F121" s="133"/>
    </row>
    <row r="122" spans="5:6">
      <c r="E122" s="133"/>
      <c r="F122" s="133"/>
    </row>
    <row r="123" spans="5:6">
      <c r="E123" s="133"/>
      <c r="F123" s="133"/>
    </row>
    <row r="124" spans="5:6">
      <c r="E124" s="133"/>
      <c r="F124" s="133"/>
    </row>
    <row r="125" spans="5:6">
      <c r="E125" s="133"/>
      <c r="F125" s="133"/>
    </row>
    <row r="126" spans="5:6">
      <c r="E126" s="133"/>
      <c r="F126" s="133"/>
    </row>
    <row r="127" spans="5:6">
      <c r="E127" s="133"/>
      <c r="F127" s="133"/>
    </row>
    <row r="128" spans="5:6">
      <c r="E128" s="133"/>
      <c r="F128" s="133"/>
    </row>
    <row r="129" spans="5:6">
      <c r="E129" s="133"/>
      <c r="F129" s="133"/>
    </row>
    <row r="130" spans="5:6">
      <c r="E130" s="133"/>
      <c r="F130" s="133"/>
    </row>
    <row r="131" spans="5:6">
      <c r="E131" s="133"/>
      <c r="F131" s="133"/>
    </row>
    <row r="132" spans="5:6">
      <c r="E132" s="133"/>
      <c r="F132" s="133"/>
    </row>
    <row r="133" spans="5:6">
      <c r="E133" s="133"/>
      <c r="F133" s="133"/>
    </row>
    <row r="134" spans="5:6">
      <c r="E134" s="133"/>
      <c r="F134" s="133"/>
    </row>
    <row r="135" spans="5:6">
      <c r="E135" s="133"/>
      <c r="F135" s="133"/>
    </row>
    <row r="136" spans="5:6">
      <c r="E136" s="133"/>
      <c r="F136" s="133"/>
    </row>
    <row r="137" spans="5:6">
      <c r="E137" s="133"/>
      <c r="F137" s="133"/>
    </row>
    <row r="138" spans="5:6">
      <c r="E138" s="133"/>
      <c r="F138" s="133"/>
    </row>
    <row r="139" spans="5:6">
      <c r="E139" s="133"/>
      <c r="F139" s="133"/>
    </row>
    <row r="140" spans="5:6">
      <c r="E140" s="133"/>
      <c r="F140" s="133"/>
    </row>
    <row r="141" spans="5:6">
      <c r="E141" s="133"/>
      <c r="F141" s="133"/>
    </row>
    <row r="142" spans="5:6">
      <c r="E142" s="133"/>
      <c r="F142" s="133"/>
    </row>
    <row r="143" spans="5:6">
      <c r="E143" s="133"/>
      <c r="F143" s="133"/>
    </row>
    <row r="144" spans="5:6">
      <c r="E144" s="133"/>
      <c r="F144" s="133"/>
    </row>
    <row r="145" spans="5:6">
      <c r="E145" s="133"/>
      <c r="F145" s="133"/>
    </row>
    <row r="146" spans="5:6">
      <c r="E146" s="133"/>
      <c r="F146" s="133"/>
    </row>
    <row r="147" spans="5:6">
      <c r="E147" s="133"/>
      <c r="F147" s="133"/>
    </row>
    <row r="148" spans="5:6">
      <c r="E148" s="133"/>
      <c r="F148" s="133"/>
    </row>
    <row r="149" spans="5:6">
      <c r="E149" s="133"/>
      <c r="F149" s="133"/>
    </row>
    <row r="150" spans="5:6">
      <c r="E150" s="133"/>
      <c r="F150" s="133"/>
    </row>
    <row r="151" spans="5:6">
      <c r="E151" s="133"/>
      <c r="F151" s="133"/>
    </row>
    <row r="152" spans="5:6">
      <c r="E152" s="133"/>
      <c r="F152" s="133"/>
    </row>
    <row r="153" spans="5:6">
      <c r="E153" s="133"/>
      <c r="F153" s="133"/>
    </row>
    <row r="154" spans="5:6">
      <c r="E154" s="133"/>
      <c r="F154" s="133"/>
    </row>
    <row r="155" spans="5:6">
      <c r="E155" s="133"/>
      <c r="F155" s="133"/>
    </row>
    <row r="156" spans="5:6">
      <c r="E156" s="133"/>
      <c r="F156" s="133"/>
    </row>
    <row r="157" spans="5:6">
      <c r="E157" s="133"/>
      <c r="F157" s="133"/>
    </row>
    <row r="158" spans="5:6">
      <c r="E158" s="133"/>
      <c r="F158" s="133"/>
    </row>
    <row r="159" spans="5:6">
      <c r="E159" s="133"/>
      <c r="F159" s="133"/>
    </row>
    <row r="160" spans="5:6">
      <c r="E160" s="133"/>
      <c r="F160" s="133"/>
    </row>
    <row r="161" spans="5:6">
      <c r="E161" s="133"/>
      <c r="F161" s="133"/>
    </row>
    <row r="162" spans="5:6">
      <c r="E162" s="133"/>
      <c r="F162" s="133"/>
    </row>
    <row r="163" spans="5:6">
      <c r="E163" s="133"/>
      <c r="F163" s="133"/>
    </row>
    <row r="164" spans="5:6">
      <c r="E164" s="133"/>
      <c r="F164" s="133"/>
    </row>
    <row r="165" spans="5:6">
      <c r="E165" s="133"/>
      <c r="F165" s="133"/>
    </row>
    <row r="166" spans="5:6">
      <c r="E166" s="133"/>
      <c r="F166" s="133"/>
    </row>
    <row r="167" spans="5:6">
      <c r="E167" s="133"/>
      <c r="F167" s="133"/>
    </row>
    <row r="168" spans="5:6">
      <c r="E168" s="133"/>
      <c r="F168" s="133"/>
    </row>
    <row r="169" spans="5:6">
      <c r="E169" s="133"/>
      <c r="F169" s="133"/>
    </row>
    <row r="170" spans="5:6">
      <c r="E170" s="133"/>
      <c r="F170" s="133"/>
    </row>
    <row r="171" spans="5:6">
      <c r="E171" s="133"/>
      <c r="F171" s="133"/>
    </row>
    <row r="172" spans="5:6">
      <c r="E172" s="133"/>
      <c r="F172" s="133"/>
    </row>
    <row r="173" spans="5:6">
      <c r="E173" s="133"/>
      <c r="F173" s="133"/>
    </row>
    <row r="174" spans="5:6">
      <c r="E174" s="133"/>
      <c r="F174" s="133"/>
    </row>
    <row r="175" spans="5:6">
      <c r="E175" s="133"/>
      <c r="F175" s="133"/>
    </row>
    <row r="176" spans="5:6">
      <c r="E176" s="133"/>
      <c r="F176" s="133"/>
    </row>
    <row r="177" spans="5:6">
      <c r="E177" s="133"/>
      <c r="F177" s="133"/>
    </row>
    <row r="178" spans="5:6">
      <c r="E178" s="133"/>
      <c r="F178" s="133"/>
    </row>
    <row r="179" spans="5:6">
      <c r="E179" s="133"/>
      <c r="F179" s="133"/>
    </row>
    <row r="180" spans="5:6">
      <c r="E180" s="133"/>
      <c r="F180" s="133"/>
    </row>
    <row r="181" spans="5:6">
      <c r="E181" s="133"/>
      <c r="F181" s="133"/>
    </row>
    <row r="182" spans="5:6">
      <c r="E182" s="133"/>
      <c r="F182" s="133"/>
    </row>
    <row r="183" spans="5:6">
      <c r="E183" s="133"/>
      <c r="F183" s="133"/>
    </row>
    <row r="184" spans="5:6">
      <c r="E184" s="133"/>
      <c r="F184" s="133"/>
    </row>
    <row r="185" spans="5:6">
      <c r="E185" s="133"/>
      <c r="F185" s="133"/>
    </row>
    <row r="186" spans="5:6">
      <c r="E186" s="133"/>
      <c r="F186" s="133"/>
    </row>
    <row r="187" spans="5:6">
      <c r="E187" s="133"/>
      <c r="F187" s="133"/>
    </row>
    <row r="188" spans="5:6">
      <c r="E188" s="133"/>
      <c r="F188" s="133"/>
    </row>
    <row r="189" spans="5:6">
      <c r="E189" s="133"/>
      <c r="F189" s="133"/>
    </row>
    <row r="190" spans="5:6">
      <c r="E190" s="133"/>
      <c r="F190" s="133"/>
    </row>
    <row r="191" spans="5:6">
      <c r="E191" s="133"/>
      <c r="F191" s="133"/>
    </row>
    <row r="192" spans="5:6">
      <c r="E192" s="133"/>
      <c r="F192" s="133"/>
    </row>
    <row r="193" spans="5:6">
      <c r="E193" s="133"/>
      <c r="F193" s="133"/>
    </row>
    <row r="194" spans="5:6">
      <c r="E194" s="133"/>
      <c r="F194" s="133"/>
    </row>
    <row r="195" spans="5:6">
      <c r="E195" s="133"/>
      <c r="F195" s="133"/>
    </row>
    <row r="196" spans="5:6">
      <c r="E196" s="133"/>
      <c r="F196" s="133"/>
    </row>
    <row r="197" spans="5:6">
      <c r="E197" s="133"/>
      <c r="F197" s="133"/>
    </row>
    <row r="198" spans="5:6">
      <c r="E198" s="133"/>
      <c r="F198" s="133"/>
    </row>
    <row r="199" spans="5:6">
      <c r="E199" s="133"/>
      <c r="F199" s="133"/>
    </row>
    <row r="200" spans="5:6">
      <c r="E200" s="133"/>
      <c r="F200" s="133"/>
    </row>
    <row r="201" spans="5:6">
      <c r="E201" s="133"/>
      <c r="F201" s="133"/>
    </row>
    <row r="202" spans="5:6">
      <c r="E202" s="133"/>
      <c r="F202" s="133"/>
    </row>
    <row r="203" spans="5:6">
      <c r="E203" s="133"/>
      <c r="F203" s="133"/>
    </row>
    <row r="204" spans="5:6">
      <c r="E204" s="133"/>
      <c r="F204" s="133"/>
    </row>
    <row r="205" spans="5:6">
      <c r="E205" s="133"/>
      <c r="F205" s="133"/>
    </row>
    <row r="206" spans="5:6">
      <c r="E206" s="133"/>
      <c r="F206" s="133"/>
    </row>
    <row r="207" spans="5:6">
      <c r="E207" s="133"/>
      <c r="F207" s="133"/>
    </row>
    <row r="208" spans="5:6">
      <c r="E208" s="133"/>
      <c r="F208" s="133"/>
    </row>
    <row r="209" spans="5:6">
      <c r="E209" s="133"/>
      <c r="F209" s="133"/>
    </row>
    <row r="210" spans="5:6">
      <c r="E210" s="133"/>
      <c r="F210" s="133"/>
    </row>
    <row r="211" spans="5:6">
      <c r="E211" s="133"/>
      <c r="F211" s="133"/>
    </row>
    <row r="212" spans="5:6">
      <c r="E212" s="133"/>
      <c r="F212" s="133"/>
    </row>
    <row r="213" spans="5:6">
      <c r="E213" s="133"/>
      <c r="F213" s="133"/>
    </row>
    <row r="214" spans="5:6">
      <c r="E214" s="133"/>
      <c r="F214" s="133"/>
    </row>
    <row r="215" spans="5:6">
      <c r="E215" s="133"/>
      <c r="F215" s="133"/>
    </row>
    <row r="216" spans="5:6">
      <c r="E216" s="133"/>
      <c r="F216" s="133"/>
    </row>
    <row r="217" spans="5:6">
      <c r="E217" s="133"/>
      <c r="F217" s="133"/>
    </row>
    <row r="218" spans="5:6">
      <c r="E218" s="133"/>
      <c r="F218" s="133"/>
    </row>
    <row r="219" spans="5:6">
      <c r="E219" s="133"/>
      <c r="F219" s="133"/>
    </row>
    <row r="220" spans="5:6">
      <c r="E220" s="133"/>
      <c r="F220" s="133"/>
    </row>
    <row r="221" spans="5:6">
      <c r="E221" s="133"/>
      <c r="F221" s="133"/>
    </row>
    <row r="222" spans="5:6">
      <c r="E222" s="133"/>
      <c r="F222" s="133"/>
    </row>
    <row r="223" spans="5:6">
      <c r="E223" s="133"/>
      <c r="F223" s="133"/>
    </row>
    <row r="224" spans="5:6">
      <c r="E224" s="133"/>
      <c r="F224" s="133"/>
    </row>
    <row r="225" spans="5:6">
      <c r="E225" s="133"/>
      <c r="F225" s="133"/>
    </row>
    <row r="226" spans="5:6">
      <c r="E226" s="133"/>
      <c r="F226" s="133"/>
    </row>
    <row r="227" spans="5:6">
      <c r="E227" s="133"/>
      <c r="F227" s="133"/>
    </row>
    <row r="228" spans="5:6">
      <c r="E228" s="133"/>
      <c r="F228" s="133"/>
    </row>
    <row r="229" spans="5:6">
      <c r="E229" s="133"/>
      <c r="F229" s="133"/>
    </row>
    <row r="230" spans="5:6">
      <c r="E230" s="133"/>
      <c r="F230" s="133"/>
    </row>
    <row r="231" spans="5:6">
      <c r="E231" s="133"/>
      <c r="F231" s="133"/>
    </row>
    <row r="232" spans="5:6">
      <c r="E232" s="133"/>
      <c r="F232" s="133"/>
    </row>
    <row r="233" spans="5:6">
      <c r="E233" s="133"/>
      <c r="F233" s="133"/>
    </row>
    <row r="234" spans="5:6">
      <c r="E234" s="133"/>
      <c r="F234" s="133"/>
    </row>
    <row r="235" spans="5:6">
      <c r="E235" s="133"/>
      <c r="F235" s="133"/>
    </row>
    <row r="236" spans="5:6">
      <c r="E236" s="133"/>
      <c r="F236" s="133"/>
    </row>
    <row r="237" spans="5:6">
      <c r="E237" s="133"/>
      <c r="F237" s="133"/>
    </row>
    <row r="238" spans="5:6">
      <c r="E238" s="133"/>
      <c r="F238" s="133"/>
    </row>
    <row r="239" spans="5:6">
      <c r="E239" s="133"/>
      <c r="F239" s="133"/>
    </row>
    <row r="240" spans="5:6">
      <c r="E240" s="133"/>
      <c r="F240" s="133"/>
    </row>
    <row r="241" spans="5:6">
      <c r="E241" s="133"/>
      <c r="F241" s="133"/>
    </row>
    <row r="242" spans="5:6">
      <c r="E242" s="133"/>
      <c r="F242" s="133"/>
    </row>
    <row r="243" spans="5:6">
      <c r="E243" s="133"/>
      <c r="F243" s="133"/>
    </row>
    <row r="244" spans="5:6">
      <c r="E244" s="133"/>
      <c r="F244" s="133"/>
    </row>
    <row r="245" spans="5:6">
      <c r="E245" s="133"/>
      <c r="F245" s="133"/>
    </row>
    <row r="246" spans="5:6">
      <c r="E246" s="133"/>
      <c r="F246" s="133"/>
    </row>
    <row r="247" spans="5:6">
      <c r="E247" s="133"/>
      <c r="F247" s="133"/>
    </row>
    <row r="248" spans="5:6">
      <c r="E248" s="133"/>
      <c r="F248" s="133"/>
    </row>
    <row r="249" spans="5:6">
      <c r="E249" s="133"/>
      <c r="F249" s="133"/>
    </row>
    <row r="250" spans="5:6">
      <c r="E250" s="133"/>
      <c r="F250" s="133"/>
    </row>
    <row r="251" spans="5:6">
      <c r="E251" s="133"/>
      <c r="F251" s="133"/>
    </row>
    <row r="252" spans="5:6">
      <c r="E252" s="133"/>
      <c r="F252" s="133"/>
    </row>
    <row r="253" spans="5:6">
      <c r="E253" s="133"/>
      <c r="F253" s="133"/>
    </row>
    <row r="254" spans="5:6">
      <c r="E254" s="133"/>
      <c r="F254" s="133"/>
    </row>
    <row r="255" spans="5:6">
      <c r="E255" s="133"/>
      <c r="F255" s="133"/>
    </row>
    <row r="256" spans="5:6">
      <c r="E256" s="133"/>
      <c r="F256" s="133"/>
    </row>
    <row r="257" spans="5:6">
      <c r="E257" s="133"/>
      <c r="F257" s="133"/>
    </row>
    <row r="258" spans="5:6">
      <c r="E258" s="133"/>
      <c r="F258" s="133"/>
    </row>
    <row r="259" spans="5:6">
      <c r="E259" s="133"/>
      <c r="F259" s="133"/>
    </row>
    <row r="260" spans="5:6">
      <c r="E260" s="133"/>
      <c r="F260" s="133"/>
    </row>
    <row r="261" spans="5:6">
      <c r="E261" s="133"/>
      <c r="F261" s="133"/>
    </row>
    <row r="262" spans="5:6">
      <c r="E262" s="133"/>
      <c r="F262" s="133"/>
    </row>
    <row r="263" spans="5:6">
      <c r="E263" s="133"/>
      <c r="F263" s="133"/>
    </row>
    <row r="264" spans="5:6">
      <c r="E264" s="133"/>
      <c r="F264" s="133"/>
    </row>
    <row r="265" spans="5:6">
      <c r="E265" s="133"/>
      <c r="F265" s="133"/>
    </row>
    <row r="266" spans="5:6">
      <c r="E266" s="133"/>
      <c r="F266" s="133"/>
    </row>
    <row r="267" spans="5:6">
      <c r="E267" s="133"/>
      <c r="F267" s="133"/>
    </row>
    <row r="268" spans="5:6">
      <c r="E268" s="133"/>
      <c r="F268" s="133"/>
    </row>
    <row r="269" spans="5:6">
      <c r="E269" s="133"/>
      <c r="F269" s="133"/>
    </row>
    <row r="270" spans="5:6">
      <c r="E270" s="133"/>
      <c r="F270" s="133"/>
    </row>
    <row r="271" spans="5:6">
      <c r="E271" s="133"/>
      <c r="F271" s="133"/>
    </row>
    <row r="272" spans="5:6"/>
    <row r="273" spans="5:5"/>
    <row r="274" spans="5:5"/>
    <row r="275" spans="5:5">
      <c r="E275" s="163"/>
    </row>
    <row r="276" spans="5:5">
      <c r="E276" s="163"/>
    </row>
    <row r="277" spans="5:5">
      <c r="E277" s="163"/>
    </row>
    <row r="278" spans="5:5">
      <c r="E278" s="163"/>
    </row>
    <row r="279" spans="5:5">
      <c r="E279" s="163"/>
    </row>
    <row r="280" spans="5:5">
      <c r="E280" s="163"/>
    </row>
    <row r="281" spans="5:5">
      <c r="E281" s="163"/>
    </row>
    <row r="282" spans="5:5">
      <c r="E282" s="163"/>
    </row>
    <row r="283" spans="5:5">
      <c r="E283" s="163"/>
    </row>
    <row r="284" spans="5:5">
      <c r="E284" s="163"/>
    </row>
    <row r="285" spans="5:5">
      <c r="E285" s="163"/>
    </row>
    <row r="286" spans="5:5"/>
    <row r="287" spans="5:5"/>
    <row r="288" spans="5:5"/>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sheetData>
  <sortState xmlns:xlrd2="http://schemas.microsoft.com/office/spreadsheetml/2017/richdata2" ref="A32:XFD46">
    <sortCondition ref="D32:D46"/>
    <sortCondition ref="B32:B46"/>
  </sortState>
  <phoneticPr fontId="17"/>
  <conditionalFormatting sqref="C94:G94">
    <cfRule type="cellIs" dxfId="103" priority="36" operator="greaterThan">
      <formula>0</formula>
    </cfRule>
  </conditionalFormatting>
  <conditionalFormatting sqref="D53:D87">
    <cfRule type="cellIs" dxfId="102" priority="121" operator="greaterThan">
      <formula>0</formula>
    </cfRule>
  </conditionalFormatting>
  <conditionalFormatting sqref="E13:I46 E47:M48 E53:M87 L88:M88 D90:M91 J93:L93 N93:O93">
    <cfRule type="cellIs" dxfId="101" priority="124" operator="greaterThan">
      <formula>0</formula>
    </cfRule>
  </conditionalFormatting>
  <conditionalFormatting sqref="I88:J88">
    <cfRule type="cellIs" dxfId="100" priority="28" operator="greaterThan">
      <formula>0</formula>
    </cfRule>
  </conditionalFormatting>
  <conditionalFormatting sqref="K13:L46">
    <cfRule type="cellIs" dxfId="99" priority="6" operator="greaterThan">
      <formula>0</formula>
    </cfRule>
  </conditionalFormatting>
  <dataValidations count="1">
    <dataValidation allowBlank="1" showInputMessage="1" showErrorMessage="1" promptTitle="Toelichting" prompt="Hier dienen geen gegevens te worden ingevoerd._x000d_De gegevens worden automatisch ingevoerd nadat de kengetallen, de opbouw uurtarieven en het contractblad volledig zijn ingevuld._x000d_" sqref="E6" xr:uid="{00000000-0002-0000-0300-000000000000}"/>
  </dataValidations>
  <printOptions horizontalCentered="1"/>
  <pageMargins left="0.19685039370078741" right="0.19685039370078741" top="0.39370078740157483" bottom="0.39370078740157483" header="0.39370078740157483" footer="0.19685039370078741"/>
  <pageSetup paperSize="9" scale="55" orientation="landscape"/>
  <headerFooter>
    <oddHeader>&amp;L&amp;C&amp;R</oddHeader>
    <oddFooter>&amp;L&amp;"Verdana,Standaard"&amp;K000000&amp;F-&amp;A&amp;R&amp;"Verdana,Standaard"&amp;K000000printversie &amp;D</oddFooter>
  </headerFooter>
  <drawing r:id="rId1"/>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pageSetUpPr autoPageBreaks="0" fitToPage="1"/>
  </sheetPr>
  <dimension ref="A1:V44"/>
  <sheetViews>
    <sheetView showGridLines="0" showRowColHeaders="0" showZeros="0" showOutlineSymbols="0" zoomScale="113" zoomScaleNormal="100" zoomScaleSheetLayoutView="75" workbookViewId="0"/>
  </sheetViews>
  <sheetFormatPr defaultColWidth="10.85546875" defaultRowHeight="15"/>
  <cols>
    <col min="1" max="1" width="14.140625" style="190" customWidth="1"/>
    <col min="2" max="2" width="15.85546875" style="190" customWidth="1"/>
    <col min="3" max="3" width="21.140625" style="223" bestFit="1" customWidth="1"/>
    <col min="4" max="4" width="7.85546875" style="223" hidden="1" customWidth="1"/>
    <col min="5" max="5" width="12.85546875" style="191" customWidth="1"/>
    <col min="6" max="6" width="43.85546875" style="229" bestFit="1" customWidth="1"/>
    <col min="7" max="7" width="24.140625" style="230" bestFit="1" customWidth="1"/>
    <col min="8" max="8" width="18.5703125" style="194" bestFit="1" customWidth="1"/>
    <col min="9" max="9" width="15" style="194" bestFit="1" customWidth="1"/>
    <col min="10" max="10" width="14.85546875" style="195" bestFit="1" customWidth="1"/>
    <col min="11" max="11" width="12.85546875" style="238" customWidth="1"/>
    <col min="12" max="12" width="13.85546875" style="233" bestFit="1" customWidth="1"/>
    <col min="13" max="13" width="18.85546875" style="230" customWidth="1"/>
    <col min="14" max="14" width="23.85546875" style="235" customWidth="1"/>
    <col min="15" max="15" width="10.140625" style="245" customWidth="1"/>
    <col min="16" max="16" width="2" style="245" customWidth="1"/>
    <col min="17" max="30" width="10.85546875" style="190" customWidth="1"/>
    <col min="31" max="16384" width="10.85546875" style="190"/>
  </cols>
  <sheetData>
    <row r="1" spans="1:22" s="3" customFormat="1" ht="9" customHeight="1" thickBot="1">
      <c r="A1" s="6"/>
      <c r="B1" s="27"/>
      <c r="C1" s="27"/>
      <c r="D1" s="45"/>
      <c r="E1" s="27"/>
      <c r="F1" s="27"/>
      <c r="G1" s="27"/>
      <c r="H1" s="27"/>
      <c r="I1" s="27"/>
      <c r="J1" s="27"/>
      <c r="K1" s="27"/>
      <c r="L1" s="94"/>
      <c r="M1" s="94"/>
      <c r="N1" s="94"/>
      <c r="O1" s="95"/>
    </row>
    <row r="2" spans="1:22" s="3" customFormat="1" ht="8.1" customHeight="1">
      <c r="A2" s="6"/>
      <c r="B2" s="27"/>
      <c r="C2" s="97"/>
      <c r="D2" s="96"/>
      <c r="E2" s="97"/>
      <c r="F2" s="97"/>
      <c r="G2" s="97"/>
      <c r="H2" s="97"/>
      <c r="I2" s="97"/>
      <c r="J2" s="97"/>
      <c r="K2" s="97"/>
      <c r="L2" s="94"/>
      <c r="M2" s="94"/>
      <c r="N2" s="94"/>
      <c r="O2" s="95"/>
    </row>
    <row r="3" spans="1:22">
      <c r="C3" s="191"/>
      <c r="D3" s="191"/>
      <c r="F3" s="192"/>
      <c r="G3" s="193"/>
      <c r="K3" s="196"/>
      <c r="L3" s="197"/>
      <c r="M3" s="193"/>
      <c r="N3" s="198"/>
      <c r="O3" s="199"/>
      <c r="P3" s="199"/>
    </row>
    <row r="4" spans="1:22" ht="17.100000000000001">
      <c r="C4" s="297" t="s">
        <v>91</v>
      </c>
      <c r="D4" s="190"/>
      <c r="E4" s="190"/>
      <c r="F4" s="258" t="s">
        <v>126</v>
      </c>
      <c r="G4" s="202"/>
      <c r="K4" s="196"/>
      <c r="L4" s="197"/>
      <c r="M4" s="193"/>
      <c r="N4" s="198"/>
      <c r="O4" s="199"/>
      <c r="P4" s="199"/>
    </row>
    <row r="5" spans="1:22" s="203" customFormat="1" ht="17.100000000000001">
      <c r="C5" s="297" t="s">
        <v>93</v>
      </c>
      <c r="F5" s="204" t="str">
        <f>Voorblad!$E$16</f>
        <v>Invest-NL</v>
      </c>
      <c r="G5" s="202"/>
      <c r="H5" s="194"/>
      <c r="I5" s="194"/>
      <c r="J5" s="195"/>
      <c r="K5" s="205"/>
      <c r="L5" s="206"/>
      <c r="M5" s="202"/>
      <c r="N5" s="207"/>
      <c r="O5" s="208"/>
      <c r="P5" s="208"/>
    </row>
    <row r="6" spans="1:22" s="203" customFormat="1" ht="17.100000000000001">
      <c r="C6" s="297" t="s">
        <v>94</v>
      </c>
      <c r="F6" s="204" t="str">
        <f>'1.0-Contractblad'!$E$7</f>
        <v>Kingsfordweg 43-117 Amsterdam</v>
      </c>
      <c r="G6" s="202"/>
      <c r="H6" s="194"/>
      <c r="I6" s="194"/>
      <c r="J6" s="195"/>
      <c r="K6" s="205"/>
      <c r="L6" s="206"/>
      <c r="M6" s="202"/>
      <c r="N6" s="207"/>
      <c r="O6" s="208"/>
      <c r="P6" s="208"/>
    </row>
    <row r="7" spans="1:22" s="203" customFormat="1" ht="17.100000000000001">
      <c r="C7" s="297" t="s">
        <v>43</v>
      </c>
      <c r="F7" s="210" t="str">
        <f>Voorblad!$E$24</f>
        <v>TN436801</v>
      </c>
      <c r="G7" s="211"/>
      <c r="H7" s="212"/>
      <c r="I7" s="213"/>
      <c r="J7" s="214"/>
      <c r="K7" s="205"/>
      <c r="L7" s="206"/>
      <c r="M7" s="202"/>
      <c r="N7" s="207"/>
      <c r="O7" s="208"/>
      <c r="P7" s="208"/>
    </row>
    <row r="8" spans="1:22" s="203" customFormat="1" ht="17.100000000000001">
      <c r="C8" s="297" t="s">
        <v>45</v>
      </c>
      <c r="F8" s="215" t="e">
        <f ca="1">Voorblad!$E$26</f>
        <v>#VALUE!</v>
      </c>
      <c r="G8" s="211"/>
      <c r="H8" s="216"/>
      <c r="I8" s="213"/>
      <c r="J8" s="214"/>
      <c r="K8" s="214"/>
      <c r="L8" s="217"/>
      <c r="M8" s="202"/>
      <c r="N8" s="218"/>
      <c r="O8" s="208"/>
      <c r="P8" s="208"/>
    </row>
    <row r="9" spans="1:22" s="203" customFormat="1" ht="17.100000000000001">
      <c r="C9" s="297" t="s">
        <v>95</v>
      </c>
      <c r="F9" s="259" t="str">
        <f>Voorblad!$E$19</f>
        <v>[Invoeren naam organisatie van Inschrijver]</v>
      </c>
      <c r="G9" s="209"/>
      <c r="H9" s="220"/>
      <c r="I9" s="221"/>
      <c r="J9" s="214"/>
      <c r="K9" s="214"/>
      <c r="L9" s="217"/>
      <c r="M9" s="202"/>
      <c r="N9" s="218"/>
      <c r="O9" s="208"/>
      <c r="P9" s="208"/>
    </row>
    <row r="10" spans="1:22" s="203" customFormat="1" ht="17.100000000000001">
      <c r="C10" s="297" t="s">
        <v>42</v>
      </c>
      <c r="F10" s="222">
        <f>Voorblad!$E$22</f>
        <v>45473</v>
      </c>
      <c r="G10" s="209"/>
      <c r="H10" s="220"/>
      <c r="I10" s="221"/>
      <c r="J10" s="214"/>
      <c r="K10" s="214"/>
      <c r="L10" s="217"/>
      <c r="M10" s="202"/>
      <c r="N10" s="218"/>
      <c r="O10" s="208"/>
      <c r="P10" s="208"/>
    </row>
    <row r="11" spans="1:22" ht="17.100000000000001">
      <c r="B11" s="203"/>
      <c r="E11" s="224"/>
      <c r="F11" s="225"/>
      <c r="G11" s="226"/>
      <c r="I11" s="225"/>
      <c r="J11" s="225"/>
      <c r="K11" s="194"/>
      <c r="L11" s="225"/>
      <c r="M11" s="194"/>
      <c r="N11" s="227"/>
      <c r="O11" s="194"/>
      <c r="P11" s="225"/>
      <c r="Q11" s="203"/>
      <c r="R11" s="203"/>
      <c r="S11" s="203"/>
      <c r="T11" s="203"/>
      <c r="U11" s="203"/>
      <c r="V11" s="203"/>
    </row>
    <row r="12" spans="1:22" s="260" customFormat="1" ht="32.1">
      <c r="A12" s="190"/>
      <c r="B12" s="203"/>
      <c r="C12" s="261" t="s">
        <v>127</v>
      </c>
      <c r="D12" s="262"/>
      <c r="E12" s="177" t="s">
        <v>128</v>
      </c>
      <c r="F12" s="263" t="s">
        <v>129</v>
      </c>
      <c r="G12" s="178" t="s">
        <v>130</v>
      </c>
      <c r="H12" s="264" t="s">
        <v>131</v>
      </c>
      <c r="I12" s="264" t="s">
        <v>132</v>
      </c>
      <c r="J12" s="265" t="s">
        <v>133</v>
      </c>
      <c r="K12" s="266" t="s">
        <v>134</v>
      </c>
      <c r="L12" s="266" t="s">
        <v>135</v>
      </c>
      <c r="M12" s="267" t="s">
        <v>136</v>
      </c>
      <c r="N12" s="267" t="s">
        <v>137</v>
      </c>
      <c r="O12" s="267" t="s">
        <v>138</v>
      </c>
      <c r="P12" s="268"/>
      <c r="Q12" s="203"/>
      <c r="R12" s="203"/>
      <c r="S12" s="203"/>
      <c r="T12" s="269"/>
      <c r="U12" s="269"/>
      <c r="V12" s="269"/>
    </row>
    <row r="13" spans="1:22" ht="15.95" customHeight="1">
      <c r="B13" s="203"/>
      <c r="C13" s="250">
        <v>0</v>
      </c>
      <c r="D13" s="250">
        <v>0</v>
      </c>
      <c r="E13" s="250">
        <v>0</v>
      </c>
      <c r="F13" s="252"/>
      <c r="G13" s="251"/>
      <c r="H13" s="253"/>
      <c r="I13" s="253"/>
      <c r="J13" s="254"/>
      <c r="K13" s="254"/>
      <c r="L13" s="255"/>
      <c r="M13" s="256"/>
      <c r="N13" s="257"/>
      <c r="O13" s="285"/>
      <c r="P13" s="190"/>
      <c r="Q13" s="203"/>
      <c r="R13" s="203"/>
      <c r="S13" s="203"/>
      <c r="T13" s="203"/>
      <c r="U13" s="203"/>
      <c r="V13" s="203"/>
    </row>
    <row r="14" spans="1:22" ht="17.100000000000001">
      <c r="B14" s="203"/>
      <c r="C14" s="496">
        <v>1255</v>
      </c>
      <c r="D14" s="497"/>
      <c r="E14" s="498">
        <v>255</v>
      </c>
      <c r="F14" s="499" t="s">
        <v>139</v>
      </c>
      <c r="G14" s="500" t="s">
        <v>140</v>
      </c>
      <c r="H14" s="652"/>
      <c r="I14" s="736"/>
      <c r="J14" s="501">
        <f t="shared" ref="J14:J22" si="0">IF(H14=0,0,E14/SUM(H14+I14))</f>
        <v>0</v>
      </c>
      <c r="K14" s="502">
        <f>SUMIF('1.3-Basis ruimtestaat'!M:M,C14,'1.3-Basis ruimtestaat'!K:K)</f>
        <v>1281.5121207</v>
      </c>
      <c r="L14" s="503"/>
      <c r="M14" s="504">
        <f t="shared" ref="M14:M23" si="1">IF(K14=0,"",K14/$L$29)</f>
        <v>0.63949526075081187</v>
      </c>
      <c r="N14" s="505"/>
      <c r="O14" s="285" t="s">
        <v>141</v>
      </c>
      <c r="P14" s="190"/>
      <c r="Q14" s="203"/>
      <c r="R14" s="203"/>
      <c r="S14" s="203"/>
      <c r="T14" s="203"/>
      <c r="U14" s="203"/>
      <c r="V14" s="203"/>
    </row>
    <row r="15" spans="1:22" ht="17.100000000000001">
      <c r="B15" s="203"/>
      <c r="C15" s="496">
        <v>2255</v>
      </c>
      <c r="D15" s="497"/>
      <c r="E15" s="498">
        <v>255</v>
      </c>
      <c r="F15" s="499" t="s">
        <v>142</v>
      </c>
      <c r="G15" s="500" t="s">
        <v>140</v>
      </c>
      <c r="H15" s="652"/>
      <c r="I15" s="736"/>
      <c r="J15" s="501">
        <f t="shared" ref="J15" si="2">IF(H15=0,0,E15/SUM(H15+I15))</f>
        <v>0</v>
      </c>
      <c r="K15" s="502">
        <f>SUMIF('1.3-Basis ruimtestaat'!M:M,C15,'1.3-Basis ruimtestaat'!K:K)</f>
        <v>197.65</v>
      </c>
      <c r="L15" s="503"/>
      <c r="M15" s="504">
        <f t="shared" ref="M15" si="3">IF(K15=0,"",K15/$L$29)</f>
        <v>9.8630544530750583E-2</v>
      </c>
      <c r="N15" s="505"/>
      <c r="O15" s="285" t="s">
        <v>143</v>
      </c>
      <c r="P15" s="190"/>
      <c r="Q15" s="203"/>
      <c r="R15" s="203"/>
      <c r="S15" s="203"/>
      <c r="T15" s="203"/>
      <c r="U15" s="203"/>
      <c r="V15" s="203"/>
    </row>
    <row r="16" spans="1:22" ht="17.100000000000001">
      <c r="B16" s="203"/>
      <c r="C16" s="496">
        <v>2510</v>
      </c>
      <c r="D16" s="497"/>
      <c r="E16" s="498">
        <v>255</v>
      </c>
      <c r="F16" s="499" t="s">
        <v>144</v>
      </c>
      <c r="G16" s="500" t="s">
        <v>145</v>
      </c>
      <c r="H16" s="652"/>
      <c r="I16" s="736"/>
      <c r="J16" s="501">
        <f t="shared" si="0"/>
        <v>0</v>
      </c>
      <c r="K16" s="502">
        <f>SUMIF('1.3-Basis ruimtestaat'!M:M,C16,'1.3-Basis ruimtestaat'!K:K)</f>
        <v>0</v>
      </c>
      <c r="L16" s="503"/>
      <c r="M16" s="504" t="str">
        <f t="shared" si="1"/>
        <v/>
      </c>
      <c r="N16" s="505"/>
      <c r="O16" s="285" t="s">
        <v>143</v>
      </c>
      <c r="P16" s="190"/>
      <c r="Q16" s="203"/>
      <c r="R16" s="203"/>
      <c r="S16" s="203"/>
      <c r="T16" s="203"/>
      <c r="U16" s="203"/>
      <c r="V16" s="203"/>
    </row>
    <row r="17" spans="1:22" ht="17.100000000000001">
      <c r="B17" s="203"/>
      <c r="C17" s="496">
        <v>3255</v>
      </c>
      <c r="D17" s="497"/>
      <c r="E17" s="498">
        <v>255</v>
      </c>
      <c r="F17" s="499" t="s">
        <v>146</v>
      </c>
      <c r="G17" s="500" t="s">
        <v>140</v>
      </c>
      <c r="H17" s="652"/>
      <c r="I17" s="736"/>
      <c r="J17" s="501">
        <f t="shared" si="0"/>
        <v>0</v>
      </c>
      <c r="K17" s="502">
        <f>SUMIF('1.3-Basis ruimtestaat'!M:M,C17,'1.3-Basis ruimtestaat'!K:K)</f>
        <v>199.35493980000001</v>
      </c>
      <c r="L17" s="503"/>
      <c r="M17" s="504">
        <f t="shared" si="1"/>
        <v>9.948133704714901E-2</v>
      </c>
      <c r="N17" s="505"/>
      <c r="O17" s="285" t="s">
        <v>143</v>
      </c>
      <c r="P17" s="190"/>
      <c r="Q17" s="203"/>
      <c r="R17" s="203"/>
      <c r="S17" s="203"/>
      <c r="T17" s="203"/>
      <c r="U17" s="203"/>
      <c r="V17" s="203"/>
    </row>
    <row r="18" spans="1:22" ht="17.100000000000001">
      <c r="A18" s="561" t="s">
        <v>53</v>
      </c>
      <c r="B18" s="40"/>
      <c r="C18" s="496">
        <v>4255</v>
      </c>
      <c r="D18" s="497"/>
      <c r="E18" s="498">
        <v>255</v>
      </c>
      <c r="F18" s="499" t="s">
        <v>147</v>
      </c>
      <c r="G18" s="500" t="s">
        <v>140</v>
      </c>
      <c r="H18" s="652"/>
      <c r="I18" s="736"/>
      <c r="J18" s="501">
        <f t="shared" si="0"/>
        <v>0</v>
      </c>
      <c r="K18" s="502">
        <f>SUMIF('1.3-Basis ruimtestaat'!M:M,C18,'1.3-Basis ruimtestaat'!K:K)</f>
        <v>49.2</v>
      </c>
      <c r="L18" s="503"/>
      <c r="M18" s="504">
        <f t="shared" si="1"/>
        <v>2.4551595198142821E-2</v>
      </c>
      <c r="N18" s="505"/>
      <c r="O18" s="285" t="s">
        <v>148</v>
      </c>
      <c r="P18" s="190"/>
      <c r="Q18" s="203"/>
      <c r="R18" s="203"/>
      <c r="S18" s="203"/>
      <c r="T18" s="203"/>
      <c r="U18" s="203"/>
      <c r="V18" s="203"/>
    </row>
    <row r="19" spans="1:22" ht="18" thickBot="1">
      <c r="A19" s="591"/>
      <c r="B19" s="565" t="s">
        <v>17</v>
      </c>
      <c r="C19" s="496">
        <v>4510</v>
      </c>
      <c r="D19" s="497"/>
      <c r="E19" s="498">
        <v>255</v>
      </c>
      <c r="F19" s="499" t="s">
        <v>149</v>
      </c>
      <c r="G19" s="500" t="s">
        <v>145</v>
      </c>
      <c r="H19" s="652"/>
      <c r="I19" s="736"/>
      <c r="J19" s="501">
        <f t="shared" si="0"/>
        <v>0</v>
      </c>
      <c r="K19" s="502">
        <f>SUMIF('1.3-Basis ruimtestaat'!M:M,C19,'1.3-Basis ruimtestaat'!K:K)</f>
        <v>0</v>
      </c>
      <c r="L19" s="503"/>
      <c r="M19" s="504" t="str">
        <f t="shared" si="1"/>
        <v/>
      </c>
      <c r="N19" s="505"/>
      <c r="O19" s="285" t="s">
        <v>148</v>
      </c>
      <c r="P19" s="190"/>
      <c r="Q19" s="203"/>
      <c r="R19" s="203"/>
      <c r="S19" s="203"/>
      <c r="T19" s="203"/>
      <c r="U19" s="203"/>
      <c r="V19" s="203"/>
    </row>
    <row r="20" spans="1:22" s="228" customFormat="1" ht="17.100000000000001">
      <c r="A20" s="190"/>
      <c r="B20" s="203"/>
      <c r="C20" s="496">
        <v>5255</v>
      </c>
      <c r="D20" s="497"/>
      <c r="E20" s="498">
        <v>255</v>
      </c>
      <c r="F20" s="499" t="s">
        <v>150</v>
      </c>
      <c r="G20" s="500" t="s">
        <v>140</v>
      </c>
      <c r="H20" s="652"/>
      <c r="I20" s="736"/>
      <c r="J20" s="501">
        <f t="shared" si="0"/>
        <v>0</v>
      </c>
      <c r="K20" s="502">
        <f>SUMIF('1.3-Basis ruimtestaat'!M:M,C20,'1.3-Basis ruimtestaat'!K:K)</f>
        <v>78.136047999999988</v>
      </c>
      <c r="L20" s="503"/>
      <c r="M20" s="504">
        <f t="shared" si="1"/>
        <v>3.8991150830867002E-2</v>
      </c>
      <c r="N20" s="505"/>
      <c r="O20" s="285" t="s">
        <v>143</v>
      </c>
      <c r="Q20" s="203"/>
      <c r="R20" s="203"/>
      <c r="S20" s="203"/>
      <c r="T20" s="203"/>
      <c r="U20" s="203"/>
      <c r="V20" s="203"/>
    </row>
    <row r="21" spans="1:22" s="228" customFormat="1" ht="17.100000000000001">
      <c r="A21" s="190"/>
      <c r="B21" s="203"/>
      <c r="C21" s="496">
        <v>5510</v>
      </c>
      <c r="D21" s="497"/>
      <c r="E21" s="498">
        <v>255</v>
      </c>
      <c r="F21" s="499" t="s">
        <v>151</v>
      </c>
      <c r="G21" s="500" t="s">
        <v>145</v>
      </c>
      <c r="H21" s="652"/>
      <c r="I21" s="736"/>
      <c r="J21" s="501">
        <f t="shared" si="0"/>
        <v>0</v>
      </c>
      <c r="K21" s="502">
        <f>SUMIF('1.3-Basis ruimtestaat'!M:M,C21,'1.3-Basis ruimtestaat'!K:K)</f>
        <v>0</v>
      </c>
      <c r="L21" s="503"/>
      <c r="M21" s="504" t="str">
        <f t="shared" si="1"/>
        <v/>
      </c>
      <c r="N21" s="505"/>
      <c r="O21" s="285" t="s">
        <v>143</v>
      </c>
      <c r="Q21" s="203"/>
      <c r="R21" s="203"/>
      <c r="S21" s="203"/>
      <c r="T21" s="203"/>
      <c r="U21" s="203"/>
      <c r="V21" s="203"/>
    </row>
    <row r="22" spans="1:22" ht="17.100000000000001">
      <c r="B22" s="203"/>
      <c r="C22" s="496">
        <v>6255</v>
      </c>
      <c r="D22" s="497"/>
      <c r="E22" s="498">
        <v>255</v>
      </c>
      <c r="F22" s="499" t="s">
        <v>152</v>
      </c>
      <c r="G22" s="500" t="s">
        <v>140</v>
      </c>
      <c r="H22" s="652"/>
      <c r="I22" s="736"/>
      <c r="J22" s="501">
        <f t="shared" si="0"/>
        <v>0</v>
      </c>
      <c r="K22" s="502">
        <f>SUMIF('1.3-Basis ruimtestaat'!M:M,C22,'1.3-Basis ruimtestaat'!K:K)</f>
        <v>162</v>
      </c>
      <c r="L22" s="503"/>
      <c r="M22" s="504">
        <f t="shared" si="1"/>
        <v>8.0840618335348308E-2</v>
      </c>
      <c r="N22" s="505"/>
      <c r="O22" s="285" t="s">
        <v>143</v>
      </c>
      <c r="P22" s="190"/>
      <c r="Q22" s="203"/>
      <c r="R22" s="203"/>
      <c r="S22" s="203"/>
      <c r="T22" s="203"/>
      <c r="U22" s="203"/>
      <c r="V22" s="203"/>
    </row>
    <row r="23" spans="1:22" ht="17.100000000000001">
      <c r="B23" s="203"/>
      <c r="C23" s="496" t="s">
        <v>153</v>
      </c>
      <c r="D23" s="497"/>
      <c r="E23" s="498"/>
      <c r="F23" s="499" t="s">
        <v>153</v>
      </c>
      <c r="G23" s="500"/>
      <c r="H23" s="500"/>
      <c r="I23" s="500"/>
      <c r="J23" s="501">
        <f t="shared" ref="J23:J25" si="4">IF(H23=0,0,E23/SUM(H23+I23))</f>
        <v>0</v>
      </c>
      <c r="K23" s="502">
        <f>SUMIF('1.3-Basis ruimtestaat'!M:M,C23,'1.3-Basis ruimtestaat'!K:K)</f>
        <v>0</v>
      </c>
      <c r="L23" s="502">
        <f>SUMIF('1.3-Basis ruimtestaat'!M:M,C23,'1.3-Basis ruimtestaat'!L:L)</f>
        <v>0</v>
      </c>
      <c r="M23" s="504" t="str">
        <f t="shared" si="1"/>
        <v/>
      </c>
      <c r="N23" s="505"/>
      <c r="O23" s="285"/>
      <c r="P23" s="190"/>
      <c r="Q23" s="203"/>
      <c r="R23" s="203"/>
      <c r="S23" s="203"/>
      <c r="T23" s="203"/>
      <c r="U23" s="203"/>
      <c r="V23" s="203"/>
    </row>
    <row r="24" spans="1:22" ht="17.100000000000001">
      <c r="B24" s="203"/>
      <c r="C24" s="496" t="s">
        <v>154</v>
      </c>
      <c r="D24" s="497"/>
      <c r="E24" s="498"/>
      <c r="F24" s="499" t="s">
        <v>155</v>
      </c>
      <c r="G24" s="500"/>
      <c r="H24" s="500"/>
      <c r="I24" s="500"/>
      <c r="J24" s="501">
        <f t="shared" si="4"/>
        <v>0</v>
      </c>
      <c r="K24" s="502">
        <f>SUMIF('1.3-Basis ruimtestaat'!M:M,C24,'1.3-Basis ruimtestaat'!K:K)</f>
        <v>0</v>
      </c>
      <c r="L24" s="502">
        <f>SUMIF('1.3-Basis ruimtestaat'!M:M,C24,'1.3-Basis ruimtestaat'!L:L)</f>
        <v>36.090000000000003</v>
      </c>
      <c r="M24" s="504">
        <f>IF(L24=0,"",L24/$L$29)</f>
        <v>1.8009493306930375E-2</v>
      </c>
      <c r="N24" s="505"/>
      <c r="O24" s="285"/>
      <c r="P24" s="190"/>
      <c r="Q24" s="203"/>
      <c r="R24" s="203"/>
      <c r="S24" s="203"/>
      <c r="T24" s="203"/>
      <c r="U24" s="203"/>
      <c r="V24" s="203"/>
    </row>
    <row r="25" spans="1:22" ht="17.100000000000001">
      <c r="B25" s="203"/>
      <c r="C25" s="496" t="s">
        <v>156</v>
      </c>
      <c r="D25" s="497"/>
      <c r="E25" s="498"/>
      <c r="F25" s="499" t="s">
        <v>157</v>
      </c>
      <c r="G25" s="500"/>
      <c r="H25" s="500"/>
      <c r="I25" s="500"/>
      <c r="J25" s="501">
        <f t="shared" si="4"/>
        <v>0</v>
      </c>
      <c r="K25" s="502">
        <f>SUMIF('1.3-Basis ruimtestaat'!M:M,C25,'1.3-Basis ruimtestaat'!K:K)</f>
        <v>0</v>
      </c>
      <c r="L25" s="502">
        <f>SUMIF('1.3-Basis ruimtestaat'!M:M,C25,'1.3-Basis ruimtestaat'!L:L)</f>
        <v>0</v>
      </c>
      <c r="M25" s="504" t="str">
        <f>IF(K25=0,"",K25/$L$29)</f>
        <v/>
      </c>
      <c r="N25" s="505"/>
      <c r="O25" s="285"/>
      <c r="P25" s="190"/>
    </row>
    <row r="26" spans="1:22" ht="17.100000000000001">
      <c r="B26" s="203"/>
      <c r="C26" s="274" t="s">
        <v>158</v>
      </c>
      <c r="D26" s="275"/>
      <c r="E26" s="276"/>
      <c r="F26" s="277" t="s">
        <v>159</v>
      </c>
      <c r="G26" s="278"/>
      <c r="H26" s="278"/>
      <c r="I26" s="278"/>
      <c r="J26" s="278"/>
      <c r="K26" s="270">
        <f>SUMIF('1.3-Basis ruimtestaat'!M:M,C26,'1.3-Basis ruimtestaat'!K:K)</f>
        <v>0</v>
      </c>
      <c r="L26" s="270">
        <f>SUMIF('1.3-Basis ruimtestaat'!M:M,C26,'1.3-Basis ruimtestaat'!L:L)</f>
        <v>0</v>
      </c>
      <c r="M26" s="272" t="str">
        <f>IF(K26=0,"",K26/$L$29)</f>
        <v/>
      </c>
      <c r="N26" s="273"/>
      <c r="O26" s="285"/>
      <c r="P26" s="190"/>
    </row>
    <row r="27" spans="1:22" ht="17.100000000000001">
      <c r="B27" s="203"/>
      <c r="C27" s="279"/>
      <c r="D27" s="279"/>
      <c r="E27" s="280"/>
      <c r="F27" s="281"/>
      <c r="G27" s="282"/>
      <c r="H27" s="283"/>
      <c r="I27" s="283"/>
      <c r="J27" s="284"/>
      <c r="K27" s="270"/>
      <c r="L27" s="271"/>
      <c r="M27" s="272"/>
      <c r="N27" s="273"/>
      <c r="O27" s="285"/>
      <c r="P27" s="190"/>
    </row>
    <row r="28" spans="1:22" ht="17.100000000000001">
      <c r="B28" s="203"/>
      <c r="K28" s="506">
        <f>SUM(K14:K27)</f>
        <v>1967.8531085000002</v>
      </c>
      <c r="L28" s="506">
        <f>SUM(L21:L27)</f>
        <v>36.090000000000003</v>
      </c>
      <c r="M28" s="296">
        <f>SUM(M13:M27)</f>
        <v>1</v>
      </c>
      <c r="N28" s="231"/>
      <c r="O28" s="223"/>
      <c r="P28" s="190"/>
    </row>
    <row r="29" spans="1:22" ht="17.100000000000001">
      <c r="B29" s="203"/>
      <c r="D29" s="232"/>
      <c r="F29" s="233"/>
      <c r="G29" s="191"/>
      <c r="H29" s="192"/>
      <c r="K29" s="234" t="s">
        <v>160</v>
      </c>
      <c r="L29" s="507">
        <f>L28+K28</f>
        <v>2003.9431085000001</v>
      </c>
      <c r="O29" s="236"/>
      <c r="P29" s="237"/>
    </row>
    <row r="30" spans="1:22">
      <c r="L30" s="238"/>
      <c r="M30" s="244"/>
      <c r="N30" s="240"/>
      <c r="O30" s="236"/>
      <c r="P30" s="237"/>
    </row>
    <row r="31" spans="1:22">
      <c r="C31" s="241" t="s">
        <v>161</v>
      </c>
      <c r="D31" s="241"/>
      <c r="E31" s="242"/>
      <c r="F31" s="242"/>
      <c r="J31" s="243"/>
      <c r="K31" s="244"/>
    </row>
    <row r="32" spans="1:22">
      <c r="C32" s="242" t="s">
        <v>162</v>
      </c>
      <c r="D32" s="242"/>
      <c r="E32" s="242" t="s">
        <v>163</v>
      </c>
      <c r="J32" s="243"/>
      <c r="K32" s="244"/>
    </row>
    <row r="33" spans="3:16">
      <c r="C33" s="242" t="s">
        <v>164</v>
      </c>
      <c r="D33" s="242"/>
      <c r="E33" s="242" t="s">
        <v>165</v>
      </c>
      <c r="J33" s="243"/>
      <c r="K33" s="244"/>
      <c r="L33" s="239"/>
      <c r="M33" s="244"/>
      <c r="O33" s="246"/>
      <c r="P33" s="247"/>
    </row>
    <row r="34" spans="3:16">
      <c r="C34" s="242" t="s">
        <v>166</v>
      </c>
      <c r="D34" s="242"/>
      <c r="E34" s="242" t="s">
        <v>167</v>
      </c>
      <c r="J34" s="243"/>
      <c r="K34" s="244"/>
      <c r="L34" s="239"/>
      <c r="M34" s="248"/>
      <c r="N34" s="249"/>
      <c r="O34" s="246"/>
      <c r="P34" s="246"/>
    </row>
    <row r="35" spans="3:16">
      <c r="C35" s="242" t="s">
        <v>168</v>
      </c>
      <c r="D35" s="242"/>
      <c r="E35" s="242" t="s">
        <v>169</v>
      </c>
      <c r="J35" s="243"/>
      <c r="K35" s="244"/>
      <c r="L35" s="239"/>
      <c r="M35" s="248"/>
      <c r="N35" s="249"/>
      <c r="O35" s="246"/>
      <c r="P35" s="246"/>
    </row>
    <row r="36" spans="3:16">
      <c r="C36" s="242" t="s">
        <v>170</v>
      </c>
      <c r="D36" s="242"/>
      <c r="E36" s="242" t="s">
        <v>171</v>
      </c>
      <c r="J36" s="243"/>
      <c r="K36" s="244"/>
      <c r="L36" s="239"/>
      <c r="M36" s="248"/>
      <c r="N36" s="249"/>
      <c r="O36" s="246"/>
      <c r="P36" s="246"/>
    </row>
    <row r="37" spans="3:16">
      <c r="C37" s="242" t="s">
        <v>172</v>
      </c>
      <c r="D37" s="242"/>
      <c r="E37" s="242" t="s">
        <v>173</v>
      </c>
      <c r="J37" s="243"/>
      <c r="K37" s="244"/>
      <c r="L37" s="239"/>
      <c r="M37" s="248"/>
      <c r="N37" s="249"/>
      <c r="O37" s="246"/>
      <c r="P37" s="246"/>
    </row>
    <row r="38" spans="3:16">
      <c r="C38" s="242" t="s">
        <v>174</v>
      </c>
      <c r="D38" s="242"/>
      <c r="E38" s="242" t="s">
        <v>175</v>
      </c>
      <c r="J38" s="243"/>
      <c r="K38" s="244"/>
      <c r="L38" s="239"/>
      <c r="M38" s="248"/>
      <c r="N38" s="249"/>
      <c r="O38" s="246"/>
      <c r="P38" s="246"/>
    </row>
    <row r="39" spans="3:16">
      <c r="C39" s="242" t="s">
        <v>176</v>
      </c>
      <c r="D39" s="242"/>
      <c r="E39" s="242" t="s">
        <v>177</v>
      </c>
      <c r="J39" s="243"/>
      <c r="K39" s="244"/>
      <c r="L39" s="239"/>
      <c r="M39" s="248"/>
      <c r="N39" s="249"/>
      <c r="O39" s="246"/>
      <c r="P39" s="246"/>
    </row>
    <row r="40" spans="3:16">
      <c r="C40" s="242" t="s">
        <v>178</v>
      </c>
      <c r="D40" s="242"/>
      <c r="E40" s="242" t="s">
        <v>179</v>
      </c>
      <c r="J40" s="243"/>
      <c r="K40" s="244"/>
      <c r="L40" s="239"/>
      <c r="M40" s="248"/>
      <c r="N40" s="249"/>
      <c r="O40" s="246"/>
      <c r="P40" s="246"/>
    </row>
    <row r="41" spans="3:16">
      <c r="C41" s="242" t="s">
        <v>180</v>
      </c>
      <c r="D41" s="242"/>
      <c r="E41" s="242" t="s">
        <v>181</v>
      </c>
      <c r="J41" s="243"/>
      <c r="K41" s="244"/>
      <c r="L41" s="239"/>
      <c r="M41" s="248"/>
      <c r="N41" s="249"/>
      <c r="O41" s="246"/>
      <c r="P41" s="246"/>
    </row>
    <row r="42" spans="3:16">
      <c r="C42" s="242" t="s">
        <v>182</v>
      </c>
      <c r="D42" s="242"/>
      <c r="E42" s="242" t="s">
        <v>183</v>
      </c>
      <c r="J42" s="243"/>
      <c r="K42" s="244"/>
      <c r="L42" s="239"/>
      <c r="M42" s="248"/>
      <c r="N42" s="249"/>
      <c r="O42" s="246"/>
      <c r="P42" s="246"/>
    </row>
    <row r="43" spans="3:16" ht="15.95" thickBot="1">
      <c r="J43" s="243"/>
      <c r="K43" s="244"/>
      <c r="L43" s="239"/>
      <c r="M43" s="248"/>
      <c r="N43" s="249"/>
      <c r="O43" s="246"/>
      <c r="P43" s="246"/>
    </row>
    <row r="44" spans="3:16">
      <c r="C44" s="286"/>
      <c r="D44" s="286"/>
      <c r="E44" s="287"/>
      <c r="F44" s="288"/>
      <c r="G44" s="289"/>
      <c r="H44" s="290"/>
      <c r="I44" s="290"/>
      <c r="J44" s="291"/>
      <c r="K44" s="292"/>
      <c r="L44" s="293"/>
      <c r="M44" s="289"/>
      <c r="N44" s="294"/>
      <c r="O44" s="295"/>
    </row>
  </sheetData>
  <autoFilter ref="C12:O26" xr:uid="{00000000-0001-0000-0400-000000000000}"/>
  <phoneticPr fontId="9"/>
  <conditionalFormatting sqref="H14:H22">
    <cfRule type="cellIs" dxfId="98" priority="1" operator="greaterThan">
      <formula>0</formula>
    </cfRule>
  </conditionalFormatting>
  <dataValidations count="1">
    <dataValidation allowBlank="1" showInputMessage="1" showErrorMessage="1" promptTitle="Toelichting" prompt="Vul in deze gekleurde cellen de gevraagde informatie in._x000d_" sqref="A18" xr:uid="{00000000-0002-0000-0400-000000000000}"/>
  </dataValidations>
  <printOptions horizontalCentered="1" gridLinesSet="0"/>
  <pageMargins left="0.19685039370078741" right="0.19685039370078741" top="0.39370078740157483" bottom="0.39370078740157483" header="0.39370078740157483" footer="0.19685039370078741"/>
  <pageSetup paperSize="9" scale="65" orientation="landscape"/>
  <headerFooter>
    <oddHeader>&amp;L&amp;C&amp;R</oddHeader>
    <oddFooter>&amp;L&amp;"Verdana,Standaard"&amp;K000000&amp;F-&amp;A&amp;R&amp;"Verdana,Standaard"&amp;K000000printversie &amp;D</oddFooter>
  </headerFooter>
  <pictur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AE81"/>
  <sheetViews>
    <sheetView showGridLines="0" showRowColHeaders="0" showZeros="0" showOutlineSymbols="0" zoomScaleNormal="100" zoomScaleSheetLayoutView="65" zoomScalePageLayoutView="90" workbookViewId="0">
      <pane ySplit="13" topLeftCell="A14" activePane="bottomLeft" state="frozen"/>
      <selection pane="bottomLeft"/>
    </sheetView>
  </sheetViews>
  <sheetFormatPr defaultColWidth="8.85546875" defaultRowHeight="15.95" customHeight="1"/>
  <cols>
    <col min="1" max="1" width="7.85546875" style="242" customWidth="1"/>
    <col min="2" max="2" width="15.140625" style="298" customWidth="1"/>
    <col min="3" max="3" width="17" style="336" customWidth="1"/>
    <col min="4" max="4" width="9.140625" style="298" customWidth="1"/>
    <col min="5" max="5" width="14.85546875" style="337" customWidth="1"/>
    <col min="6" max="6" width="8.42578125" style="298" customWidth="1"/>
    <col min="7" max="7" width="8.140625" style="338" customWidth="1"/>
    <col min="8" max="8" width="23.140625" style="242" bestFit="1" customWidth="1"/>
    <col min="9" max="9" width="31.5703125" style="317" bestFit="1" customWidth="1"/>
    <col min="10" max="10" width="16" style="298" customWidth="1"/>
    <col min="11" max="12" width="10.85546875" style="319" customWidth="1"/>
    <col min="13" max="13" width="21.140625" style="320" bestFit="1" customWidth="1"/>
    <col min="14" max="14" width="13.42578125" style="320" customWidth="1"/>
    <col min="15" max="15" width="16.140625" style="298" bestFit="1" customWidth="1"/>
    <col min="16" max="16" width="15.5703125" style="320" bestFit="1" customWidth="1"/>
    <col min="17" max="17" width="16.42578125" style="320" hidden="1" customWidth="1"/>
    <col min="18" max="18" width="16.42578125" style="321" bestFit="1" customWidth="1"/>
    <col min="19" max="19" width="16.42578125" style="321" hidden="1" customWidth="1"/>
    <col min="20" max="20" width="24.42578125" style="242" bestFit="1" customWidth="1"/>
    <col min="21" max="21" width="17.5703125" style="298" customWidth="1"/>
    <col min="22" max="22" width="18" style="298" hidden="1" customWidth="1"/>
    <col min="23" max="23" width="18.5703125" style="242" bestFit="1" customWidth="1"/>
    <col min="24" max="24" width="13.140625" style="242" bestFit="1" customWidth="1"/>
    <col min="25" max="25" width="29.5703125" style="339" customWidth="1"/>
    <col min="26" max="26" width="17" style="298" customWidth="1"/>
    <col min="27" max="27" width="20.140625" style="298" customWidth="1"/>
    <col min="28" max="28" width="15.85546875" style="242" customWidth="1"/>
    <col min="29" max="29" width="7.42578125" style="242" hidden="1" customWidth="1"/>
    <col min="30" max="30" width="11.5703125" style="242" hidden="1" customWidth="1"/>
    <col min="31" max="31" width="22.85546875" style="242" hidden="1" customWidth="1"/>
    <col min="32" max="32" width="12" style="242" customWidth="1"/>
    <col min="33" max="33" width="20" style="242" customWidth="1"/>
    <col min="34" max="16384" width="8.85546875" style="242"/>
  </cols>
  <sheetData>
    <row r="1" spans="1:30" s="3" customFormat="1" ht="9" customHeight="1" thickBot="1">
      <c r="A1" s="6"/>
      <c r="B1" s="27"/>
      <c r="C1" s="27"/>
      <c r="D1" s="598"/>
      <c r="E1" s="27"/>
      <c r="F1" s="27"/>
      <c r="G1" s="27"/>
      <c r="H1" s="27"/>
      <c r="I1" s="27"/>
      <c r="J1" s="592"/>
      <c r="K1" s="27"/>
      <c r="L1" s="27"/>
      <c r="M1" s="27"/>
      <c r="N1" s="716"/>
      <c r="O1" s="27"/>
      <c r="P1" s="27"/>
      <c r="Q1" s="27"/>
      <c r="R1" s="27"/>
      <c r="S1" s="27"/>
      <c r="T1" s="27"/>
      <c r="U1" s="27"/>
      <c r="V1" s="94"/>
      <c r="X1" s="94"/>
      <c r="Y1" s="94"/>
      <c r="Z1" s="94"/>
      <c r="AA1" s="94"/>
    </row>
    <row r="2" spans="1:30" s="3" customFormat="1" ht="8.1" customHeight="1">
      <c r="A2" s="6"/>
      <c r="B2" s="97"/>
      <c r="C2" s="97"/>
      <c r="D2" s="599"/>
      <c r="E2" s="97"/>
      <c r="F2" s="97"/>
      <c r="G2" s="97"/>
      <c r="H2" s="97"/>
      <c r="I2" s="97"/>
      <c r="J2" s="593"/>
      <c r="K2" s="97"/>
      <c r="L2" s="97"/>
      <c r="M2" s="97"/>
      <c r="N2" s="717"/>
      <c r="O2" s="97"/>
      <c r="P2" s="97"/>
      <c r="Q2" s="97"/>
      <c r="R2" s="97"/>
      <c r="S2" s="97"/>
      <c r="T2" s="97"/>
      <c r="U2" s="97"/>
      <c r="V2" s="94"/>
      <c r="X2" s="94"/>
      <c r="Y2" s="94"/>
      <c r="Z2" s="94"/>
      <c r="AA2" s="94"/>
    </row>
    <row r="3" spans="1:30" s="190" customFormat="1" ht="15">
      <c r="C3" s="191"/>
      <c r="D3" s="191"/>
      <c r="E3" s="191"/>
      <c r="F3" s="192"/>
      <c r="G3" s="193"/>
      <c r="H3" s="194"/>
      <c r="I3" s="595"/>
      <c r="J3" s="195"/>
      <c r="K3" s="196"/>
      <c r="L3" s="197"/>
      <c r="M3" s="193"/>
      <c r="N3" s="718"/>
    </row>
    <row r="4" spans="1:30" ht="18" customHeight="1">
      <c r="A4" s="298"/>
      <c r="C4" s="299"/>
      <c r="E4" s="311" t="str">
        <f>'1.2-Kengetal'!C4</f>
        <v>Omschrijving blad</v>
      </c>
      <c r="F4" s="312"/>
      <c r="G4" s="364" t="s">
        <v>184</v>
      </c>
      <c r="H4" s="313"/>
      <c r="I4" s="596"/>
      <c r="J4" s="302"/>
      <c r="K4" s="305"/>
      <c r="L4" s="305"/>
      <c r="M4" s="306"/>
      <c r="N4" s="306"/>
      <c r="O4" s="305"/>
      <c r="P4" s="654"/>
      <c r="Q4" s="656"/>
      <c r="R4" s="307"/>
      <c r="S4" s="308"/>
      <c r="T4" s="309"/>
      <c r="U4" s="310"/>
      <c r="V4" s="310"/>
      <c r="W4" s="309"/>
      <c r="X4" s="314"/>
      <c r="Y4" s="315"/>
      <c r="Z4" s="302"/>
    </row>
    <row r="5" spans="1:30" ht="18" customHeight="1">
      <c r="A5" s="298"/>
      <c r="C5" s="299"/>
      <c r="E5" s="200" t="s">
        <v>93</v>
      </c>
      <c r="G5" s="363" t="str">
        <f>Voorblad!$E$16</f>
        <v>Invest-NL</v>
      </c>
      <c r="H5" s="313"/>
      <c r="I5" s="597"/>
      <c r="J5" s="302"/>
      <c r="K5" s="305"/>
      <c r="L5" s="305"/>
      <c r="M5" s="306"/>
      <c r="N5" s="306"/>
      <c r="O5" s="302"/>
      <c r="P5" s="654"/>
      <c r="Q5" s="655"/>
      <c r="R5" s="307"/>
      <c r="S5" s="308"/>
      <c r="T5" s="309"/>
      <c r="U5" s="310"/>
      <c r="V5" s="310"/>
      <c r="W5" s="316"/>
      <c r="X5" s="314"/>
      <c r="Y5" s="315"/>
      <c r="Z5" s="302"/>
    </row>
    <row r="6" spans="1:30" ht="18" customHeight="1">
      <c r="A6" s="298"/>
      <c r="C6" s="299"/>
      <c r="E6" s="200" t="s">
        <v>94</v>
      </c>
      <c r="G6" s="363" t="str">
        <f>'1.0-Contractblad'!$E$7</f>
        <v>Kingsfordweg 43-117 Amsterdam</v>
      </c>
      <c r="H6" s="313"/>
      <c r="J6" s="567" t="s">
        <v>53</v>
      </c>
      <c r="K6" s="318"/>
      <c r="M6" s="306"/>
      <c r="N6" s="306"/>
      <c r="O6" s="302"/>
      <c r="P6" s="654"/>
      <c r="Q6" s="655"/>
      <c r="S6" s="308"/>
      <c r="T6" s="309"/>
      <c r="U6" s="310"/>
      <c r="V6" s="310"/>
      <c r="W6" s="309"/>
      <c r="X6" s="314"/>
      <c r="Y6" s="315"/>
      <c r="Z6" s="302"/>
    </row>
    <row r="7" spans="1:30" ht="18" customHeight="1" thickBot="1">
      <c r="A7" s="298"/>
      <c r="C7" s="299"/>
      <c r="E7" s="200" t="s">
        <v>43</v>
      </c>
      <c r="G7" s="210" t="str">
        <f>Voorblad!$E$24</f>
        <v>TN436801</v>
      </c>
      <c r="H7" s="313"/>
      <c r="J7" s="594"/>
      <c r="K7" s="619" t="s">
        <v>185</v>
      </c>
      <c r="L7" s="305"/>
      <c r="M7" s="306"/>
      <c r="N7" s="306"/>
      <c r="O7" s="302"/>
      <c r="P7" s="654"/>
      <c r="Q7" s="655"/>
      <c r="S7" s="308"/>
      <c r="T7" s="309"/>
      <c r="U7" s="310"/>
      <c r="V7" s="310"/>
      <c r="W7" s="309"/>
      <c r="X7" s="314"/>
      <c r="Y7" s="315"/>
      <c r="Z7" s="302"/>
    </row>
    <row r="8" spans="1:30" ht="18" customHeight="1">
      <c r="A8" s="298"/>
      <c r="C8" s="299"/>
      <c r="E8" s="200" t="s">
        <v>45</v>
      </c>
      <c r="G8" s="215" t="e">
        <f ca="1">Voorblad!$E$26</f>
        <v>#VALUE!</v>
      </c>
      <c r="H8" s="313"/>
      <c r="K8" s="305"/>
      <c r="L8" s="305"/>
      <c r="M8" s="306"/>
      <c r="N8" s="306"/>
      <c r="O8" s="302"/>
      <c r="P8" s="654"/>
      <c r="Q8" s="655"/>
      <c r="S8" s="308"/>
      <c r="T8" s="309"/>
      <c r="U8" s="310"/>
      <c r="V8" s="310"/>
      <c r="W8" s="309"/>
      <c r="X8" s="314"/>
      <c r="Y8" s="315"/>
      <c r="Z8" s="302"/>
    </row>
    <row r="9" spans="1:30" ht="18" customHeight="1">
      <c r="A9" s="298"/>
      <c r="C9" s="299"/>
      <c r="E9" s="200" t="s">
        <v>95</v>
      </c>
      <c r="G9" s="365" t="str">
        <f>Voorblad!$E$19</f>
        <v>[Invoeren naam organisatie van Inschrijver]</v>
      </c>
      <c r="H9" s="322"/>
      <c r="K9" s="305"/>
      <c r="L9" s="305"/>
      <c r="M9" s="306"/>
      <c r="N9" s="306"/>
      <c r="O9" s="302"/>
      <c r="P9" s="654"/>
      <c r="Q9" s="655"/>
      <c r="R9" s="323"/>
      <c r="S9" s="323"/>
      <c r="T9" s="323"/>
      <c r="U9" s="310"/>
      <c r="V9" s="310"/>
      <c r="W9" s="309"/>
      <c r="X9" s="314"/>
      <c r="Y9" s="315"/>
      <c r="Z9" s="302"/>
    </row>
    <row r="10" spans="1:30" ht="18" customHeight="1">
      <c r="A10" s="298"/>
      <c r="C10" s="299"/>
      <c r="E10" s="200" t="s">
        <v>42</v>
      </c>
      <c r="G10" s="766">
        <f>Voorblad!$E$22</f>
        <v>45473</v>
      </c>
      <c r="H10" s="766"/>
      <c r="I10" s="324"/>
      <c r="K10" s="305"/>
      <c r="L10" s="305"/>
      <c r="M10" s="566"/>
      <c r="N10" s="306"/>
      <c r="O10" s="302"/>
      <c r="P10" s="654"/>
      <c r="Q10" s="655"/>
      <c r="S10" s="308"/>
      <c r="T10" s="309"/>
      <c r="U10" s="310"/>
      <c r="V10" s="310"/>
      <c r="W10" s="309"/>
      <c r="Y10" s="315"/>
      <c r="Z10" s="302"/>
    </row>
    <row r="11" spans="1:30" ht="15">
      <c r="A11" s="298"/>
      <c r="C11" s="299"/>
      <c r="E11" s="300"/>
      <c r="F11" s="301"/>
      <c r="G11" s="302"/>
      <c r="H11" s="303"/>
      <c r="I11" s="304"/>
      <c r="J11" s="302"/>
      <c r="K11" s="305"/>
      <c r="L11" s="305"/>
      <c r="M11" s="306"/>
      <c r="N11" s="306"/>
      <c r="O11" s="302"/>
      <c r="S11" s="308"/>
      <c r="T11" s="309"/>
      <c r="U11" s="310"/>
      <c r="V11" s="310"/>
      <c r="W11" s="309"/>
      <c r="X11" s="303"/>
      <c r="Y11" s="315"/>
      <c r="Z11" s="302"/>
    </row>
    <row r="12" spans="1:30" s="349" customFormat="1" ht="53.1" customHeight="1">
      <c r="A12" s="340"/>
      <c r="B12" s="179" t="s">
        <v>186</v>
      </c>
      <c r="C12" s="341" t="s">
        <v>187</v>
      </c>
      <c r="D12" s="178" t="s">
        <v>188</v>
      </c>
      <c r="E12" s="177" t="s">
        <v>189</v>
      </c>
      <c r="F12" s="178" t="s">
        <v>190</v>
      </c>
      <c r="G12" s="342" t="s">
        <v>191</v>
      </c>
      <c r="H12" s="177" t="s">
        <v>192</v>
      </c>
      <c r="I12" s="343" t="s">
        <v>193</v>
      </c>
      <c r="J12" s="179" t="s">
        <v>194</v>
      </c>
      <c r="K12" s="266" t="s">
        <v>134</v>
      </c>
      <c r="L12" s="266" t="s">
        <v>135</v>
      </c>
      <c r="M12" s="344" t="s">
        <v>195</v>
      </c>
      <c r="N12" s="344" t="s">
        <v>196</v>
      </c>
      <c r="O12" s="345" t="s">
        <v>128</v>
      </c>
      <c r="P12" s="344" t="s">
        <v>197</v>
      </c>
      <c r="Q12" s="344" t="s">
        <v>198</v>
      </c>
      <c r="R12" s="346" t="s">
        <v>199</v>
      </c>
      <c r="S12" s="346" t="s">
        <v>200</v>
      </c>
      <c r="T12" s="346" t="s">
        <v>201</v>
      </c>
      <c r="U12" s="347" t="s">
        <v>202</v>
      </c>
      <c r="V12" s="345" t="s">
        <v>132</v>
      </c>
      <c r="W12" s="345" t="s">
        <v>203</v>
      </c>
      <c r="X12" s="178" t="s">
        <v>138</v>
      </c>
      <c r="Y12" s="348" t="s">
        <v>137</v>
      </c>
      <c r="Z12" s="179" t="s">
        <v>204</v>
      </c>
      <c r="AA12" s="179" t="s">
        <v>205</v>
      </c>
    </row>
    <row r="13" spans="1:30" s="349" customFormat="1">
      <c r="A13" s="340"/>
      <c r="B13" s="358" t="s">
        <v>206</v>
      </c>
      <c r="C13" s="359"/>
      <c r="D13" s="600"/>
      <c r="E13" s="360"/>
      <c r="F13" s="183"/>
      <c r="G13" s="350"/>
      <c r="H13" s="182"/>
      <c r="I13" s="351"/>
      <c r="J13" s="184"/>
      <c r="K13" s="352"/>
      <c r="L13" s="352"/>
      <c r="M13" s="353"/>
      <c r="N13" s="353"/>
      <c r="O13" s="354"/>
      <c r="P13" s="353"/>
      <c r="Q13" s="353"/>
      <c r="R13" s="355"/>
      <c r="S13" s="355"/>
      <c r="T13" s="355"/>
      <c r="U13" s="356"/>
      <c r="V13" s="354"/>
      <c r="W13" s="354"/>
      <c r="X13" s="183"/>
      <c r="Y13" s="357"/>
      <c r="Z13" s="184"/>
      <c r="AA13" s="184"/>
    </row>
    <row r="14" spans="1:30" s="542" customFormat="1" ht="17.100000000000001" customHeight="1">
      <c r="B14" s="361"/>
      <c r="C14" s="362"/>
      <c r="D14" s="326">
        <f ca="1">VLOOKUP(E14,'1.1a-Jaarprijzen'!B:G,6,FALSE)</f>
        <v>1</v>
      </c>
      <c r="E14" s="325" t="s">
        <v>40</v>
      </c>
      <c r="F14" s="326">
        <v>3</v>
      </c>
      <c r="G14" s="327" t="s">
        <v>207</v>
      </c>
      <c r="H14" s="325" t="s">
        <v>208</v>
      </c>
      <c r="I14" s="328" t="str">
        <f t="shared" ref="I14:I42" si="0">IF($M14="",0,VLOOKUP($M14,Kengetal,4,FALSE))</f>
        <v>niet van toepassing</v>
      </c>
      <c r="J14" s="326" t="s">
        <v>209</v>
      </c>
      <c r="K14" s="329"/>
      <c r="L14" s="329">
        <v>10.889999999999999</v>
      </c>
      <c r="M14" s="330" t="s">
        <v>154</v>
      </c>
      <c r="N14" s="330"/>
      <c r="O14" s="331">
        <f t="shared" ref="O14:O46" si="1">VLOOKUP(M14,Kengetal,3,FALSE)+VLOOKUP(N14,Kengetal,3,FALSE)</f>
        <v>0</v>
      </c>
      <c r="P14" s="528">
        <v>1</v>
      </c>
      <c r="Q14" s="528">
        <v>1</v>
      </c>
      <c r="R14" s="323">
        <f t="shared" ref="R14:R46" si="2">U14*K14*P14</f>
        <v>0</v>
      </c>
      <c r="S14" s="323">
        <f t="shared" ref="S14:S46" si="3">V14*K14*Q14</f>
        <v>0</v>
      </c>
      <c r="T14" s="323">
        <f>W14*K14</f>
        <v>0</v>
      </c>
      <c r="U14" s="323">
        <f t="shared" ref="U14:U45" si="4" xml:space="preserve"> IF($M14=0,0,VLOOKUP($M14,Kengetal,6,FALSE))</f>
        <v>0</v>
      </c>
      <c r="V14" s="323">
        <f t="shared" ref="V14:V28" si="5">Y14*N14*T14</f>
        <v>0</v>
      </c>
      <c r="W14" s="323">
        <f t="shared" ref="W14:W45" si="6" xml:space="preserve"> IF($N14=0,0,VLOOKUP($N14,Kengetal,6,FALSE))</f>
        <v>0</v>
      </c>
      <c r="X14" s="333">
        <f t="shared" ref="X14:X46" si="7">IF(M14="","",VLOOKUP(M14,Kengetal,13,FALSE))</f>
        <v>0</v>
      </c>
      <c r="Y14" s="334"/>
      <c r="Z14" s="335">
        <f>(R14+S14+T14)*'1.0-Contractblad'!$L$41</f>
        <v>0</v>
      </c>
      <c r="AA14" s="335">
        <f ca="1">VLOOKUP(E14,'1.1a-Jaarprijzen'!$B$51:$Q$88,16,FALSE)*K14</f>
        <v>0</v>
      </c>
      <c r="AC14" s="542">
        <f t="shared" ref="AC14" si="8">K14*O14</f>
        <v>0</v>
      </c>
      <c r="AD14" s="542" t="str">
        <f t="shared" ref="AD14" si="9">CONCATENATE(M14,"-",O14)</f>
        <v>nvt-0</v>
      </c>
    </row>
    <row r="15" spans="1:30" s="542" customFormat="1" ht="17.100000000000001" customHeight="1">
      <c r="B15" s="361"/>
      <c r="C15" s="362"/>
      <c r="D15" s="326">
        <f ca="1">VLOOKUP(E15,'1.1a-Jaarprijzen'!B:G,6,FALSE)</f>
        <v>1</v>
      </c>
      <c r="E15" s="325" t="s">
        <v>40</v>
      </c>
      <c r="F15" s="326">
        <v>3</v>
      </c>
      <c r="G15" s="327" t="s">
        <v>210</v>
      </c>
      <c r="H15" s="325" t="s">
        <v>211</v>
      </c>
      <c r="I15" s="328" t="str">
        <f t="shared" si="0"/>
        <v>administratieve - en vergaderruimte</v>
      </c>
      <c r="J15" s="326" t="s">
        <v>209</v>
      </c>
      <c r="K15" s="329">
        <v>3.6799999999999997</v>
      </c>
      <c r="L15" s="329"/>
      <c r="M15" s="330">
        <v>1255</v>
      </c>
      <c r="N15" s="330"/>
      <c r="O15" s="331">
        <f t="shared" si="1"/>
        <v>255</v>
      </c>
      <c r="P15" s="528">
        <v>1</v>
      </c>
      <c r="Q15" s="528">
        <v>1</v>
      </c>
      <c r="R15" s="323">
        <f t="shared" si="2"/>
        <v>0</v>
      </c>
      <c r="S15" s="323">
        <f t="shared" si="3"/>
        <v>0</v>
      </c>
      <c r="T15" s="323">
        <f t="shared" ref="T15:T46" si="10">W15*K15</f>
        <v>0</v>
      </c>
      <c r="U15" s="323">
        <f t="shared" si="4"/>
        <v>0</v>
      </c>
      <c r="V15" s="323">
        <f t="shared" si="5"/>
        <v>0</v>
      </c>
      <c r="W15" s="323">
        <f t="shared" si="6"/>
        <v>0</v>
      </c>
      <c r="X15" s="333" t="str">
        <f t="shared" si="7"/>
        <v>B</v>
      </c>
      <c r="Y15" s="334"/>
      <c r="Z15" s="335">
        <f>(R15+S15+T15)*'1.0-Contractblad'!$L$41</f>
        <v>0</v>
      </c>
      <c r="AA15" s="335">
        <f ca="1">VLOOKUP(E15,'1.1a-Jaarprijzen'!$B$51:$Q$88,16,FALSE)*K15</f>
        <v>0</v>
      </c>
      <c r="AC15" s="542">
        <f t="shared" ref="AC15:AC46" si="11">K15*O15</f>
        <v>938.4</v>
      </c>
      <c r="AD15" s="542" t="str">
        <f t="shared" ref="AD15:AD46" si="12">CONCATENATE(M15,"-",O15)</f>
        <v>1255-255</v>
      </c>
    </row>
    <row r="16" spans="1:30" s="542" customFormat="1" ht="17.100000000000001" customHeight="1">
      <c r="B16" s="361"/>
      <c r="C16" s="362"/>
      <c r="D16" s="326">
        <f ca="1">VLOOKUP(E16,'1.1a-Jaarprijzen'!B:G,6,FALSE)</f>
        <v>1</v>
      </c>
      <c r="E16" s="325" t="s">
        <v>40</v>
      </c>
      <c r="F16" s="326">
        <v>3</v>
      </c>
      <c r="G16" s="327" t="s">
        <v>212</v>
      </c>
      <c r="H16" s="325" t="s">
        <v>213</v>
      </c>
      <c r="I16" s="328" t="str">
        <f t="shared" si="0"/>
        <v>administratieve - en vergaderruimte</v>
      </c>
      <c r="J16" s="326" t="s">
        <v>209</v>
      </c>
      <c r="K16" s="329">
        <v>17.68</v>
      </c>
      <c r="L16" s="329"/>
      <c r="M16" s="330">
        <v>1255</v>
      </c>
      <c r="N16" s="330"/>
      <c r="O16" s="331">
        <f t="shared" si="1"/>
        <v>255</v>
      </c>
      <c r="P16" s="528">
        <v>1</v>
      </c>
      <c r="Q16" s="528">
        <v>1</v>
      </c>
      <c r="R16" s="323">
        <f t="shared" si="2"/>
        <v>0</v>
      </c>
      <c r="S16" s="323">
        <f t="shared" si="3"/>
        <v>0</v>
      </c>
      <c r="T16" s="323">
        <f t="shared" si="10"/>
        <v>0</v>
      </c>
      <c r="U16" s="323">
        <f t="shared" si="4"/>
        <v>0</v>
      </c>
      <c r="V16" s="323">
        <f t="shared" si="5"/>
        <v>0</v>
      </c>
      <c r="W16" s="323">
        <f t="shared" si="6"/>
        <v>0</v>
      </c>
      <c r="X16" s="333" t="str">
        <f t="shared" si="7"/>
        <v>B</v>
      </c>
      <c r="Y16" s="334"/>
      <c r="Z16" s="335">
        <f>(R16+S16+T16)*'1.0-Contractblad'!$L$41</f>
        <v>0</v>
      </c>
      <c r="AA16" s="335">
        <f ca="1">VLOOKUP(E16,'1.1a-Jaarprijzen'!$B$51:$Q$88,16,FALSE)*K16</f>
        <v>0</v>
      </c>
      <c r="AC16" s="542">
        <f t="shared" si="11"/>
        <v>4508.3999999999996</v>
      </c>
      <c r="AD16" s="542" t="str">
        <f t="shared" si="12"/>
        <v>1255-255</v>
      </c>
    </row>
    <row r="17" spans="2:30" s="542" customFormat="1" ht="17.100000000000001" customHeight="1">
      <c r="B17" s="361"/>
      <c r="C17" s="362"/>
      <c r="D17" s="326">
        <f ca="1">VLOOKUP(E17,'1.1a-Jaarprijzen'!B:G,6,FALSE)</f>
        <v>1</v>
      </c>
      <c r="E17" s="325" t="s">
        <v>40</v>
      </c>
      <c r="F17" s="326">
        <v>3</v>
      </c>
      <c r="G17" s="327" t="s">
        <v>214</v>
      </c>
      <c r="H17" s="325" t="s">
        <v>211</v>
      </c>
      <c r="I17" s="328" t="str">
        <f t="shared" si="0"/>
        <v>administratieve - en vergaderruimte</v>
      </c>
      <c r="J17" s="326" t="s">
        <v>209</v>
      </c>
      <c r="K17" s="329">
        <v>3.6799999999999997</v>
      </c>
      <c r="L17" s="329"/>
      <c r="M17" s="330">
        <v>1255</v>
      </c>
      <c r="N17" s="330"/>
      <c r="O17" s="331">
        <f t="shared" si="1"/>
        <v>255</v>
      </c>
      <c r="P17" s="528">
        <v>1</v>
      </c>
      <c r="Q17" s="528">
        <v>1</v>
      </c>
      <c r="R17" s="323">
        <f t="shared" si="2"/>
        <v>0</v>
      </c>
      <c r="S17" s="323">
        <f t="shared" si="3"/>
        <v>0</v>
      </c>
      <c r="T17" s="323">
        <f t="shared" si="10"/>
        <v>0</v>
      </c>
      <c r="U17" s="323">
        <f t="shared" si="4"/>
        <v>0</v>
      </c>
      <c r="V17" s="323">
        <f t="shared" si="5"/>
        <v>0</v>
      </c>
      <c r="W17" s="323">
        <f t="shared" si="6"/>
        <v>0</v>
      </c>
      <c r="X17" s="333" t="str">
        <f t="shared" si="7"/>
        <v>B</v>
      </c>
      <c r="Y17" s="334"/>
      <c r="Z17" s="335">
        <f>(R17+S17+T17)*'1.0-Contractblad'!$L$41</f>
        <v>0</v>
      </c>
      <c r="AA17" s="335">
        <f ca="1">VLOOKUP(E17,'1.1a-Jaarprijzen'!$B$51:$Q$88,16,FALSE)*K17</f>
        <v>0</v>
      </c>
      <c r="AC17" s="542">
        <f t="shared" si="11"/>
        <v>938.4</v>
      </c>
      <c r="AD17" s="542" t="str">
        <f t="shared" si="12"/>
        <v>1255-255</v>
      </c>
    </row>
    <row r="18" spans="2:30" s="542" customFormat="1" ht="17.100000000000001" customHeight="1">
      <c r="B18" s="361"/>
      <c r="C18" s="362"/>
      <c r="D18" s="326">
        <f ca="1">VLOOKUP(E18,'1.1a-Jaarprijzen'!B:G,6,FALSE)</f>
        <v>1</v>
      </c>
      <c r="E18" s="325" t="s">
        <v>40</v>
      </c>
      <c r="F18" s="326">
        <v>3</v>
      </c>
      <c r="G18" s="327" t="s">
        <v>215</v>
      </c>
      <c r="H18" s="325" t="s">
        <v>216</v>
      </c>
      <c r="I18" s="328" t="str">
        <f t="shared" si="0"/>
        <v>administratieve - en vergaderruimte</v>
      </c>
      <c r="J18" s="326" t="s">
        <v>209</v>
      </c>
      <c r="K18" s="329">
        <v>12.25</v>
      </c>
      <c r="L18" s="329"/>
      <c r="M18" s="330">
        <v>1255</v>
      </c>
      <c r="N18" s="330"/>
      <c r="O18" s="331">
        <f t="shared" si="1"/>
        <v>255</v>
      </c>
      <c r="P18" s="528">
        <v>1</v>
      </c>
      <c r="Q18" s="528">
        <v>1</v>
      </c>
      <c r="R18" s="323">
        <f t="shared" si="2"/>
        <v>0</v>
      </c>
      <c r="S18" s="323">
        <f t="shared" si="3"/>
        <v>0</v>
      </c>
      <c r="T18" s="323">
        <f t="shared" si="10"/>
        <v>0</v>
      </c>
      <c r="U18" s="323">
        <f t="shared" si="4"/>
        <v>0</v>
      </c>
      <c r="V18" s="323">
        <f t="shared" si="5"/>
        <v>0</v>
      </c>
      <c r="W18" s="323">
        <f t="shared" si="6"/>
        <v>0</v>
      </c>
      <c r="X18" s="333" t="str">
        <f t="shared" si="7"/>
        <v>B</v>
      </c>
      <c r="Y18" s="334"/>
      <c r="Z18" s="335">
        <f>(R18+S18+T18)*'1.0-Contractblad'!$L$41</f>
        <v>0</v>
      </c>
      <c r="AA18" s="335">
        <f ca="1">VLOOKUP(E18,'1.1a-Jaarprijzen'!$B$51:$Q$88,16,FALSE)*K18</f>
        <v>0</v>
      </c>
      <c r="AC18" s="542">
        <f t="shared" si="11"/>
        <v>3123.75</v>
      </c>
      <c r="AD18" s="542" t="str">
        <f t="shared" si="12"/>
        <v>1255-255</v>
      </c>
    </row>
    <row r="19" spans="2:30" s="542" customFormat="1" ht="17.100000000000001" customHeight="1">
      <c r="B19" s="361"/>
      <c r="C19" s="362"/>
      <c r="D19" s="326">
        <f ca="1">VLOOKUP(E19,'1.1a-Jaarprijzen'!B:G,6,FALSE)</f>
        <v>1</v>
      </c>
      <c r="E19" s="325" t="s">
        <v>40</v>
      </c>
      <c r="F19" s="326">
        <v>3</v>
      </c>
      <c r="G19" s="327" t="s">
        <v>217</v>
      </c>
      <c r="H19" s="325" t="s">
        <v>211</v>
      </c>
      <c r="I19" s="328" t="str">
        <f t="shared" si="0"/>
        <v>administratieve - en vergaderruimte</v>
      </c>
      <c r="J19" s="326" t="s">
        <v>209</v>
      </c>
      <c r="K19" s="329">
        <v>3.6799999999999997</v>
      </c>
      <c r="L19" s="329"/>
      <c r="M19" s="330">
        <v>1255</v>
      </c>
      <c r="N19" s="330"/>
      <c r="O19" s="331">
        <f t="shared" si="1"/>
        <v>255</v>
      </c>
      <c r="P19" s="528">
        <v>1</v>
      </c>
      <c r="Q19" s="528">
        <v>1</v>
      </c>
      <c r="R19" s="323">
        <f t="shared" si="2"/>
        <v>0</v>
      </c>
      <c r="S19" s="323">
        <f t="shared" si="3"/>
        <v>0</v>
      </c>
      <c r="T19" s="323">
        <f t="shared" si="10"/>
        <v>0</v>
      </c>
      <c r="U19" s="323">
        <f t="shared" si="4"/>
        <v>0</v>
      </c>
      <c r="V19" s="323">
        <f t="shared" si="5"/>
        <v>0</v>
      </c>
      <c r="W19" s="323">
        <f t="shared" si="6"/>
        <v>0</v>
      </c>
      <c r="X19" s="333" t="str">
        <f t="shared" si="7"/>
        <v>B</v>
      </c>
      <c r="Y19" s="334"/>
      <c r="Z19" s="335">
        <f>(R19+S19+T19)*'1.0-Contractblad'!$L$41</f>
        <v>0</v>
      </c>
      <c r="AA19" s="335">
        <f ca="1">VLOOKUP(E19,'1.1a-Jaarprijzen'!$B$51:$Q$88,16,FALSE)*K19</f>
        <v>0</v>
      </c>
      <c r="AC19" s="542">
        <f t="shared" si="11"/>
        <v>938.4</v>
      </c>
      <c r="AD19" s="542" t="str">
        <f t="shared" si="12"/>
        <v>1255-255</v>
      </c>
    </row>
    <row r="20" spans="2:30" s="542" customFormat="1" ht="17.100000000000001" customHeight="1">
      <c r="B20" s="361"/>
      <c r="C20" s="362"/>
      <c r="D20" s="326">
        <f ca="1">VLOOKUP(E20,'1.1a-Jaarprijzen'!B:G,6,FALSE)</f>
        <v>1</v>
      </c>
      <c r="E20" s="325" t="s">
        <v>40</v>
      </c>
      <c r="F20" s="326">
        <v>3</v>
      </c>
      <c r="G20" s="327" t="s">
        <v>218</v>
      </c>
      <c r="H20" s="325" t="s">
        <v>219</v>
      </c>
      <c r="I20" s="328" t="str">
        <f t="shared" si="0"/>
        <v>administratieve - en vergaderruimte</v>
      </c>
      <c r="J20" s="326" t="s">
        <v>209</v>
      </c>
      <c r="K20" s="329">
        <v>12.25</v>
      </c>
      <c r="L20" s="329"/>
      <c r="M20" s="330">
        <v>1255</v>
      </c>
      <c r="N20" s="330"/>
      <c r="O20" s="331">
        <f t="shared" si="1"/>
        <v>255</v>
      </c>
      <c r="P20" s="528">
        <v>1</v>
      </c>
      <c r="Q20" s="528">
        <v>1</v>
      </c>
      <c r="R20" s="323">
        <f t="shared" si="2"/>
        <v>0</v>
      </c>
      <c r="S20" s="323">
        <f t="shared" si="3"/>
        <v>0</v>
      </c>
      <c r="T20" s="323">
        <f t="shared" si="10"/>
        <v>0</v>
      </c>
      <c r="U20" s="323">
        <f t="shared" si="4"/>
        <v>0</v>
      </c>
      <c r="V20" s="323">
        <f t="shared" si="5"/>
        <v>0</v>
      </c>
      <c r="W20" s="323">
        <f t="shared" si="6"/>
        <v>0</v>
      </c>
      <c r="X20" s="333" t="str">
        <f t="shared" si="7"/>
        <v>B</v>
      </c>
      <c r="Y20" s="334"/>
      <c r="Z20" s="335">
        <f>(R20+S20+T20)*'1.0-Contractblad'!$L$41</f>
        <v>0</v>
      </c>
      <c r="AA20" s="335">
        <f ca="1">VLOOKUP(E20,'1.1a-Jaarprijzen'!$B$51:$Q$88,16,FALSE)*K20</f>
        <v>0</v>
      </c>
      <c r="AC20" s="542">
        <f t="shared" si="11"/>
        <v>3123.75</v>
      </c>
      <c r="AD20" s="542" t="str">
        <f t="shared" si="12"/>
        <v>1255-255</v>
      </c>
    </row>
    <row r="21" spans="2:30" s="542" customFormat="1" ht="17.100000000000001" customHeight="1">
      <c r="B21" s="361"/>
      <c r="C21" s="362"/>
      <c r="D21" s="326">
        <f ca="1">VLOOKUP(E21,'1.1a-Jaarprijzen'!B:G,6,FALSE)</f>
        <v>1</v>
      </c>
      <c r="E21" s="325" t="s">
        <v>40</v>
      </c>
      <c r="F21" s="326">
        <v>3</v>
      </c>
      <c r="G21" s="327" t="s">
        <v>220</v>
      </c>
      <c r="H21" s="325" t="s">
        <v>211</v>
      </c>
      <c r="I21" s="328" t="str">
        <f t="shared" si="0"/>
        <v>administratieve - en vergaderruimte</v>
      </c>
      <c r="J21" s="326" t="s">
        <v>209</v>
      </c>
      <c r="K21" s="329">
        <v>3.6799999999999997</v>
      </c>
      <c r="L21" s="329"/>
      <c r="M21" s="330">
        <v>1255</v>
      </c>
      <c r="N21" s="330"/>
      <c r="O21" s="331">
        <f t="shared" si="1"/>
        <v>255</v>
      </c>
      <c r="P21" s="528">
        <v>1</v>
      </c>
      <c r="Q21" s="528">
        <v>1</v>
      </c>
      <c r="R21" s="323">
        <f t="shared" si="2"/>
        <v>0</v>
      </c>
      <c r="S21" s="323">
        <f t="shared" si="3"/>
        <v>0</v>
      </c>
      <c r="T21" s="323">
        <f t="shared" si="10"/>
        <v>0</v>
      </c>
      <c r="U21" s="323">
        <f t="shared" si="4"/>
        <v>0</v>
      </c>
      <c r="V21" s="323">
        <f t="shared" si="5"/>
        <v>0</v>
      </c>
      <c r="W21" s="323">
        <f t="shared" si="6"/>
        <v>0</v>
      </c>
      <c r="X21" s="333" t="str">
        <f t="shared" si="7"/>
        <v>B</v>
      </c>
      <c r="Y21" s="334"/>
      <c r="Z21" s="335">
        <f>(R21+S21+T21)*'1.0-Contractblad'!$L$41</f>
        <v>0</v>
      </c>
      <c r="AA21" s="335">
        <f ca="1">VLOOKUP(E21,'1.1a-Jaarprijzen'!$B$51:$Q$88,16,FALSE)*K21</f>
        <v>0</v>
      </c>
      <c r="AC21" s="542">
        <f t="shared" si="11"/>
        <v>938.4</v>
      </c>
      <c r="AD21" s="542" t="str">
        <f t="shared" si="12"/>
        <v>1255-255</v>
      </c>
    </row>
    <row r="22" spans="2:30" s="542" customFormat="1" ht="17.100000000000001" customHeight="1">
      <c r="B22" s="361"/>
      <c r="C22" s="362"/>
      <c r="D22" s="326">
        <f ca="1">VLOOKUP(E22,'1.1a-Jaarprijzen'!B:G,6,FALSE)</f>
        <v>1</v>
      </c>
      <c r="E22" s="325" t="s">
        <v>40</v>
      </c>
      <c r="F22" s="326">
        <v>3</v>
      </c>
      <c r="G22" s="327" t="s">
        <v>221</v>
      </c>
      <c r="H22" s="325" t="s">
        <v>213</v>
      </c>
      <c r="I22" s="328" t="str">
        <f t="shared" si="0"/>
        <v>administratieve - en vergaderruimte</v>
      </c>
      <c r="J22" s="326" t="s">
        <v>209</v>
      </c>
      <c r="K22" s="329">
        <v>17.68</v>
      </c>
      <c r="L22" s="329"/>
      <c r="M22" s="330">
        <v>1255</v>
      </c>
      <c r="N22" s="330"/>
      <c r="O22" s="331">
        <f t="shared" si="1"/>
        <v>255</v>
      </c>
      <c r="P22" s="528">
        <v>1</v>
      </c>
      <c r="Q22" s="528">
        <v>1</v>
      </c>
      <c r="R22" s="323">
        <f t="shared" si="2"/>
        <v>0</v>
      </c>
      <c r="S22" s="323">
        <f t="shared" si="3"/>
        <v>0</v>
      </c>
      <c r="T22" s="323">
        <f t="shared" si="10"/>
        <v>0</v>
      </c>
      <c r="U22" s="323">
        <f t="shared" si="4"/>
        <v>0</v>
      </c>
      <c r="V22" s="323">
        <f t="shared" si="5"/>
        <v>0</v>
      </c>
      <c r="W22" s="323">
        <f t="shared" si="6"/>
        <v>0</v>
      </c>
      <c r="X22" s="333" t="str">
        <f t="shared" si="7"/>
        <v>B</v>
      </c>
      <c r="Y22" s="334"/>
      <c r="Z22" s="335">
        <f>(R22+S22+T22)*'1.0-Contractblad'!$L$41</f>
        <v>0</v>
      </c>
      <c r="AA22" s="335">
        <f ca="1">VLOOKUP(E22,'1.1a-Jaarprijzen'!$B$51:$Q$88,16,FALSE)*K22</f>
        <v>0</v>
      </c>
      <c r="AC22" s="542">
        <f t="shared" si="11"/>
        <v>4508.3999999999996</v>
      </c>
      <c r="AD22" s="542" t="str">
        <f t="shared" si="12"/>
        <v>1255-255</v>
      </c>
    </row>
    <row r="23" spans="2:30" s="542" customFormat="1" ht="17.100000000000001" customHeight="1">
      <c r="B23" s="361"/>
      <c r="C23" s="362"/>
      <c r="D23" s="326">
        <f ca="1">VLOOKUP(E23,'1.1a-Jaarprijzen'!B:G,6,FALSE)</f>
        <v>1</v>
      </c>
      <c r="E23" s="325" t="s">
        <v>40</v>
      </c>
      <c r="F23" s="326">
        <v>3</v>
      </c>
      <c r="G23" s="327" t="s">
        <v>222</v>
      </c>
      <c r="H23" s="325" t="s">
        <v>211</v>
      </c>
      <c r="I23" s="328" t="str">
        <f t="shared" si="0"/>
        <v>administratieve - en vergaderruimte</v>
      </c>
      <c r="J23" s="326" t="s">
        <v>209</v>
      </c>
      <c r="K23" s="329">
        <v>3.6799999999999997</v>
      </c>
      <c r="L23" s="329"/>
      <c r="M23" s="330">
        <v>1255</v>
      </c>
      <c r="N23" s="330"/>
      <c r="O23" s="331">
        <f t="shared" si="1"/>
        <v>255</v>
      </c>
      <c r="P23" s="528">
        <v>1</v>
      </c>
      <c r="Q23" s="528">
        <v>1</v>
      </c>
      <c r="R23" s="323">
        <f t="shared" si="2"/>
        <v>0</v>
      </c>
      <c r="S23" s="323">
        <f t="shared" si="3"/>
        <v>0</v>
      </c>
      <c r="T23" s="323">
        <f t="shared" si="10"/>
        <v>0</v>
      </c>
      <c r="U23" s="323">
        <f t="shared" si="4"/>
        <v>0</v>
      </c>
      <c r="V23" s="323">
        <f t="shared" si="5"/>
        <v>0</v>
      </c>
      <c r="W23" s="323">
        <f t="shared" si="6"/>
        <v>0</v>
      </c>
      <c r="X23" s="333" t="str">
        <f t="shared" si="7"/>
        <v>B</v>
      </c>
      <c r="Y23" s="334"/>
      <c r="Z23" s="335">
        <f>(R23+S23+T23)*'1.0-Contractblad'!$L$41</f>
        <v>0</v>
      </c>
      <c r="AA23" s="335">
        <f ca="1">VLOOKUP(E23,'1.1a-Jaarprijzen'!$B$51:$Q$88,16,FALSE)*K23</f>
        <v>0</v>
      </c>
      <c r="AC23" s="542">
        <f t="shared" si="11"/>
        <v>938.4</v>
      </c>
      <c r="AD23" s="542" t="str">
        <f t="shared" si="12"/>
        <v>1255-255</v>
      </c>
    </row>
    <row r="24" spans="2:30" s="542" customFormat="1" ht="17.100000000000001" customHeight="1">
      <c r="B24" s="361" t="s">
        <v>223</v>
      </c>
      <c r="C24" s="362"/>
      <c r="D24" s="326">
        <f ca="1">VLOOKUP(E24,'1.1a-Jaarprijzen'!B:G,6,FALSE)</f>
        <v>1</v>
      </c>
      <c r="E24" s="325" t="s">
        <v>40</v>
      </c>
      <c r="F24" s="326">
        <v>3</v>
      </c>
      <c r="G24" s="327" t="s">
        <v>224</v>
      </c>
      <c r="H24" s="325" t="s">
        <v>225</v>
      </c>
      <c r="I24" s="328" t="str">
        <f t="shared" si="0"/>
        <v>administratieve - en vergaderruimte</v>
      </c>
      <c r="J24" s="326" t="s">
        <v>209</v>
      </c>
      <c r="K24" s="329">
        <v>290.69</v>
      </c>
      <c r="L24" s="329"/>
      <c r="M24" s="330">
        <v>1255</v>
      </c>
      <c r="N24" s="330"/>
      <c r="O24" s="331">
        <f t="shared" si="1"/>
        <v>255</v>
      </c>
      <c r="P24" s="528">
        <v>1</v>
      </c>
      <c r="Q24" s="528">
        <v>1</v>
      </c>
      <c r="R24" s="323">
        <f t="shared" si="2"/>
        <v>0</v>
      </c>
      <c r="S24" s="323">
        <f t="shared" si="3"/>
        <v>0</v>
      </c>
      <c r="T24" s="323">
        <f t="shared" si="10"/>
        <v>0</v>
      </c>
      <c r="U24" s="323">
        <f t="shared" si="4"/>
        <v>0</v>
      </c>
      <c r="V24" s="323">
        <f t="shared" si="5"/>
        <v>0</v>
      </c>
      <c r="W24" s="323">
        <f t="shared" si="6"/>
        <v>0</v>
      </c>
      <c r="X24" s="333" t="str">
        <f t="shared" si="7"/>
        <v>B</v>
      </c>
      <c r="Y24" s="334"/>
      <c r="Z24" s="335">
        <f>(R24+S24+T24)*'1.0-Contractblad'!$L$41</f>
        <v>0</v>
      </c>
      <c r="AA24" s="335">
        <f ca="1">VLOOKUP(E24,'1.1a-Jaarprijzen'!$B$51:$Q$88,16,FALSE)*K24</f>
        <v>0</v>
      </c>
      <c r="AC24" s="542">
        <f t="shared" si="11"/>
        <v>74125.95</v>
      </c>
      <c r="AD24" s="542" t="str">
        <f t="shared" si="12"/>
        <v>1255-255</v>
      </c>
    </row>
    <row r="25" spans="2:30" s="542" customFormat="1" ht="17.100000000000001" customHeight="1">
      <c r="B25" s="361"/>
      <c r="C25" s="362"/>
      <c r="D25" s="326">
        <f ca="1">VLOOKUP(E25,'1.1a-Jaarprijzen'!B:G,6,FALSE)</f>
        <v>1</v>
      </c>
      <c r="E25" s="325" t="s">
        <v>40</v>
      </c>
      <c r="F25" s="326">
        <v>3</v>
      </c>
      <c r="G25" s="327" t="s">
        <v>226</v>
      </c>
      <c r="H25" s="325" t="s">
        <v>227</v>
      </c>
      <c r="I25" s="328" t="str">
        <f t="shared" si="0"/>
        <v>administratieve - en vergaderruimte</v>
      </c>
      <c r="J25" s="326" t="s">
        <v>209</v>
      </c>
      <c r="K25" s="329">
        <v>12.25</v>
      </c>
      <c r="L25" s="329"/>
      <c r="M25" s="330">
        <v>1255</v>
      </c>
      <c r="N25" s="330"/>
      <c r="O25" s="331">
        <f t="shared" si="1"/>
        <v>255</v>
      </c>
      <c r="P25" s="528">
        <v>1</v>
      </c>
      <c r="Q25" s="528">
        <v>1</v>
      </c>
      <c r="R25" s="323">
        <f t="shared" si="2"/>
        <v>0</v>
      </c>
      <c r="S25" s="323">
        <f t="shared" si="3"/>
        <v>0</v>
      </c>
      <c r="T25" s="323">
        <f t="shared" si="10"/>
        <v>0</v>
      </c>
      <c r="U25" s="323">
        <f t="shared" si="4"/>
        <v>0</v>
      </c>
      <c r="V25" s="323">
        <f t="shared" si="5"/>
        <v>0</v>
      </c>
      <c r="W25" s="323">
        <f t="shared" si="6"/>
        <v>0</v>
      </c>
      <c r="X25" s="333" t="str">
        <f t="shared" si="7"/>
        <v>B</v>
      </c>
      <c r="Y25" s="334"/>
      <c r="Z25" s="335">
        <f>(R25+S25+T25)*'1.0-Contractblad'!$L$41</f>
        <v>0</v>
      </c>
      <c r="AA25" s="335">
        <f ca="1">VLOOKUP(E25,'1.1a-Jaarprijzen'!$B$51:$Q$88,16,FALSE)*K25</f>
        <v>0</v>
      </c>
      <c r="AC25" s="542">
        <f t="shared" si="11"/>
        <v>3123.75</v>
      </c>
      <c r="AD25" s="542" t="str">
        <f t="shared" si="12"/>
        <v>1255-255</v>
      </c>
    </row>
    <row r="26" spans="2:30" s="542" customFormat="1" ht="17.100000000000001" customHeight="1">
      <c r="B26" s="361"/>
      <c r="C26" s="362"/>
      <c r="D26" s="326">
        <f ca="1">VLOOKUP(E26,'1.1a-Jaarprijzen'!B:G,6,FALSE)</f>
        <v>1</v>
      </c>
      <c r="E26" s="325" t="s">
        <v>40</v>
      </c>
      <c r="F26" s="326">
        <v>3</v>
      </c>
      <c r="G26" s="327" t="s">
        <v>228</v>
      </c>
      <c r="H26" s="325" t="s">
        <v>227</v>
      </c>
      <c r="I26" s="328" t="str">
        <f t="shared" si="0"/>
        <v>administratieve - en vergaderruimte</v>
      </c>
      <c r="J26" s="326" t="s">
        <v>209</v>
      </c>
      <c r="K26" s="329">
        <v>12.25</v>
      </c>
      <c r="L26" s="329"/>
      <c r="M26" s="330">
        <v>1255</v>
      </c>
      <c r="N26" s="330"/>
      <c r="O26" s="331">
        <f t="shared" si="1"/>
        <v>255</v>
      </c>
      <c r="P26" s="528">
        <v>1</v>
      </c>
      <c r="Q26" s="528">
        <v>1</v>
      </c>
      <c r="R26" s="323">
        <f t="shared" si="2"/>
        <v>0</v>
      </c>
      <c r="S26" s="323">
        <f t="shared" si="3"/>
        <v>0</v>
      </c>
      <c r="T26" s="323">
        <f t="shared" si="10"/>
        <v>0</v>
      </c>
      <c r="U26" s="323">
        <f t="shared" si="4"/>
        <v>0</v>
      </c>
      <c r="V26" s="323">
        <f t="shared" si="5"/>
        <v>0</v>
      </c>
      <c r="W26" s="323">
        <f t="shared" si="6"/>
        <v>0</v>
      </c>
      <c r="X26" s="333" t="str">
        <f t="shared" si="7"/>
        <v>B</v>
      </c>
      <c r="Y26" s="334"/>
      <c r="Z26" s="335">
        <f>(R26+S26+T26)*'1.0-Contractblad'!$L$41</f>
        <v>0</v>
      </c>
      <c r="AA26" s="335">
        <f ca="1">VLOOKUP(E26,'1.1a-Jaarprijzen'!$B$51:$Q$88,16,FALSE)*K26</f>
        <v>0</v>
      </c>
      <c r="AC26" s="542">
        <f t="shared" si="11"/>
        <v>3123.75</v>
      </c>
      <c r="AD26" s="542" t="str">
        <f t="shared" si="12"/>
        <v>1255-255</v>
      </c>
    </row>
    <row r="27" spans="2:30" s="542" customFormat="1" ht="17.100000000000001" customHeight="1">
      <c r="B27" s="361"/>
      <c r="C27" s="362"/>
      <c r="D27" s="326">
        <f ca="1">VLOOKUP(E27,'1.1a-Jaarprijzen'!B:G,6,FALSE)</f>
        <v>1</v>
      </c>
      <c r="E27" s="325" t="s">
        <v>40</v>
      </c>
      <c r="F27" s="326">
        <v>3</v>
      </c>
      <c r="G27" s="327" t="s">
        <v>229</v>
      </c>
      <c r="H27" s="325" t="s">
        <v>213</v>
      </c>
      <c r="I27" s="328" t="str">
        <f t="shared" si="0"/>
        <v>administratieve - en vergaderruimte</v>
      </c>
      <c r="J27" s="326" t="s">
        <v>209</v>
      </c>
      <c r="K27" s="329">
        <v>17.68</v>
      </c>
      <c r="L27" s="329"/>
      <c r="M27" s="330">
        <v>1255</v>
      </c>
      <c r="N27" s="330"/>
      <c r="O27" s="331">
        <f t="shared" si="1"/>
        <v>255</v>
      </c>
      <c r="P27" s="528">
        <v>1</v>
      </c>
      <c r="Q27" s="528">
        <v>1</v>
      </c>
      <c r="R27" s="323">
        <f t="shared" si="2"/>
        <v>0</v>
      </c>
      <c r="S27" s="323">
        <f t="shared" si="3"/>
        <v>0</v>
      </c>
      <c r="T27" s="323">
        <f t="shared" si="10"/>
        <v>0</v>
      </c>
      <c r="U27" s="323">
        <f t="shared" si="4"/>
        <v>0</v>
      </c>
      <c r="V27" s="323">
        <f t="shared" si="5"/>
        <v>0</v>
      </c>
      <c r="W27" s="323">
        <f t="shared" si="6"/>
        <v>0</v>
      </c>
      <c r="X27" s="333" t="str">
        <f t="shared" si="7"/>
        <v>B</v>
      </c>
      <c r="Y27" s="334"/>
      <c r="Z27" s="335">
        <f>(R27+S27+T27)*'1.0-Contractblad'!$L$41</f>
        <v>0</v>
      </c>
      <c r="AA27" s="335">
        <f ca="1">VLOOKUP(E27,'1.1a-Jaarprijzen'!$B$51:$Q$88,16,FALSE)*K27</f>
        <v>0</v>
      </c>
      <c r="AC27" s="542">
        <f t="shared" si="11"/>
        <v>4508.3999999999996</v>
      </c>
      <c r="AD27" s="542" t="str">
        <f t="shared" si="12"/>
        <v>1255-255</v>
      </c>
    </row>
    <row r="28" spans="2:30" s="542" customFormat="1" ht="17.100000000000001" customHeight="1">
      <c r="B28" s="361"/>
      <c r="C28" s="362"/>
      <c r="D28" s="326">
        <f ca="1">VLOOKUP(E28,'1.1a-Jaarprijzen'!B:G,6,FALSE)</f>
        <v>1</v>
      </c>
      <c r="E28" s="325" t="s">
        <v>40</v>
      </c>
      <c r="F28" s="326">
        <v>3</v>
      </c>
      <c r="G28" s="327" t="s">
        <v>230</v>
      </c>
      <c r="H28" s="325" t="s">
        <v>211</v>
      </c>
      <c r="I28" s="328" t="str">
        <f t="shared" si="0"/>
        <v>administratieve - en vergaderruimte</v>
      </c>
      <c r="J28" s="326" t="s">
        <v>209</v>
      </c>
      <c r="K28" s="329">
        <v>3.6799999999999997</v>
      </c>
      <c r="L28" s="329"/>
      <c r="M28" s="330">
        <v>1255</v>
      </c>
      <c r="N28" s="330"/>
      <c r="O28" s="331">
        <f t="shared" si="1"/>
        <v>255</v>
      </c>
      <c r="P28" s="528">
        <v>1</v>
      </c>
      <c r="Q28" s="528">
        <v>1</v>
      </c>
      <c r="R28" s="323">
        <f t="shared" si="2"/>
        <v>0</v>
      </c>
      <c r="S28" s="323">
        <f t="shared" si="3"/>
        <v>0</v>
      </c>
      <c r="T28" s="323">
        <f t="shared" si="10"/>
        <v>0</v>
      </c>
      <c r="U28" s="323">
        <f t="shared" si="4"/>
        <v>0</v>
      </c>
      <c r="V28" s="323">
        <f t="shared" si="5"/>
        <v>0</v>
      </c>
      <c r="W28" s="323">
        <f t="shared" si="6"/>
        <v>0</v>
      </c>
      <c r="X28" s="333" t="str">
        <f t="shared" si="7"/>
        <v>B</v>
      </c>
      <c r="Y28" s="334"/>
      <c r="Z28" s="335">
        <f>(R28+S28+T28)*'1.0-Contractblad'!$L$41</f>
        <v>0</v>
      </c>
      <c r="AA28" s="335">
        <f ca="1">VLOOKUP(E28,'1.1a-Jaarprijzen'!$B$51:$Q$88,16,FALSE)*K28</f>
        <v>0</v>
      </c>
      <c r="AC28" s="542">
        <f t="shared" si="11"/>
        <v>938.4</v>
      </c>
      <c r="AD28" s="542" t="str">
        <f t="shared" si="12"/>
        <v>1255-255</v>
      </c>
    </row>
    <row r="29" spans="2:30" s="542" customFormat="1" ht="17.100000000000001" customHeight="1">
      <c r="B29" s="361"/>
      <c r="C29" s="362"/>
      <c r="D29" s="326">
        <f ca="1">VLOOKUP(E29,'1.1a-Jaarprijzen'!B:G,6,FALSE)</f>
        <v>1</v>
      </c>
      <c r="E29" s="325" t="s">
        <v>40</v>
      </c>
      <c r="F29" s="326">
        <v>3</v>
      </c>
      <c r="G29" s="327" t="s">
        <v>231</v>
      </c>
      <c r="H29" s="325" t="s">
        <v>211</v>
      </c>
      <c r="I29" s="328" t="str">
        <f t="shared" si="0"/>
        <v>administratieve - en vergaderruimte</v>
      </c>
      <c r="J29" s="326" t="s">
        <v>209</v>
      </c>
      <c r="K29" s="329">
        <v>3.6799999999999997</v>
      </c>
      <c r="L29" s="329"/>
      <c r="M29" s="330">
        <v>1255</v>
      </c>
      <c r="N29" s="330"/>
      <c r="O29" s="331">
        <f t="shared" si="1"/>
        <v>255</v>
      </c>
      <c r="P29" s="528">
        <v>1</v>
      </c>
      <c r="Q29" s="528">
        <v>1</v>
      </c>
      <c r="R29" s="323">
        <f t="shared" si="2"/>
        <v>0</v>
      </c>
      <c r="S29" s="323">
        <f t="shared" si="3"/>
        <v>0</v>
      </c>
      <c r="T29" s="323">
        <f t="shared" si="10"/>
        <v>0</v>
      </c>
      <c r="U29" s="323">
        <f t="shared" si="4"/>
        <v>0</v>
      </c>
      <c r="V29" s="323">
        <f t="shared" ref="V29" si="13">Y29*N29*T29</f>
        <v>0</v>
      </c>
      <c r="W29" s="323">
        <f t="shared" si="6"/>
        <v>0</v>
      </c>
      <c r="X29" s="333" t="str">
        <f t="shared" si="7"/>
        <v>B</v>
      </c>
      <c r="Y29" s="334"/>
      <c r="Z29" s="335">
        <f>(R29+S29+T29)*'1.0-Contractblad'!$L$41</f>
        <v>0</v>
      </c>
      <c r="AA29" s="335">
        <f ca="1">VLOOKUP(E29,'1.1a-Jaarprijzen'!$B$51:$Q$88,16,FALSE)*K29</f>
        <v>0</v>
      </c>
      <c r="AC29" s="542">
        <f t="shared" si="11"/>
        <v>938.4</v>
      </c>
      <c r="AD29" s="542" t="str">
        <f t="shared" si="12"/>
        <v>1255-255</v>
      </c>
    </row>
    <row r="30" spans="2:30" s="542" customFormat="1" ht="17.100000000000001" customHeight="1">
      <c r="B30" s="361"/>
      <c r="C30" s="362"/>
      <c r="D30" s="326">
        <f ca="1">VLOOKUP(E30,'1.1a-Jaarprijzen'!B:G,6,FALSE)</f>
        <v>1</v>
      </c>
      <c r="E30" s="325" t="s">
        <v>40</v>
      </c>
      <c r="F30" s="326">
        <v>3</v>
      </c>
      <c r="G30" s="327" t="s">
        <v>232</v>
      </c>
      <c r="H30" s="325" t="s">
        <v>219</v>
      </c>
      <c r="I30" s="328" t="str">
        <f t="shared" si="0"/>
        <v>administratieve - en vergaderruimte</v>
      </c>
      <c r="J30" s="326" t="s">
        <v>209</v>
      </c>
      <c r="K30" s="329">
        <v>12.25</v>
      </c>
      <c r="L30" s="329"/>
      <c r="M30" s="330">
        <v>1255</v>
      </c>
      <c r="N30" s="330"/>
      <c r="O30" s="331">
        <f t="shared" si="1"/>
        <v>255</v>
      </c>
      <c r="P30" s="528">
        <v>1</v>
      </c>
      <c r="Q30" s="528">
        <v>1</v>
      </c>
      <c r="R30" s="323">
        <f t="shared" si="2"/>
        <v>0</v>
      </c>
      <c r="S30" s="323">
        <f t="shared" si="3"/>
        <v>0</v>
      </c>
      <c r="T30" s="323">
        <f t="shared" si="10"/>
        <v>0</v>
      </c>
      <c r="U30" s="323">
        <f t="shared" si="4"/>
        <v>0</v>
      </c>
      <c r="V30" s="323">
        <f t="shared" ref="V30:V81" si="14">Y30*N30*T30</f>
        <v>0</v>
      </c>
      <c r="W30" s="323">
        <f t="shared" si="6"/>
        <v>0</v>
      </c>
      <c r="X30" s="333" t="str">
        <f t="shared" si="7"/>
        <v>B</v>
      </c>
      <c r="Y30" s="334"/>
      <c r="Z30" s="335">
        <f>(R30+S30+T30)*'1.0-Contractblad'!$L$41</f>
        <v>0</v>
      </c>
      <c r="AA30" s="335">
        <f ca="1">VLOOKUP(E30,'1.1a-Jaarprijzen'!$B$51:$Q$88,16,FALSE)*K30</f>
        <v>0</v>
      </c>
      <c r="AC30" s="542">
        <f t="shared" si="11"/>
        <v>3123.75</v>
      </c>
      <c r="AD30" s="542" t="str">
        <f t="shared" si="12"/>
        <v>1255-255</v>
      </c>
    </row>
    <row r="31" spans="2:30" s="542" customFormat="1" ht="17.100000000000001" customHeight="1">
      <c r="B31" s="361"/>
      <c r="C31" s="362"/>
      <c r="D31" s="326">
        <f ca="1">VLOOKUP(E31,'1.1a-Jaarprijzen'!B:G,6,FALSE)</f>
        <v>1</v>
      </c>
      <c r="E31" s="325" t="s">
        <v>40</v>
      </c>
      <c r="F31" s="326">
        <v>3</v>
      </c>
      <c r="G31" s="327" t="s">
        <v>233</v>
      </c>
      <c r="H31" s="325" t="s">
        <v>234</v>
      </c>
      <c r="I31" s="328" t="str">
        <f t="shared" si="0"/>
        <v>niet van toepassing</v>
      </c>
      <c r="J31" s="326" t="s">
        <v>235</v>
      </c>
      <c r="K31" s="329"/>
      <c r="L31" s="329">
        <v>12.600000000000001</v>
      </c>
      <c r="M31" s="330" t="s">
        <v>154</v>
      </c>
      <c r="N31" s="330"/>
      <c r="O31" s="331">
        <f t="shared" si="1"/>
        <v>0</v>
      </c>
      <c r="P31" s="528">
        <v>1</v>
      </c>
      <c r="Q31" s="528">
        <v>1</v>
      </c>
      <c r="R31" s="323">
        <f t="shared" si="2"/>
        <v>0</v>
      </c>
      <c r="S31" s="323">
        <f t="shared" si="3"/>
        <v>0</v>
      </c>
      <c r="T31" s="323">
        <f t="shared" si="10"/>
        <v>0</v>
      </c>
      <c r="U31" s="323">
        <f t="shared" si="4"/>
        <v>0</v>
      </c>
      <c r="V31" s="323">
        <f t="shared" si="14"/>
        <v>0</v>
      </c>
      <c r="W31" s="323">
        <f t="shared" si="6"/>
        <v>0</v>
      </c>
      <c r="X31" s="333">
        <f t="shared" si="7"/>
        <v>0</v>
      </c>
      <c r="Y31" s="334"/>
      <c r="Z31" s="335">
        <f>(R31+S31+T31)*'1.0-Contractblad'!$L$41</f>
        <v>0</v>
      </c>
      <c r="AA31" s="335">
        <f ca="1">VLOOKUP(E31,'1.1a-Jaarprijzen'!$B$51:$Q$88,16,FALSE)*K31</f>
        <v>0</v>
      </c>
      <c r="AC31" s="542">
        <f t="shared" si="11"/>
        <v>0</v>
      </c>
      <c r="AD31" s="542" t="str">
        <f t="shared" si="12"/>
        <v>nvt-0</v>
      </c>
    </row>
    <row r="32" spans="2:30" s="542" customFormat="1" ht="17.100000000000001" customHeight="1">
      <c r="B32" s="361"/>
      <c r="C32" s="362"/>
      <c r="D32" s="326">
        <f ca="1">VLOOKUP(E32,'1.1a-Jaarprijzen'!B:G,6,FALSE)</f>
        <v>1</v>
      </c>
      <c r="E32" s="325" t="s">
        <v>40</v>
      </c>
      <c r="F32" s="326">
        <v>3</v>
      </c>
      <c r="G32" s="327" t="s">
        <v>236</v>
      </c>
      <c r="H32" s="325" t="s">
        <v>219</v>
      </c>
      <c r="I32" s="328" t="str">
        <f t="shared" si="0"/>
        <v>administratieve - en vergaderruimte</v>
      </c>
      <c r="J32" s="326" t="s">
        <v>209</v>
      </c>
      <c r="K32" s="329">
        <v>7.4</v>
      </c>
      <c r="L32" s="329"/>
      <c r="M32" s="330">
        <v>1255</v>
      </c>
      <c r="N32" s="330"/>
      <c r="O32" s="331">
        <f t="shared" si="1"/>
        <v>255</v>
      </c>
      <c r="P32" s="528">
        <v>1</v>
      </c>
      <c r="Q32" s="528">
        <v>1</v>
      </c>
      <c r="R32" s="323">
        <f t="shared" si="2"/>
        <v>0</v>
      </c>
      <c r="S32" s="323">
        <f t="shared" si="3"/>
        <v>0</v>
      </c>
      <c r="T32" s="323">
        <f t="shared" si="10"/>
        <v>0</v>
      </c>
      <c r="U32" s="323">
        <f t="shared" si="4"/>
        <v>0</v>
      </c>
      <c r="V32" s="323">
        <f t="shared" si="14"/>
        <v>0</v>
      </c>
      <c r="W32" s="323">
        <f t="shared" si="6"/>
        <v>0</v>
      </c>
      <c r="X32" s="333" t="str">
        <f t="shared" si="7"/>
        <v>B</v>
      </c>
      <c r="Y32" s="334"/>
      <c r="Z32" s="335">
        <f>(R32+S32+T32)*'1.0-Contractblad'!$L$41</f>
        <v>0</v>
      </c>
      <c r="AA32" s="335">
        <f ca="1">VLOOKUP(E32,'1.1a-Jaarprijzen'!$B$51:$Q$88,16,FALSE)*K32</f>
        <v>0</v>
      </c>
      <c r="AC32" s="542">
        <f t="shared" si="11"/>
        <v>1887</v>
      </c>
      <c r="AD32" s="542" t="str">
        <f t="shared" si="12"/>
        <v>1255-255</v>
      </c>
    </row>
    <row r="33" spans="2:30" s="542" customFormat="1" ht="17.100000000000001" customHeight="1">
      <c r="B33" s="361"/>
      <c r="C33" s="362"/>
      <c r="D33" s="326">
        <f ca="1">VLOOKUP(E33,'1.1a-Jaarprijzen'!B:G,6,FALSE)</f>
        <v>1</v>
      </c>
      <c r="E33" s="325" t="s">
        <v>40</v>
      </c>
      <c r="F33" s="326">
        <v>3</v>
      </c>
      <c r="G33" s="327" t="s">
        <v>237</v>
      </c>
      <c r="H33" s="325" t="s">
        <v>238</v>
      </c>
      <c r="I33" s="328" t="str">
        <f t="shared" si="0"/>
        <v>administratieve - en vergaderruimte</v>
      </c>
      <c r="J33" s="326" t="s">
        <v>209</v>
      </c>
      <c r="K33" s="329">
        <v>8.3000000000000007</v>
      </c>
      <c r="L33" s="329"/>
      <c r="M33" s="330">
        <v>1255</v>
      </c>
      <c r="N33" s="330"/>
      <c r="O33" s="331">
        <f t="shared" si="1"/>
        <v>255</v>
      </c>
      <c r="P33" s="528">
        <v>1</v>
      </c>
      <c r="Q33" s="528">
        <v>1</v>
      </c>
      <c r="R33" s="323">
        <f t="shared" si="2"/>
        <v>0</v>
      </c>
      <c r="S33" s="323">
        <f t="shared" si="3"/>
        <v>0</v>
      </c>
      <c r="T33" s="323">
        <f t="shared" si="10"/>
        <v>0</v>
      </c>
      <c r="U33" s="323">
        <f t="shared" si="4"/>
        <v>0</v>
      </c>
      <c r="V33" s="323">
        <f t="shared" si="14"/>
        <v>0</v>
      </c>
      <c r="W33" s="323">
        <f t="shared" si="6"/>
        <v>0</v>
      </c>
      <c r="X33" s="333" t="str">
        <f t="shared" si="7"/>
        <v>B</v>
      </c>
      <c r="Y33" s="334"/>
      <c r="Z33" s="335">
        <f>(R33+S33+T33)*'1.0-Contractblad'!$L$41</f>
        <v>0</v>
      </c>
      <c r="AA33" s="335">
        <f ca="1">VLOOKUP(E33,'1.1a-Jaarprijzen'!$B$51:$Q$88,16,FALSE)*K33</f>
        <v>0</v>
      </c>
      <c r="AC33" s="542">
        <f t="shared" si="11"/>
        <v>2116.5</v>
      </c>
      <c r="AD33" s="542" t="str">
        <f t="shared" si="12"/>
        <v>1255-255</v>
      </c>
    </row>
    <row r="34" spans="2:30" s="542" customFormat="1" ht="17.100000000000001" customHeight="1">
      <c r="B34" s="361"/>
      <c r="C34" s="362"/>
      <c r="D34" s="326">
        <f ca="1">VLOOKUP(E34,'1.1a-Jaarprijzen'!B:G,6,FALSE)</f>
        <v>1</v>
      </c>
      <c r="E34" s="325" t="s">
        <v>40</v>
      </c>
      <c r="F34" s="326">
        <v>3</v>
      </c>
      <c r="G34" s="327" t="s">
        <v>239</v>
      </c>
      <c r="H34" s="325" t="s">
        <v>219</v>
      </c>
      <c r="I34" s="328" t="str">
        <f t="shared" si="0"/>
        <v>administratieve - en vergaderruimte</v>
      </c>
      <c r="J34" s="326" t="s">
        <v>209</v>
      </c>
      <c r="K34" s="329">
        <v>12.25</v>
      </c>
      <c r="L34" s="329"/>
      <c r="M34" s="330">
        <v>1255</v>
      </c>
      <c r="N34" s="330"/>
      <c r="O34" s="331">
        <f t="shared" si="1"/>
        <v>255</v>
      </c>
      <c r="P34" s="528">
        <v>1</v>
      </c>
      <c r="Q34" s="528">
        <v>1</v>
      </c>
      <c r="R34" s="323">
        <f t="shared" si="2"/>
        <v>0</v>
      </c>
      <c r="S34" s="323">
        <f t="shared" si="3"/>
        <v>0</v>
      </c>
      <c r="T34" s="323">
        <f t="shared" si="10"/>
        <v>0</v>
      </c>
      <c r="U34" s="323">
        <f t="shared" si="4"/>
        <v>0</v>
      </c>
      <c r="V34" s="323">
        <f t="shared" si="14"/>
        <v>0</v>
      </c>
      <c r="W34" s="323">
        <f t="shared" si="6"/>
        <v>0</v>
      </c>
      <c r="X34" s="333" t="str">
        <f t="shared" si="7"/>
        <v>B</v>
      </c>
      <c r="Y34" s="334"/>
      <c r="Z34" s="335">
        <f>(R34+S34+T34)*'1.0-Contractblad'!$L$41</f>
        <v>0</v>
      </c>
      <c r="AA34" s="335">
        <f ca="1">VLOOKUP(E34,'1.1a-Jaarprijzen'!$B$51:$Q$88,16,FALSE)*K34</f>
        <v>0</v>
      </c>
      <c r="AC34" s="542">
        <f t="shared" si="11"/>
        <v>3123.75</v>
      </c>
      <c r="AD34" s="542" t="str">
        <f t="shared" si="12"/>
        <v>1255-255</v>
      </c>
    </row>
    <row r="35" spans="2:30" s="542" customFormat="1" ht="17.100000000000001" customHeight="1">
      <c r="B35" s="361"/>
      <c r="C35" s="362"/>
      <c r="D35" s="326">
        <f ca="1">VLOOKUP(E35,'1.1a-Jaarprijzen'!B:G,6,FALSE)</f>
        <v>1</v>
      </c>
      <c r="E35" s="325" t="s">
        <v>40</v>
      </c>
      <c r="F35" s="326">
        <v>3</v>
      </c>
      <c r="G35" s="327" t="s">
        <v>240</v>
      </c>
      <c r="H35" s="325" t="s">
        <v>213</v>
      </c>
      <c r="I35" s="328" t="str">
        <f t="shared" si="0"/>
        <v>administratieve - en vergaderruimte</v>
      </c>
      <c r="J35" s="326" t="s">
        <v>209</v>
      </c>
      <c r="K35" s="329">
        <v>17.68</v>
      </c>
      <c r="L35" s="329"/>
      <c r="M35" s="330">
        <v>1255</v>
      </c>
      <c r="N35" s="330"/>
      <c r="O35" s="331">
        <f t="shared" si="1"/>
        <v>255</v>
      </c>
      <c r="P35" s="528">
        <v>1</v>
      </c>
      <c r="Q35" s="528">
        <v>1</v>
      </c>
      <c r="R35" s="323">
        <f t="shared" si="2"/>
        <v>0</v>
      </c>
      <c r="S35" s="323">
        <f t="shared" si="3"/>
        <v>0</v>
      </c>
      <c r="T35" s="323">
        <f t="shared" si="10"/>
        <v>0</v>
      </c>
      <c r="U35" s="323">
        <f t="shared" si="4"/>
        <v>0</v>
      </c>
      <c r="V35" s="323">
        <f t="shared" si="14"/>
        <v>0</v>
      </c>
      <c r="W35" s="323">
        <f t="shared" si="6"/>
        <v>0</v>
      </c>
      <c r="X35" s="333" t="str">
        <f t="shared" si="7"/>
        <v>B</v>
      </c>
      <c r="Y35" s="334"/>
      <c r="Z35" s="335">
        <f>(R35+S35+T35)*'1.0-Contractblad'!$L$41</f>
        <v>0</v>
      </c>
      <c r="AA35" s="335">
        <f ca="1">VLOOKUP(E35,'1.1a-Jaarprijzen'!$B$51:$Q$88,16,FALSE)*K35</f>
        <v>0</v>
      </c>
      <c r="AC35" s="542">
        <f t="shared" si="11"/>
        <v>4508.3999999999996</v>
      </c>
      <c r="AD35" s="542" t="str">
        <f t="shared" si="12"/>
        <v>1255-255</v>
      </c>
    </row>
    <row r="36" spans="2:30" s="542" customFormat="1" ht="17.100000000000001" customHeight="1">
      <c r="B36" s="361"/>
      <c r="C36" s="362"/>
      <c r="D36" s="326">
        <f ca="1">VLOOKUP(E36,'1.1a-Jaarprijzen'!B:G,6,FALSE)</f>
        <v>1</v>
      </c>
      <c r="E36" s="325" t="s">
        <v>40</v>
      </c>
      <c r="F36" s="326">
        <v>3</v>
      </c>
      <c r="G36" s="327" t="s">
        <v>241</v>
      </c>
      <c r="H36" s="325" t="s">
        <v>227</v>
      </c>
      <c r="I36" s="328" t="str">
        <f t="shared" si="0"/>
        <v>administratieve - en vergaderruimte</v>
      </c>
      <c r="J36" s="326" t="s">
        <v>209</v>
      </c>
      <c r="K36" s="329">
        <v>12.25</v>
      </c>
      <c r="L36" s="329"/>
      <c r="M36" s="330">
        <v>1255</v>
      </c>
      <c r="N36" s="330"/>
      <c r="O36" s="331">
        <f t="shared" si="1"/>
        <v>255</v>
      </c>
      <c r="P36" s="528">
        <v>1</v>
      </c>
      <c r="Q36" s="528">
        <v>1</v>
      </c>
      <c r="R36" s="323">
        <f t="shared" si="2"/>
        <v>0</v>
      </c>
      <c r="S36" s="323">
        <f t="shared" si="3"/>
        <v>0</v>
      </c>
      <c r="T36" s="323">
        <f t="shared" si="10"/>
        <v>0</v>
      </c>
      <c r="U36" s="323">
        <f t="shared" si="4"/>
        <v>0</v>
      </c>
      <c r="V36" s="323">
        <f t="shared" si="14"/>
        <v>0</v>
      </c>
      <c r="W36" s="323">
        <f t="shared" si="6"/>
        <v>0</v>
      </c>
      <c r="X36" s="333" t="str">
        <f t="shared" si="7"/>
        <v>B</v>
      </c>
      <c r="Y36" s="334"/>
      <c r="Z36" s="335">
        <f>(R36+S36+T36)*'1.0-Contractblad'!$L$41</f>
        <v>0</v>
      </c>
      <c r="AA36" s="335">
        <f ca="1">VLOOKUP(E36,'1.1a-Jaarprijzen'!$B$51:$Q$88,16,FALSE)*K36</f>
        <v>0</v>
      </c>
      <c r="AC36" s="542">
        <f t="shared" si="11"/>
        <v>3123.75</v>
      </c>
      <c r="AD36" s="542" t="str">
        <f t="shared" si="12"/>
        <v>1255-255</v>
      </c>
    </row>
    <row r="37" spans="2:30" s="542" customFormat="1" ht="17.100000000000001" customHeight="1">
      <c r="B37" s="361"/>
      <c r="C37" s="362"/>
      <c r="D37" s="326">
        <f ca="1">VLOOKUP(E37,'1.1a-Jaarprijzen'!B:G,6,FALSE)</f>
        <v>1</v>
      </c>
      <c r="E37" s="325" t="s">
        <v>40</v>
      </c>
      <c r="F37" s="326">
        <v>3</v>
      </c>
      <c r="G37" s="327" t="s">
        <v>242</v>
      </c>
      <c r="H37" s="325" t="s">
        <v>238</v>
      </c>
      <c r="I37" s="328" t="str">
        <f t="shared" si="0"/>
        <v>administratieve - en vergaderruimte</v>
      </c>
      <c r="J37" s="326" t="s">
        <v>209</v>
      </c>
      <c r="K37" s="329">
        <v>5.6000000000000005</v>
      </c>
      <c r="L37" s="329"/>
      <c r="M37" s="330">
        <v>1255</v>
      </c>
      <c r="N37" s="330"/>
      <c r="O37" s="331">
        <f t="shared" si="1"/>
        <v>255</v>
      </c>
      <c r="P37" s="528">
        <v>1</v>
      </c>
      <c r="Q37" s="528">
        <v>1</v>
      </c>
      <c r="R37" s="323">
        <f t="shared" si="2"/>
        <v>0</v>
      </c>
      <c r="S37" s="323">
        <f t="shared" si="3"/>
        <v>0</v>
      </c>
      <c r="T37" s="323">
        <f t="shared" si="10"/>
        <v>0</v>
      </c>
      <c r="U37" s="323">
        <f t="shared" si="4"/>
        <v>0</v>
      </c>
      <c r="V37" s="323">
        <f t="shared" si="14"/>
        <v>0</v>
      </c>
      <c r="W37" s="323">
        <f t="shared" si="6"/>
        <v>0</v>
      </c>
      <c r="X37" s="333" t="str">
        <f t="shared" si="7"/>
        <v>B</v>
      </c>
      <c r="Y37" s="334"/>
      <c r="Z37" s="335">
        <f>(R37+S37+T37)*'1.0-Contractblad'!$L$41</f>
        <v>0</v>
      </c>
      <c r="AA37" s="335">
        <f ca="1">VLOOKUP(E37,'1.1a-Jaarprijzen'!$B$51:$Q$88,16,FALSE)*K37</f>
        <v>0</v>
      </c>
      <c r="AC37" s="542">
        <f t="shared" si="11"/>
        <v>1428.0000000000002</v>
      </c>
      <c r="AD37" s="542" t="str">
        <f t="shared" si="12"/>
        <v>1255-255</v>
      </c>
    </row>
    <row r="38" spans="2:30" s="542" customFormat="1" ht="17.100000000000001" customHeight="1">
      <c r="B38" s="361"/>
      <c r="C38" s="362"/>
      <c r="D38" s="326">
        <f ca="1">VLOOKUP(E38,'1.1a-Jaarprijzen'!B:G,6,FALSE)</f>
        <v>1</v>
      </c>
      <c r="E38" s="325" t="s">
        <v>40</v>
      </c>
      <c r="F38" s="326">
        <v>3</v>
      </c>
      <c r="G38" s="327" t="s">
        <v>243</v>
      </c>
      <c r="H38" s="325" t="s">
        <v>244</v>
      </c>
      <c r="I38" s="328" t="str">
        <f t="shared" si="0"/>
        <v>administratieve - en vergaderruimte</v>
      </c>
      <c r="J38" s="326" t="s">
        <v>209</v>
      </c>
      <c r="K38" s="329">
        <v>2.8899999999999997</v>
      </c>
      <c r="L38" s="329"/>
      <c r="M38" s="330">
        <v>1255</v>
      </c>
      <c r="N38" s="330"/>
      <c r="O38" s="331">
        <f t="shared" si="1"/>
        <v>255</v>
      </c>
      <c r="P38" s="528">
        <v>1</v>
      </c>
      <c r="Q38" s="528">
        <v>1</v>
      </c>
      <c r="R38" s="323">
        <f t="shared" si="2"/>
        <v>0</v>
      </c>
      <c r="S38" s="323">
        <f t="shared" si="3"/>
        <v>0</v>
      </c>
      <c r="T38" s="323">
        <f t="shared" si="10"/>
        <v>0</v>
      </c>
      <c r="U38" s="323">
        <f t="shared" si="4"/>
        <v>0</v>
      </c>
      <c r="V38" s="323">
        <f t="shared" si="14"/>
        <v>0</v>
      </c>
      <c r="W38" s="323">
        <f t="shared" si="6"/>
        <v>0</v>
      </c>
      <c r="X38" s="333" t="str">
        <f t="shared" si="7"/>
        <v>B</v>
      </c>
      <c r="Y38" s="334"/>
      <c r="Z38" s="335">
        <f>(R38+S38+T38)*'1.0-Contractblad'!$L$41</f>
        <v>0</v>
      </c>
      <c r="AA38" s="335">
        <f ca="1">VLOOKUP(E38,'1.1a-Jaarprijzen'!$B$51:$Q$88,16,FALSE)*K38</f>
        <v>0</v>
      </c>
      <c r="AC38" s="542">
        <f t="shared" si="11"/>
        <v>736.94999999999993</v>
      </c>
      <c r="AD38" s="542" t="str">
        <f t="shared" si="12"/>
        <v>1255-255</v>
      </c>
    </row>
    <row r="39" spans="2:30" s="542" customFormat="1" ht="17.100000000000001" customHeight="1">
      <c r="B39" s="361"/>
      <c r="C39" s="362"/>
      <c r="D39" s="326">
        <f ca="1">VLOOKUP(E39,'1.1a-Jaarprijzen'!B:G,6,FALSE)</f>
        <v>1</v>
      </c>
      <c r="E39" s="325" t="s">
        <v>40</v>
      </c>
      <c r="F39" s="326">
        <v>3</v>
      </c>
      <c r="G39" s="327" t="s">
        <v>245</v>
      </c>
      <c r="H39" s="325" t="s">
        <v>244</v>
      </c>
      <c r="I39" s="328" t="str">
        <f t="shared" si="0"/>
        <v>administratieve - en vergaderruimte</v>
      </c>
      <c r="J39" s="326" t="s">
        <v>209</v>
      </c>
      <c r="K39" s="329">
        <v>2.8899999999999997</v>
      </c>
      <c r="L39" s="329"/>
      <c r="M39" s="330">
        <v>1255</v>
      </c>
      <c r="N39" s="330"/>
      <c r="O39" s="331">
        <f t="shared" si="1"/>
        <v>255</v>
      </c>
      <c r="P39" s="528">
        <v>1</v>
      </c>
      <c r="Q39" s="528">
        <v>1</v>
      </c>
      <c r="R39" s="323">
        <f t="shared" si="2"/>
        <v>0</v>
      </c>
      <c r="S39" s="323">
        <f t="shared" si="3"/>
        <v>0</v>
      </c>
      <c r="T39" s="323">
        <f t="shared" si="10"/>
        <v>0</v>
      </c>
      <c r="U39" s="323">
        <f t="shared" si="4"/>
        <v>0</v>
      </c>
      <c r="V39" s="323">
        <f t="shared" si="14"/>
        <v>0</v>
      </c>
      <c r="W39" s="323">
        <f t="shared" si="6"/>
        <v>0</v>
      </c>
      <c r="X39" s="333" t="str">
        <f t="shared" si="7"/>
        <v>B</v>
      </c>
      <c r="Y39" s="334"/>
      <c r="Z39" s="335">
        <f>(R39+S39+T39)*'1.0-Contractblad'!$L$41</f>
        <v>0</v>
      </c>
      <c r="AA39" s="335">
        <f ca="1">VLOOKUP(E39,'1.1a-Jaarprijzen'!$B$51:$Q$88,16,FALSE)*K39</f>
        <v>0</v>
      </c>
      <c r="AC39" s="542">
        <f t="shared" si="11"/>
        <v>736.94999999999993</v>
      </c>
      <c r="AD39" s="542" t="str">
        <f t="shared" si="12"/>
        <v>1255-255</v>
      </c>
    </row>
    <row r="40" spans="2:30" s="542" customFormat="1" ht="17.100000000000001" customHeight="1">
      <c r="B40" s="361" t="s">
        <v>223</v>
      </c>
      <c r="C40" s="362" t="s">
        <v>246</v>
      </c>
      <c r="D40" s="326">
        <f ca="1">VLOOKUP(E40,'1.1a-Jaarprijzen'!B:G,6,FALSE)</f>
        <v>1</v>
      </c>
      <c r="E40" s="325" t="s">
        <v>40</v>
      </c>
      <c r="F40" s="326">
        <v>3</v>
      </c>
      <c r="G40" s="327" t="s">
        <v>247</v>
      </c>
      <c r="H40" s="325" t="s">
        <v>248</v>
      </c>
      <c r="I40" s="328" t="str">
        <f t="shared" si="0"/>
        <v>pantry, keuken</v>
      </c>
      <c r="J40" s="326" t="s">
        <v>209</v>
      </c>
      <c r="K40" s="329">
        <v>12.86</v>
      </c>
      <c r="L40" s="329"/>
      <c r="M40" s="330">
        <v>5255</v>
      </c>
      <c r="N40" s="330">
        <v>5510</v>
      </c>
      <c r="O40" s="331">
        <f t="shared" si="1"/>
        <v>510</v>
      </c>
      <c r="P40" s="528">
        <v>1</v>
      </c>
      <c r="Q40" s="528">
        <v>1</v>
      </c>
      <c r="R40" s="323">
        <f t="shared" si="2"/>
        <v>0</v>
      </c>
      <c r="S40" s="323">
        <f t="shared" si="3"/>
        <v>0</v>
      </c>
      <c r="T40" s="323">
        <f t="shared" si="10"/>
        <v>0</v>
      </c>
      <c r="U40" s="323">
        <f t="shared" si="4"/>
        <v>0</v>
      </c>
      <c r="V40" s="323">
        <f t="shared" si="14"/>
        <v>0</v>
      </c>
      <c r="W40" s="323">
        <f t="shared" si="6"/>
        <v>0</v>
      </c>
      <c r="X40" s="333" t="str">
        <f t="shared" si="7"/>
        <v>V</v>
      </c>
      <c r="Y40" s="334"/>
      <c r="Z40" s="335">
        <f>(R40+S40+T40)*'1.0-Contractblad'!$L$41</f>
        <v>0</v>
      </c>
      <c r="AA40" s="335">
        <f ca="1">VLOOKUP(E40,'1.1a-Jaarprijzen'!$B$51:$Q$88,16,FALSE)*K40</f>
        <v>0</v>
      </c>
      <c r="AC40" s="542">
        <f t="shared" si="11"/>
        <v>6558.5999999999995</v>
      </c>
      <c r="AD40" s="542" t="str">
        <f t="shared" si="12"/>
        <v>5255-510</v>
      </c>
    </row>
    <row r="41" spans="2:30" s="542" customFormat="1" ht="17.100000000000001" customHeight="1">
      <c r="B41" s="361" t="s">
        <v>223</v>
      </c>
      <c r="C41" s="362"/>
      <c r="D41" s="326">
        <f ca="1">VLOOKUP(E41,'1.1a-Jaarprijzen'!B:G,6,FALSE)</f>
        <v>1</v>
      </c>
      <c r="E41" s="325" t="s">
        <v>40</v>
      </c>
      <c r="F41" s="326">
        <v>3</v>
      </c>
      <c r="G41" s="327" t="s">
        <v>249</v>
      </c>
      <c r="H41" s="325" t="s">
        <v>225</v>
      </c>
      <c r="I41" s="328" t="str">
        <f t="shared" si="0"/>
        <v>administratieve - en vergaderruimte</v>
      </c>
      <c r="J41" s="326" t="s">
        <v>209</v>
      </c>
      <c r="K41" s="329">
        <v>196.84</v>
      </c>
      <c r="L41" s="329"/>
      <c r="M41" s="330">
        <v>1255</v>
      </c>
      <c r="N41" s="330"/>
      <c r="O41" s="331">
        <f t="shared" si="1"/>
        <v>255</v>
      </c>
      <c r="P41" s="528">
        <v>1</v>
      </c>
      <c r="Q41" s="528">
        <v>1</v>
      </c>
      <c r="R41" s="323">
        <f t="shared" si="2"/>
        <v>0</v>
      </c>
      <c r="S41" s="323">
        <f t="shared" si="3"/>
        <v>0</v>
      </c>
      <c r="T41" s="323">
        <f t="shared" si="10"/>
        <v>0</v>
      </c>
      <c r="U41" s="323">
        <f t="shared" si="4"/>
        <v>0</v>
      </c>
      <c r="V41" s="323">
        <f t="shared" si="14"/>
        <v>0</v>
      </c>
      <c r="W41" s="323">
        <f t="shared" si="6"/>
        <v>0</v>
      </c>
      <c r="X41" s="333" t="str">
        <f t="shared" si="7"/>
        <v>B</v>
      </c>
      <c r="Y41" s="334"/>
      <c r="Z41" s="335">
        <f>(R41+S41+T41)*'1.0-Contractblad'!$L$41</f>
        <v>0</v>
      </c>
      <c r="AA41" s="335">
        <f ca="1">VLOOKUP(E41,'1.1a-Jaarprijzen'!$B$51:$Q$88,16,FALSE)*K41</f>
        <v>0</v>
      </c>
      <c r="AC41" s="542">
        <f t="shared" si="11"/>
        <v>50194.200000000004</v>
      </c>
      <c r="AD41" s="542" t="str">
        <f t="shared" si="12"/>
        <v>1255-255</v>
      </c>
    </row>
    <row r="42" spans="2:30" s="542" customFormat="1" ht="17.100000000000001" customHeight="1">
      <c r="B42" s="361" t="s">
        <v>223</v>
      </c>
      <c r="C42" s="362"/>
      <c r="D42" s="326">
        <f ca="1">VLOOKUP(E42,'1.1a-Jaarprijzen'!B:G,6,FALSE)</f>
        <v>1</v>
      </c>
      <c r="E42" s="325" t="s">
        <v>40</v>
      </c>
      <c r="F42" s="326">
        <v>3</v>
      </c>
      <c r="G42" s="327" t="s">
        <v>250</v>
      </c>
      <c r="H42" s="325" t="s">
        <v>225</v>
      </c>
      <c r="I42" s="328" t="str">
        <f t="shared" si="0"/>
        <v>administratieve - en vergaderruimte</v>
      </c>
      <c r="J42" s="326" t="s">
        <v>209</v>
      </c>
      <c r="K42" s="329">
        <v>99.45</v>
      </c>
      <c r="L42" s="329"/>
      <c r="M42" s="330">
        <v>1255</v>
      </c>
      <c r="N42" s="330"/>
      <c r="O42" s="331">
        <f t="shared" si="1"/>
        <v>255</v>
      </c>
      <c r="P42" s="528">
        <v>1</v>
      </c>
      <c r="Q42" s="528">
        <v>1</v>
      </c>
      <c r="R42" s="323">
        <f>U42*K42*P42</f>
        <v>0</v>
      </c>
      <c r="S42" s="323">
        <f t="shared" si="3"/>
        <v>0</v>
      </c>
      <c r="T42" s="323">
        <f t="shared" si="10"/>
        <v>0</v>
      </c>
      <c r="U42" s="323">
        <f t="shared" si="4"/>
        <v>0</v>
      </c>
      <c r="V42" s="323">
        <f t="shared" si="14"/>
        <v>0</v>
      </c>
      <c r="W42" s="323">
        <f t="shared" si="6"/>
        <v>0</v>
      </c>
      <c r="X42" s="333" t="str">
        <f t="shared" si="7"/>
        <v>B</v>
      </c>
      <c r="Y42" s="334"/>
      <c r="Z42" s="335">
        <f>(R42+S42+T42)*'1.0-Contractblad'!$L$41</f>
        <v>0</v>
      </c>
      <c r="AA42" s="335">
        <f ca="1">VLOOKUP(E42,'1.1a-Jaarprijzen'!$B$51:$Q$88,16,FALSE)*K42</f>
        <v>0</v>
      </c>
      <c r="AC42" s="542">
        <f t="shared" si="11"/>
        <v>25359.75</v>
      </c>
      <c r="AD42" s="542" t="str">
        <f t="shared" si="12"/>
        <v>1255-255</v>
      </c>
    </row>
    <row r="43" spans="2:30" s="542" customFormat="1" ht="17.100000000000001" customHeight="1">
      <c r="B43" s="361"/>
      <c r="C43" s="362" t="s">
        <v>246</v>
      </c>
      <c r="D43" s="326">
        <f ca="1">VLOOKUP(E43,'1.1a-Jaarprijzen'!B:G,6,FALSE)</f>
        <v>1</v>
      </c>
      <c r="E43" s="325" t="s">
        <v>40</v>
      </c>
      <c r="F43" s="326">
        <v>3</v>
      </c>
      <c r="G43" s="327" t="s">
        <v>251</v>
      </c>
      <c r="H43" s="325" t="s">
        <v>252</v>
      </c>
      <c r="I43" s="328" t="str">
        <f>IF($M43="",0,VLOOKUP($M43,Kengetal,4,FALSE))</f>
        <v>pantry, keuken</v>
      </c>
      <c r="J43" s="326" t="s">
        <v>235</v>
      </c>
      <c r="K43" s="329">
        <v>40.799999999999997</v>
      </c>
      <c r="L43" s="329"/>
      <c r="M43" s="330">
        <v>5255</v>
      </c>
      <c r="N43" s="330">
        <v>5510</v>
      </c>
      <c r="O43" s="331">
        <f t="shared" si="1"/>
        <v>510</v>
      </c>
      <c r="P43" s="528">
        <v>1</v>
      </c>
      <c r="Q43" s="528">
        <v>1</v>
      </c>
      <c r="R43" s="323">
        <f t="shared" si="2"/>
        <v>0</v>
      </c>
      <c r="S43" s="323">
        <f t="shared" si="3"/>
        <v>0</v>
      </c>
      <c r="T43" s="323">
        <f t="shared" si="10"/>
        <v>0</v>
      </c>
      <c r="U43" s="323">
        <f t="shared" si="4"/>
        <v>0</v>
      </c>
      <c r="V43" s="323">
        <f t="shared" si="14"/>
        <v>0</v>
      </c>
      <c r="W43" s="323">
        <f t="shared" si="6"/>
        <v>0</v>
      </c>
      <c r="X43" s="333" t="str">
        <f t="shared" si="7"/>
        <v>V</v>
      </c>
      <c r="Y43" s="334"/>
      <c r="Z43" s="335">
        <f>(R43+S43+T43)*'1.0-Contractblad'!$L$41</f>
        <v>0</v>
      </c>
      <c r="AA43" s="335">
        <f ca="1">VLOOKUP(E43,'1.1a-Jaarprijzen'!$B$51:$Q$88,16,FALSE)*K43</f>
        <v>0</v>
      </c>
      <c r="AC43" s="542">
        <f t="shared" si="11"/>
        <v>20808</v>
      </c>
      <c r="AD43" s="542" t="str">
        <f t="shared" si="12"/>
        <v>5255-510</v>
      </c>
    </row>
    <row r="44" spans="2:30" s="542" customFormat="1" ht="17.100000000000001" customHeight="1">
      <c r="B44" s="361"/>
      <c r="C44" s="362" t="s">
        <v>246</v>
      </c>
      <c r="D44" s="326">
        <f ca="1">VLOOKUP(E44,'1.1a-Jaarprijzen'!B:G,6,FALSE)</f>
        <v>1</v>
      </c>
      <c r="E44" s="325" t="s">
        <v>40</v>
      </c>
      <c r="F44" s="326">
        <v>3</v>
      </c>
      <c r="G44" s="327" t="s">
        <v>253</v>
      </c>
      <c r="H44" s="325" t="s">
        <v>254</v>
      </c>
      <c r="I44" s="328" t="str">
        <f>IF($M44="",0,VLOOKUP($M44,Kengetal,4,FALSE))</f>
        <v>verblijfsruimte</v>
      </c>
      <c r="J44" s="326" t="s">
        <v>255</v>
      </c>
      <c r="K44" s="329">
        <v>122</v>
      </c>
      <c r="L44" s="329"/>
      <c r="M44" s="330">
        <v>2255</v>
      </c>
      <c r="N44" s="330">
        <v>2510</v>
      </c>
      <c r="O44" s="331">
        <f t="shared" si="1"/>
        <v>510</v>
      </c>
      <c r="P44" s="528">
        <v>1</v>
      </c>
      <c r="Q44" s="528">
        <v>1</v>
      </c>
      <c r="R44" s="323">
        <f t="shared" si="2"/>
        <v>0</v>
      </c>
      <c r="S44" s="323">
        <f t="shared" si="3"/>
        <v>0</v>
      </c>
      <c r="T44" s="323">
        <f t="shared" si="10"/>
        <v>0</v>
      </c>
      <c r="U44" s="323">
        <f t="shared" si="4"/>
        <v>0</v>
      </c>
      <c r="V44" s="323">
        <f t="shared" si="14"/>
        <v>0</v>
      </c>
      <c r="W44" s="323">
        <f t="shared" si="6"/>
        <v>0</v>
      </c>
      <c r="X44" s="333" t="str">
        <f t="shared" si="7"/>
        <v>V</v>
      </c>
      <c r="Y44" s="334"/>
      <c r="Z44" s="335">
        <f>(R44+S44+T44)*'1.0-Contractblad'!$L$41</f>
        <v>0</v>
      </c>
      <c r="AA44" s="335">
        <f ca="1">VLOOKUP(E44,'1.1a-Jaarprijzen'!$B$51:$Q$88,16,FALSE)*K44</f>
        <v>0</v>
      </c>
      <c r="AC44" s="542">
        <f t="shared" si="11"/>
        <v>62220</v>
      </c>
      <c r="AD44" s="542" t="str">
        <f t="shared" si="12"/>
        <v>2255-510</v>
      </c>
    </row>
    <row r="45" spans="2:30" s="542" customFormat="1" ht="17.100000000000001" customHeight="1">
      <c r="B45" s="361"/>
      <c r="C45" s="362"/>
      <c r="D45" s="326">
        <f ca="1">VLOOKUP(E45,'1.1a-Jaarprijzen'!B:G,6,FALSE)</f>
        <v>1</v>
      </c>
      <c r="E45" s="325" t="s">
        <v>40</v>
      </c>
      <c r="F45" s="326">
        <v>3</v>
      </c>
      <c r="G45" s="327" t="s">
        <v>256</v>
      </c>
      <c r="H45" s="325" t="s">
        <v>257</v>
      </c>
      <c r="I45" s="328" t="str">
        <f t="shared" ref="I45" si="15">IF($M45="",0,VLOOKUP($M45,Kengetal,4,FALSE))</f>
        <v>administratieve - en vergaderruimte</v>
      </c>
      <c r="J45" s="326" t="s">
        <v>209</v>
      </c>
      <c r="K45" s="329">
        <v>24.5</v>
      </c>
      <c r="L45" s="329"/>
      <c r="M45" s="330">
        <v>1255</v>
      </c>
      <c r="N45" s="330"/>
      <c r="O45" s="331">
        <f t="shared" si="1"/>
        <v>255</v>
      </c>
      <c r="P45" s="528">
        <v>1</v>
      </c>
      <c r="Q45" s="528">
        <v>1</v>
      </c>
      <c r="R45" s="323">
        <f t="shared" si="2"/>
        <v>0</v>
      </c>
      <c r="S45" s="323">
        <f t="shared" si="3"/>
        <v>0</v>
      </c>
      <c r="T45" s="323">
        <f t="shared" si="10"/>
        <v>0</v>
      </c>
      <c r="U45" s="323">
        <f t="shared" si="4"/>
        <v>0</v>
      </c>
      <c r="V45" s="323">
        <f t="shared" si="14"/>
        <v>0</v>
      </c>
      <c r="W45" s="323">
        <f t="shared" si="6"/>
        <v>0</v>
      </c>
      <c r="X45" s="333" t="str">
        <f t="shared" si="7"/>
        <v>B</v>
      </c>
      <c r="Y45" s="334"/>
      <c r="Z45" s="335">
        <f>(R45+S45+T45)*'1.0-Contractblad'!$L$41</f>
        <v>0</v>
      </c>
      <c r="AA45" s="335">
        <f ca="1">VLOOKUP(E45,'1.1a-Jaarprijzen'!$B$51:$Q$88,16,FALSE)*K45</f>
        <v>0</v>
      </c>
      <c r="AC45" s="542">
        <f t="shared" si="11"/>
        <v>6247.5</v>
      </c>
      <c r="AD45" s="542" t="str">
        <f t="shared" si="12"/>
        <v>1255-255</v>
      </c>
    </row>
    <row r="46" spans="2:30" s="542" customFormat="1" ht="17.100000000000001" customHeight="1">
      <c r="B46" s="361"/>
      <c r="C46" s="362" t="s">
        <v>246</v>
      </c>
      <c r="D46" s="326">
        <f ca="1">VLOOKUP(E46,'1.1a-Jaarprijzen'!B:G,6,FALSE)</f>
        <v>1</v>
      </c>
      <c r="E46" s="325" t="s">
        <v>40</v>
      </c>
      <c r="F46" s="326">
        <v>3</v>
      </c>
      <c r="G46" s="327" t="s">
        <v>258</v>
      </c>
      <c r="H46" s="325" t="s">
        <v>259</v>
      </c>
      <c r="I46" s="328" t="str">
        <f t="shared" ref="I46" si="16">IF($M46="",0,VLOOKUP($M46,Kengetal,4,FALSE))</f>
        <v>verblijfsruimte</v>
      </c>
      <c r="J46" s="326" t="s">
        <v>255</v>
      </c>
      <c r="K46" s="329">
        <v>37.5</v>
      </c>
      <c r="L46" s="329"/>
      <c r="M46" s="330">
        <v>2255</v>
      </c>
      <c r="N46" s="330">
        <v>2510</v>
      </c>
      <c r="O46" s="331">
        <f t="shared" si="1"/>
        <v>510</v>
      </c>
      <c r="P46" s="528">
        <v>1</v>
      </c>
      <c r="Q46" s="528">
        <v>1</v>
      </c>
      <c r="R46" s="323">
        <f t="shared" si="2"/>
        <v>0</v>
      </c>
      <c r="S46" s="323">
        <f t="shared" si="3"/>
        <v>0</v>
      </c>
      <c r="T46" s="323">
        <f t="shared" si="10"/>
        <v>0</v>
      </c>
      <c r="U46" s="323">
        <f t="shared" ref="U46:U81" si="17" xml:space="preserve"> IF($M46=0,0,VLOOKUP($M46,Kengetal,6,FALSE))</f>
        <v>0</v>
      </c>
      <c r="V46" s="323">
        <f t="shared" si="14"/>
        <v>0</v>
      </c>
      <c r="W46" s="323">
        <f t="shared" ref="W46:W81" si="18" xml:space="preserve"> IF($N46=0,0,VLOOKUP($N46,Kengetal,6,FALSE))</f>
        <v>0</v>
      </c>
      <c r="X46" s="333" t="str">
        <f t="shared" si="7"/>
        <v>V</v>
      </c>
      <c r="Y46" s="334"/>
      <c r="Z46" s="335">
        <f>(R46+S46+T46)*'1.0-Contractblad'!$L$41</f>
        <v>0</v>
      </c>
      <c r="AA46" s="335">
        <f ca="1">VLOOKUP(E46,'1.1a-Jaarprijzen'!$B$51:$Q$88,16,FALSE)*K46</f>
        <v>0</v>
      </c>
      <c r="AC46" s="542">
        <f t="shared" si="11"/>
        <v>19125</v>
      </c>
      <c r="AD46" s="542" t="str">
        <f t="shared" si="12"/>
        <v>2255-510</v>
      </c>
    </row>
    <row r="47" spans="2:30" s="542" customFormat="1" ht="17.100000000000001" customHeight="1">
      <c r="B47" s="361"/>
      <c r="C47" s="362"/>
      <c r="D47" s="326">
        <f ca="1">VLOOKUP(E47,'1.1a-Jaarprijzen'!B:G,6,FALSE)</f>
        <v>1</v>
      </c>
      <c r="E47" s="325" t="s">
        <v>40</v>
      </c>
      <c r="F47" s="326">
        <v>3</v>
      </c>
      <c r="G47" s="327" t="s">
        <v>260</v>
      </c>
      <c r="H47" s="325" t="s">
        <v>227</v>
      </c>
      <c r="I47" s="328" t="str">
        <f t="shared" ref="I47:I49" si="19">IF($M47="",0,VLOOKUP($M47,Kengetal,4,FALSE))</f>
        <v>administratieve - en vergaderruimte</v>
      </c>
      <c r="J47" s="326" t="s">
        <v>209</v>
      </c>
      <c r="K47" s="329">
        <v>12.25</v>
      </c>
      <c r="L47" s="329"/>
      <c r="M47" s="330">
        <v>1255</v>
      </c>
      <c r="N47" s="330"/>
      <c r="O47" s="331">
        <f t="shared" ref="O47:O77" si="20">VLOOKUP(M47,Kengetal,3,FALSE)+VLOOKUP(N47,Kengetal,3,FALSE)</f>
        <v>255</v>
      </c>
      <c r="P47" s="528">
        <v>1</v>
      </c>
      <c r="Q47" s="528">
        <v>1</v>
      </c>
      <c r="R47" s="323">
        <f t="shared" ref="R47:R77" si="21">U47*K47*P47</f>
        <v>0</v>
      </c>
      <c r="S47" s="323">
        <f t="shared" ref="S47:S77" si="22">V47*K47*Q47</f>
        <v>0</v>
      </c>
      <c r="T47" s="323">
        <f t="shared" ref="T47:T81" si="23">W47*K47</f>
        <v>0</v>
      </c>
      <c r="U47" s="323">
        <f t="shared" si="17"/>
        <v>0</v>
      </c>
      <c r="V47" s="323">
        <f t="shared" si="14"/>
        <v>0</v>
      </c>
      <c r="W47" s="323">
        <f t="shared" si="18"/>
        <v>0</v>
      </c>
      <c r="X47" s="333" t="str">
        <f t="shared" ref="X47:X77" si="24">IF(M47="","",VLOOKUP(M47,Kengetal,13,FALSE))</f>
        <v>B</v>
      </c>
      <c r="Y47" s="334"/>
      <c r="Z47" s="335">
        <f>(R47+S47+T47)*'1.0-Contractblad'!$L$41</f>
        <v>0</v>
      </c>
      <c r="AA47" s="335">
        <f ca="1">VLOOKUP(E47,'1.1a-Jaarprijzen'!$B$51:$Q$88,16,FALSE)*K47</f>
        <v>0</v>
      </c>
      <c r="AC47" s="542">
        <f t="shared" ref="AC47:AC81" si="25">K47*O47</f>
        <v>3123.75</v>
      </c>
      <c r="AD47" s="542" t="str">
        <f t="shared" ref="AD47:AD81" si="26">CONCATENATE(M47,"-",O47)</f>
        <v>1255-255</v>
      </c>
    </row>
    <row r="48" spans="2:30" s="542" customFormat="1" ht="17.100000000000001" customHeight="1">
      <c r="B48" s="361"/>
      <c r="C48" s="362"/>
      <c r="D48" s="326">
        <f ca="1">VLOOKUP(E48,'1.1a-Jaarprijzen'!B:G,6,FALSE)</f>
        <v>1</v>
      </c>
      <c r="E48" s="325" t="s">
        <v>40</v>
      </c>
      <c r="F48" s="326">
        <v>3</v>
      </c>
      <c r="G48" s="327" t="s">
        <v>261</v>
      </c>
      <c r="H48" s="325" t="s">
        <v>227</v>
      </c>
      <c r="I48" s="328" t="str">
        <f t="shared" si="19"/>
        <v>administratieve - en vergaderruimte</v>
      </c>
      <c r="J48" s="326" t="s">
        <v>209</v>
      </c>
      <c r="K48" s="329">
        <v>61.600000000000009</v>
      </c>
      <c r="L48" s="329"/>
      <c r="M48" s="330">
        <v>1255</v>
      </c>
      <c r="N48" s="330"/>
      <c r="O48" s="331">
        <f t="shared" si="20"/>
        <v>255</v>
      </c>
      <c r="P48" s="528">
        <v>1</v>
      </c>
      <c r="Q48" s="528">
        <v>1</v>
      </c>
      <c r="R48" s="323">
        <f t="shared" si="21"/>
        <v>0</v>
      </c>
      <c r="S48" s="323">
        <f t="shared" si="22"/>
        <v>0</v>
      </c>
      <c r="T48" s="323">
        <f t="shared" si="23"/>
        <v>0</v>
      </c>
      <c r="U48" s="323">
        <f t="shared" si="17"/>
        <v>0</v>
      </c>
      <c r="V48" s="323">
        <f t="shared" si="14"/>
        <v>0</v>
      </c>
      <c r="W48" s="323">
        <f t="shared" si="18"/>
        <v>0</v>
      </c>
      <c r="X48" s="333" t="str">
        <f t="shared" si="24"/>
        <v>B</v>
      </c>
      <c r="Y48" s="334"/>
      <c r="Z48" s="335">
        <f>(R48+S48+T48)*'1.0-Contractblad'!$L$41</f>
        <v>0</v>
      </c>
      <c r="AA48" s="335">
        <f ca="1">VLOOKUP(E48,'1.1a-Jaarprijzen'!$B$51:$Q$88,16,FALSE)*K48</f>
        <v>0</v>
      </c>
      <c r="AC48" s="542">
        <f t="shared" si="25"/>
        <v>15708.000000000002</v>
      </c>
      <c r="AD48" s="542" t="str">
        <f t="shared" si="26"/>
        <v>1255-255</v>
      </c>
    </row>
    <row r="49" spans="2:30" s="542" customFormat="1" ht="17.100000000000001" customHeight="1">
      <c r="B49" s="361"/>
      <c r="C49" s="362"/>
      <c r="D49" s="326">
        <f ca="1">VLOOKUP(E49,'1.1a-Jaarprijzen'!B:G,6,FALSE)</f>
        <v>1</v>
      </c>
      <c r="E49" s="325" t="s">
        <v>40</v>
      </c>
      <c r="F49" s="326">
        <v>3</v>
      </c>
      <c r="G49" s="327" t="s">
        <v>262</v>
      </c>
      <c r="H49" s="325" t="s">
        <v>234</v>
      </c>
      <c r="I49" s="328" t="str">
        <f t="shared" si="19"/>
        <v>niet van toepassing</v>
      </c>
      <c r="J49" s="326" t="s">
        <v>209</v>
      </c>
      <c r="K49" s="329"/>
      <c r="L49" s="329">
        <v>12.6</v>
      </c>
      <c r="M49" s="330" t="s">
        <v>154</v>
      </c>
      <c r="N49" s="330"/>
      <c r="O49" s="331">
        <f t="shared" si="20"/>
        <v>0</v>
      </c>
      <c r="P49" s="528">
        <v>1</v>
      </c>
      <c r="Q49" s="528">
        <v>1</v>
      </c>
      <c r="R49" s="323">
        <f t="shared" si="21"/>
        <v>0</v>
      </c>
      <c r="S49" s="323">
        <f t="shared" si="22"/>
        <v>0</v>
      </c>
      <c r="T49" s="323">
        <f t="shared" si="23"/>
        <v>0</v>
      </c>
      <c r="U49" s="323">
        <f t="shared" si="17"/>
        <v>0</v>
      </c>
      <c r="V49" s="323">
        <f t="shared" si="14"/>
        <v>0</v>
      </c>
      <c r="W49" s="323">
        <f t="shared" si="18"/>
        <v>0</v>
      </c>
      <c r="X49" s="333">
        <f t="shared" si="24"/>
        <v>0</v>
      </c>
      <c r="Y49" s="334"/>
      <c r="Z49" s="335">
        <f>(R49+S49+T49)*'1.0-Contractblad'!$L$41</f>
        <v>0</v>
      </c>
      <c r="AA49" s="335">
        <f ca="1">VLOOKUP(E49,'1.1a-Jaarprijzen'!$B$51:$Q$88,16,FALSE)*K49</f>
        <v>0</v>
      </c>
      <c r="AC49" s="542">
        <f t="shared" si="25"/>
        <v>0</v>
      </c>
      <c r="AD49" s="542" t="str">
        <f t="shared" si="26"/>
        <v>nvt-0</v>
      </c>
    </row>
    <row r="50" spans="2:30" s="542" customFormat="1" ht="17.100000000000001" customHeight="1">
      <c r="B50" s="361"/>
      <c r="C50" s="362"/>
      <c r="D50" s="326">
        <f ca="1">VLOOKUP(E50,'1.1a-Jaarprijzen'!B:G,6,FALSE)</f>
        <v>1</v>
      </c>
      <c r="E50" s="325" t="s">
        <v>40</v>
      </c>
      <c r="F50" s="326">
        <v>3</v>
      </c>
      <c r="G50" s="327" t="s">
        <v>263</v>
      </c>
      <c r="H50" s="325" t="s">
        <v>227</v>
      </c>
      <c r="I50" s="328" t="str">
        <f t="shared" ref="I50:I55" si="27">IF($M50="",0,VLOOKUP($M50,Kengetal,4,FALSE))</f>
        <v>administratieve - en vergaderruimte</v>
      </c>
      <c r="J50" s="326" t="s">
        <v>209</v>
      </c>
      <c r="K50" s="329">
        <v>23.8</v>
      </c>
      <c r="L50" s="329"/>
      <c r="M50" s="330">
        <v>1255</v>
      </c>
      <c r="N50" s="330"/>
      <c r="O50" s="331">
        <f t="shared" si="20"/>
        <v>255</v>
      </c>
      <c r="P50" s="528">
        <v>1</v>
      </c>
      <c r="Q50" s="528">
        <v>1</v>
      </c>
      <c r="R50" s="323">
        <f t="shared" si="21"/>
        <v>0</v>
      </c>
      <c r="S50" s="323">
        <f t="shared" si="22"/>
        <v>0</v>
      </c>
      <c r="T50" s="323">
        <f t="shared" si="23"/>
        <v>0</v>
      </c>
      <c r="U50" s="323">
        <f t="shared" si="17"/>
        <v>0</v>
      </c>
      <c r="V50" s="323">
        <f t="shared" si="14"/>
        <v>0</v>
      </c>
      <c r="W50" s="323">
        <f t="shared" si="18"/>
        <v>0</v>
      </c>
      <c r="X50" s="333" t="str">
        <f t="shared" si="24"/>
        <v>B</v>
      </c>
      <c r="Y50" s="334"/>
      <c r="Z50" s="335">
        <f>(R50+S50+T50)*'1.0-Contractblad'!$L$41</f>
        <v>0</v>
      </c>
      <c r="AA50" s="335">
        <f ca="1">VLOOKUP(E50,'1.1a-Jaarprijzen'!$B$51:$Q$88,16,FALSE)*K50</f>
        <v>0</v>
      </c>
      <c r="AC50" s="542">
        <f t="shared" si="25"/>
        <v>6069</v>
      </c>
      <c r="AD50" s="542" t="str">
        <f t="shared" si="26"/>
        <v>1255-255</v>
      </c>
    </row>
    <row r="51" spans="2:30" s="542" customFormat="1" ht="17.100000000000001" customHeight="1">
      <c r="B51" s="361"/>
      <c r="C51" s="362"/>
      <c r="D51" s="326">
        <f ca="1">VLOOKUP(E51,'1.1a-Jaarprijzen'!B:G,6,FALSE)</f>
        <v>1</v>
      </c>
      <c r="E51" s="325" t="s">
        <v>40</v>
      </c>
      <c r="F51" s="326">
        <v>3</v>
      </c>
      <c r="G51" s="327" t="s">
        <v>264</v>
      </c>
      <c r="H51" s="325" t="s">
        <v>227</v>
      </c>
      <c r="I51" s="328" t="str">
        <f t="shared" si="27"/>
        <v>administratieve - en vergaderruimte</v>
      </c>
      <c r="J51" s="326" t="s">
        <v>209</v>
      </c>
      <c r="K51" s="329">
        <v>24.5</v>
      </c>
      <c r="L51" s="329"/>
      <c r="M51" s="330">
        <v>1255</v>
      </c>
      <c r="N51" s="330"/>
      <c r="O51" s="331">
        <f t="shared" si="20"/>
        <v>255</v>
      </c>
      <c r="P51" s="528">
        <v>1</v>
      </c>
      <c r="Q51" s="528">
        <v>1</v>
      </c>
      <c r="R51" s="323">
        <f t="shared" si="21"/>
        <v>0</v>
      </c>
      <c r="S51" s="323">
        <f t="shared" si="22"/>
        <v>0</v>
      </c>
      <c r="T51" s="323">
        <f t="shared" si="23"/>
        <v>0</v>
      </c>
      <c r="U51" s="323">
        <f t="shared" si="17"/>
        <v>0</v>
      </c>
      <c r="V51" s="323">
        <f t="shared" si="14"/>
        <v>0</v>
      </c>
      <c r="W51" s="323">
        <f t="shared" si="18"/>
        <v>0</v>
      </c>
      <c r="X51" s="333" t="str">
        <f t="shared" si="24"/>
        <v>B</v>
      </c>
      <c r="Y51" s="334"/>
      <c r="Z51" s="335">
        <f>(R51+S51+T51)*'1.0-Contractblad'!$L$41</f>
        <v>0</v>
      </c>
      <c r="AA51" s="335">
        <f ca="1">VLOOKUP(E51,'1.1a-Jaarprijzen'!$B$51:$Q$88,16,FALSE)*K51</f>
        <v>0</v>
      </c>
      <c r="AC51" s="542">
        <f t="shared" si="25"/>
        <v>6247.5</v>
      </c>
      <c r="AD51" s="542" t="str">
        <f t="shared" si="26"/>
        <v>1255-255</v>
      </c>
    </row>
    <row r="52" spans="2:30" s="542" customFormat="1" ht="17.100000000000001" customHeight="1">
      <c r="B52" s="361"/>
      <c r="C52" s="362"/>
      <c r="D52" s="326">
        <f ca="1">VLOOKUP(E52,'1.1a-Jaarprijzen'!B:G,6,FALSE)</f>
        <v>1</v>
      </c>
      <c r="E52" s="325" t="s">
        <v>40</v>
      </c>
      <c r="F52" s="326">
        <v>3</v>
      </c>
      <c r="G52" s="327" t="s">
        <v>265</v>
      </c>
      <c r="H52" s="325" t="s">
        <v>227</v>
      </c>
      <c r="I52" s="328" t="str">
        <f t="shared" si="27"/>
        <v>administratieve - en vergaderruimte</v>
      </c>
      <c r="J52" s="326" t="s">
        <v>209</v>
      </c>
      <c r="K52" s="329">
        <v>12.25</v>
      </c>
      <c r="L52" s="329"/>
      <c r="M52" s="330">
        <v>1255</v>
      </c>
      <c r="N52" s="330"/>
      <c r="O52" s="331">
        <f t="shared" si="20"/>
        <v>255</v>
      </c>
      <c r="P52" s="528">
        <v>1</v>
      </c>
      <c r="Q52" s="528">
        <v>1</v>
      </c>
      <c r="R52" s="323">
        <f t="shared" si="21"/>
        <v>0</v>
      </c>
      <c r="S52" s="323">
        <f t="shared" si="22"/>
        <v>0</v>
      </c>
      <c r="T52" s="323">
        <f t="shared" si="23"/>
        <v>0</v>
      </c>
      <c r="U52" s="323">
        <f t="shared" si="17"/>
        <v>0</v>
      </c>
      <c r="V52" s="323">
        <f t="shared" si="14"/>
        <v>0</v>
      </c>
      <c r="W52" s="323">
        <f t="shared" si="18"/>
        <v>0</v>
      </c>
      <c r="X52" s="333" t="str">
        <f t="shared" si="24"/>
        <v>B</v>
      </c>
      <c r="Y52" s="334"/>
      <c r="Z52" s="335">
        <f>(R52+S52+T52)*'1.0-Contractblad'!$L$41</f>
        <v>0</v>
      </c>
      <c r="AA52" s="335">
        <f ca="1">VLOOKUP(E52,'1.1a-Jaarprijzen'!$B$51:$Q$88,16,FALSE)*K52</f>
        <v>0</v>
      </c>
      <c r="AC52" s="542">
        <f t="shared" si="25"/>
        <v>3123.75</v>
      </c>
      <c r="AD52" s="542" t="str">
        <f t="shared" si="26"/>
        <v>1255-255</v>
      </c>
    </row>
    <row r="53" spans="2:30" s="542" customFormat="1" ht="17.100000000000001" customHeight="1">
      <c r="B53" s="361"/>
      <c r="C53" s="362" t="s">
        <v>246</v>
      </c>
      <c r="D53" s="326">
        <f ca="1">VLOOKUP(E53,'1.1a-Jaarprijzen'!B:G,6,FALSE)</f>
        <v>1</v>
      </c>
      <c r="E53" s="325" t="s">
        <v>40</v>
      </c>
      <c r="F53" s="326">
        <v>3</v>
      </c>
      <c r="G53" s="327" t="s">
        <v>266</v>
      </c>
      <c r="H53" s="325" t="s">
        <v>267</v>
      </c>
      <c r="I53" s="328" t="str">
        <f t="shared" si="27"/>
        <v>verblijfsruimte</v>
      </c>
      <c r="J53" s="326" t="s">
        <v>255</v>
      </c>
      <c r="K53" s="329">
        <v>38.150000000000006</v>
      </c>
      <c r="L53" s="329"/>
      <c r="M53" s="330">
        <v>2255</v>
      </c>
      <c r="N53" s="330">
        <v>2510</v>
      </c>
      <c r="O53" s="331">
        <f t="shared" si="20"/>
        <v>510</v>
      </c>
      <c r="P53" s="528">
        <v>1</v>
      </c>
      <c r="Q53" s="528">
        <v>1</v>
      </c>
      <c r="R53" s="323">
        <f t="shared" si="21"/>
        <v>0</v>
      </c>
      <c r="S53" s="323">
        <f t="shared" si="22"/>
        <v>0</v>
      </c>
      <c r="T53" s="323">
        <f t="shared" si="23"/>
        <v>0</v>
      </c>
      <c r="U53" s="323">
        <f t="shared" si="17"/>
        <v>0</v>
      </c>
      <c r="V53" s="323">
        <f t="shared" si="14"/>
        <v>0</v>
      </c>
      <c r="W53" s="323">
        <f t="shared" si="18"/>
        <v>0</v>
      </c>
      <c r="X53" s="333" t="str">
        <f t="shared" si="24"/>
        <v>V</v>
      </c>
      <c r="Y53" s="334"/>
      <c r="Z53" s="335">
        <f>(R53+S53+T53)*'1.0-Contractblad'!$L$41</f>
        <v>0</v>
      </c>
      <c r="AA53" s="335">
        <f ca="1">VLOOKUP(E53,'1.1a-Jaarprijzen'!$B$51:$Q$88,16,FALSE)*K53</f>
        <v>0</v>
      </c>
      <c r="AC53" s="542">
        <f t="shared" si="25"/>
        <v>19456.500000000004</v>
      </c>
      <c r="AD53" s="542" t="str">
        <f t="shared" si="26"/>
        <v>2255-510</v>
      </c>
    </row>
    <row r="54" spans="2:30" s="542" customFormat="1" ht="17.100000000000001" customHeight="1">
      <c r="B54" s="361"/>
      <c r="C54" s="362"/>
      <c r="D54" s="326">
        <f ca="1">VLOOKUP(E54,'1.1a-Jaarprijzen'!B:G,6,FALSE)</f>
        <v>1</v>
      </c>
      <c r="E54" s="325" t="s">
        <v>40</v>
      </c>
      <c r="F54" s="326">
        <v>3</v>
      </c>
      <c r="G54" s="327" t="s">
        <v>268</v>
      </c>
      <c r="H54" s="325" t="s">
        <v>269</v>
      </c>
      <c r="I54" s="328" t="str">
        <f t="shared" si="27"/>
        <v>entree, gang en hal</v>
      </c>
      <c r="J54" s="326" t="s">
        <v>235</v>
      </c>
      <c r="K54" s="329">
        <v>74.349999999999994</v>
      </c>
      <c r="L54" s="329"/>
      <c r="M54" s="330">
        <v>3255</v>
      </c>
      <c r="N54" s="330"/>
      <c r="O54" s="331">
        <f t="shared" si="20"/>
        <v>255</v>
      </c>
      <c r="P54" s="528">
        <v>1</v>
      </c>
      <c r="Q54" s="528">
        <v>1</v>
      </c>
      <c r="R54" s="323">
        <f t="shared" si="21"/>
        <v>0</v>
      </c>
      <c r="S54" s="323">
        <f t="shared" si="22"/>
        <v>0</v>
      </c>
      <c r="T54" s="323">
        <f t="shared" si="23"/>
        <v>0</v>
      </c>
      <c r="U54" s="323">
        <f t="shared" si="17"/>
        <v>0</v>
      </c>
      <c r="V54" s="323">
        <f t="shared" si="14"/>
        <v>0</v>
      </c>
      <c r="W54" s="323">
        <f t="shared" si="18"/>
        <v>0</v>
      </c>
      <c r="X54" s="333" t="str">
        <f t="shared" si="24"/>
        <v>V</v>
      </c>
      <c r="Y54" s="334"/>
      <c r="Z54" s="335">
        <f>(R54+S54+T54)*'1.0-Contractblad'!$L$41</f>
        <v>0</v>
      </c>
      <c r="AA54" s="335">
        <f ca="1">VLOOKUP(E54,'1.1a-Jaarprijzen'!$B$51:$Q$88,16,FALSE)*K54</f>
        <v>0</v>
      </c>
      <c r="AC54" s="542">
        <f t="shared" si="25"/>
        <v>18959.25</v>
      </c>
      <c r="AD54" s="542" t="str">
        <f t="shared" si="26"/>
        <v>3255-255</v>
      </c>
    </row>
    <row r="55" spans="2:30" s="542" customFormat="1" ht="17.100000000000001" customHeight="1">
      <c r="B55" s="361" t="s">
        <v>223</v>
      </c>
      <c r="C55" s="362"/>
      <c r="D55" s="326">
        <f ca="1">VLOOKUP(E55,'1.1a-Jaarprijzen'!B:G,6,FALSE)</f>
        <v>1</v>
      </c>
      <c r="E55" s="325" t="s">
        <v>40</v>
      </c>
      <c r="F55" s="326">
        <v>3</v>
      </c>
      <c r="G55" s="327" t="s">
        <v>270</v>
      </c>
      <c r="H55" s="325" t="s">
        <v>271</v>
      </c>
      <c r="I55" s="328" t="str">
        <f t="shared" si="27"/>
        <v>administratieve - en vergaderruimte</v>
      </c>
      <c r="J55" s="326" t="s">
        <v>235</v>
      </c>
      <c r="K55" s="329">
        <v>3.7</v>
      </c>
      <c r="L55" s="329"/>
      <c r="M55" s="330">
        <v>1255</v>
      </c>
      <c r="N55" s="330"/>
      <c r="O55" s="331">
        <f t="shared" si="20"/>
        <v>255</v>
      </c>
      <c r="P55" s="528">
        <v>1</v>
      </c>
      <c r="Q55" s="528">
        <v>1</v>
      </c>
      <c r="R55" s="323">
        <f t="shared" si="21"/>
        <v>0</v>
      </c>
      <c r="S55" s="323">
        <f t="shared" si="22"/>
        <v>0</v>
      </c>
      <c r="T55" s="323">
        <f t="shared" si="23"/>
        <v>0</v>
      </c>
      <c r="U55" s="323">
        <f t="shared" si="17"/>
        <v>0</v>
      </c>
      <c r="V55" s="323">
        <f t="shared" si="14"/>
        <v>0</v>
      </c>
      <c r="W55" s="323">
        <f t="shared" si="18"/>
        <v>0</v>
      </c>
      <c r="X55" s="333" t="str">
        <f t="shared" si="24"/>
        <v>B</v>
      </c>
      <c r="Y55" s="334"/>
      <c r="Z55" s="335">
        <f>(R55+S55+T55)*'1.0-Contractblad'!$L$41</f>
        <v>0</v>
      </c>
      <c r="AA55" s="335">
        <f ca="1">VLOOKUP(E55,'1.1a-Jaarprijzen'!$B$51:$Q$88,16,FALSE)*K55</f>
        <v>0</v>
      </c>
      <c r="AC55" s="542">
        <f t="shared" si="25"/>
        <v>943.5</v>
      </c>
      <c r="AD55" s="542" t="str">
        <f t="shared" si="26"/>
        <v>1255-255</v>
      </c>
    </row>
    <row r="56" spans="2:30" s="542" customFormat="1" ht="17.100000000000001" customHeight="1">
      <c r="B56" s="361"/>
      <c r="C56" s="362" t="s">
        <v>246</v>
      </c>
      <c r="D56" s="326">
        <f ca="1">VLOOKUP(E56,'1.1a-Jaarprijzen'!B:G,6,FALSE)</f>
        <v>1</v>
      </c>
      <c r="E56" s="325" t="s">
        <v>40</v>
      </c>
      <c r="F56" s="326">
        <v>3</v>
      </c>
      <c r="G56" s="327" t="s">
        <v>272</v>
      </c>
      <c r="H56" s="325" t="s">
        <v>273</v>
      </c>
      <c r="I56" s="328" t="str">
        <f t="shared" ref="I56:I81" si="28">IF($M56="",0,VLOOKUP($M56,Kengetal,4,FALSE))</f>
        <v>sanitaire ruimte</v>
      </c>
      <c r="J56" s="326" t="s">
        <v>235</v>
      </c>
      <c r="K56" s="329">
        <v>10.3</v>
      </c>
      <c r="L56" s="329"/>
      <c r="M56" s="330">
        <v>4255</v>
      </c>
      <c r="N56" s="330">
        <v>4510</v>
      </c>
      <c r="O56" s="331">
        <f t="shared" si="20"/>
        <v>510</v>
      </c>
      <c r="P56" s="528">
        <v>1</v>
      </c>
      <c r="Q56" s="528">
        <v>1</v>
      </c>
      <c r="R56" s="323">
        <f t="shared" si="21"/>
        <v>0</v>
      </c>
      <c r="S56" s="323">
        <f t="shared" si="22"/>
        <v>0</v>
      </c>
      <c r="T56" s="323">
        <f t="shared" si="23"/>
        <v>0</v>
      </c>
      <c r="U56" s="323">
        <f t="shared" si="17"/>
        <v>0</v>
      </c>
      <c r="V56" s="323">
        <f t="shared" si="14"/>
        <v>0</v>
      </c>
      <c r="W56" s="323">
        <f t="shared" si="18"/>
        <v>0</v>
      </c>
      <c r="X56" s="333" t="str">
        <f t="shared" si="24"/>
        <v>S</v>
      </c>
      <c r="Y56" s="334"/>
      <c r="Z56" s="335">
        <f>(R56+S56+T56)*'1.0-Contractblad'!$L$41</f>
        <v>0</v>
      </c>
      <c r="AA56" s="335">
        <f ca="1">VLOOKUP(E56,'1.1a-Jaarprijzen'!$B$51:$Q$88,16,FALSE)*K56</f>
        <v>0</v>
      </c>
      <c r="AC56" s="542">
        <f t="shared" si="25"/>
        <v>5253</v>
      </c>
      <c r="AD56" s="542" t="str">
        <f t="shared" si="26"/>
        <v>4255-510</v>
      </c>
    </row>
    <row r="57" spans="2:30" s="542" customFormat="1" ht="17.100000000000001" customHeight="1">
      <c r="B57" s="361"/>
      <c r="C57" s="362"/>
      <c r="D57" s="326">
        <f ca="1">VLOOKUP(E57,'1.1a-Jaarprijzen'!B:G,6,FALSE)</f>
        <v>1</v>
      </c>
      <c r="E57" s="325" t="s">
        <v>40</v>
      </c>
      <c r="F57" s="326">
        <v>3</v>
      </c>
      <c r="G57" s="327" t="s">
        <v>274</v>
      </c>
      <c r="H57" s="325" t="s">
        <v>275</v>
      </c>
      <c r="I57" s="328" t="str">
        <f t="shared" si="28"/>
        <v>entree, gang en hal</v>
      </c>
      <c r="J57" s="326" t="s">
        <v>235</v>
      </c>
      <c r="K57" s="329">
        <v>22.4</v>
      </c>
      <c r="L57" s="329"/>
      <c r="M57" s="330">
        <v>3255</v>
      </c>
      <c r="N57" s="330"/>
      <c r="O57" s="331">
        <f t="shared" si="20"/>
        <v>255</v>
      </c>
      <c r="P57" s="528">
        <v>1</v>
      </c>
      <c r="Q57" s="528">
        <v>1</v>
      </c>
      <c r="R57" s="323">
        <f t="shared" si="21"/>
        <v>0</v>
      </c>
      <c r="S57" s="323">
        <f t="shared" si="22"/>
        <v>0</v>
      </c>
      <c r="T57" s="323">
        <f t="shared" si="23"/>
        <v>0</v>
      </c>
      <c r="U57" s="323">
        <f t="shared" si="17"/>
        <v>0</v>
      </c>
      <c r="V57" s="323">
        <f t="shared" si="14"/>
        <v>0</v>
      </c>
      <c r="W57" s="323">
        <f t="shared" si="18"/>
        <v>0</v>
      </c>
      <c r="X57" s="333" t="str">
        <f t="shared" si="24"/>
        <v>V</v>
      </c>
      <c r="Y57" s="334"/>
      <c r="Z57" s="335">
        <f>(R57+S57+T57)*'1.0-Contractblad'!$L$41</f>
        <v>0</v>
      </c>
      <c r="AA57" s="335">
        <f ca="1">VLOOKUP(E57,'1.1a-Jaarprijzen'!$B$51:$Q$88,16,FALSE)*K57</f>
        <v>0</v>
      </c>
      <c r="AC57" s="542">
        <f t="shared" si="25"/>
        <v>5712</v>
      </c>
      <c r="AD57" s="542" t="str">
        <f t="shared" si="26"/>
        <v>3255-255</v>
      </c>
    </row>
    <row r="58" spans="2:30" s="542" customFormat="1" ht="17.100000000000001" customHeight="1">
      <c r="B58" s="361"/>
      <c r="C58" s="362" t="s">
        <v>246</v>
      </c>
      <c r="D58" s="326">
        <f ca="1">VLOOKUP(E58,'1.1a-Jaarprijzen'!B:G,6,FALSE)</f>
        <v>1</v>
      </c>
      <c r="E58" s="325" t="s">
        <v>40</v>
      </c>
      <c r="F58" s="326">
        <v>3</v>
      </c>
      <c r="G58" s="327" t="s">
        <v>276</v>
      </c>
      <c r="H58" s="325" t="s">
        <v>273</v>
      </c>
      <c r="I58" s="328" t="str">
        <f t="shared" si="28"/>
        <v>sanitaire ruimte</v>
      </c>
      <c r="J58" s="326" t="s">
        <v>235</v>
      </c>
      <c r="K58" s="329">
        <v>10.3</v>
      </c>
      <c r="L58" s="329"/>
      <c r="M58" s="330">
        <v>4255</v>
      </c>
      <c r="N58" s="330">
        <v>4510</v>
      </c>
      <c r="O58" s="331">
        <f t="shared" si="20"/>
        <v>510</v>
      </c>
      <c r="P58" s="528">
        <v>1</v>
      </c>
      <c r="Q58" s="528">
        <v>1</v>
      </c>
      <c r="R58" s="323">
        <f t="shared" si="21"/>
        <v>0</v>
      </c>
      <c r="S58" s="323">
        <f t="shared" si="22"/>
        <v>0</v>
      </c>
      <c r="T58" s="323">
        <f t="shared" si="23"/>
        <v>0</v>
      </c>
      <c r="U58" s="323">
        <f t="shared" si="17"/>
        <v>0</v>
      </c>
      <c r="V58" s="323">
        <f t="shared" si="14"/>
        <v>0</v>
      </c>
      <c r="W58" s="323">
        <f t="shared" si="18"/>
        <v>0</v>
      </c>
      <c r="X58" s="333" t="str">
        <f t="shared" si="24"/>
        <v>S</v>
      </c>
      <c r="Y58" s="334"/>
      <c r="Z58" s="335">
        <f>(R58+S58+T58)*'1.0-Contractblad'!$L$41</f>
        <v>0</v>
      </c>
      <c r="AA58" s="335">
        <f ca="1">VLOOKUP(E58,'1.1a-Jaarprijzen'!$B$51:$Q$88,16,FALSE)*K58</f>
        <v>0</v>
      </c>
      <c r="AC58" s="542">
        <f t="shared" si="25"/>
        <v>5253</v>
      </c>
      <c r="AD58" s="542" t="str">
        <f t="shared" si="26"/>
        <v>4255-510</v>
      </c>
    </row>
    <row r="59" spans="2:30" s="542" customFormat="1" ht="17.100000000000001" customHeight="1">
      <c r="B59" s="361"/>
      <c r="C59" s="362" t="s">
        <v>246</v>
      </c>
      <c r="D59" s="326">
        <f ca="1">VLOOKUP(E59,'1.1a-Jaarprijzen'!B:G,6,FALSE)</f>
        <v>1</v>
      </c>
      <c r="E59" s="325" t="s">
        <v>40</v>
      </c>
      <c r="F59" s="326">
        <v>3</v>
      </c>
      <c r="G59" s="327" t="s">
        <v>277</v>
      </c>
      <c r="H59" s="325" t="s">
        <v>273</v>
      </c>
      <c r="I59" s="328" t="str">
        <f t="shared" si="28"/>
        <v>sanitaire ruimte</v>
      </c>
      <c r="J59" s="326" t="s">
        <v>235</v>
      </c>
      <c r="K59" s="329">
        <v>18.2</v>
      </c>
      <c r="L59" s="329"/>
      <c r="M59" s="330">
        <v>4255</v>
      </c>
      <c r="N59" s="330">
        <v>4510</v>
      </c>
      <c r="O59" s="331">
        <f t="shared" si="20"/>
        <v>510</v>
      </c>
      <c r="P59" s="528">
        <v>1</v>
      </c>
      <c r="Q59" s="528">
        <v>1</v>
      </c>
      <c r="R59" s="323">
        <f t="shared" si="21"/>
        <v>0</v>
      </c>
      <c r="S59" s="323">
        <f t="shared" si="22"/>
        <v>0</v>
      </c>
      <c r="T59" s="323">
        <f t="shared" si="23"/>
        <v>0</v>
      </c>
      <c r="U59" s="323">
        <f t="shared" si="17"/>
        <v>0</v>
      </c>
      <c r="V59" s="323">
        <f t="shared" si="14"/>
        <v>0</v>
      </c>
      <c r="W59" s="323">
        <f t="shared" si="18"/>
        <v>0</v>
      </c>
      <c r="X59" s="333" t="str">
        <f t="shared" si="24"/>
        <v>S</v>
      </c>
      <c r="Y59" s="334"/>
      <c r="Z59" s="335">
        <f>(R59+S59+T59)*'1.0-Contractblad'!$L$41</f>
        <v>0</v>
      </c>
      <c r="AA59" s="335">
        <f ca="1">VLOOKUP(E59,'1.1a-Jaarprijzen'!$B$51:$Q$88,16,FALSE)*K59</f>
        <v>0</v>
      </c>
      <c r="AC59" s="542">
        <f t="shared" si="25"/>
        <v>9282</v>
      </c>
      <c r="AD59" s="542" t="str">
        <f t="shared" si="26"/>
        <v>4255-510</v>
      </c>
    </row>
    <row r="60" spans="2:30" s="542" customFormat="1" ht="17.100000000000001" customHeight="1">
      <c r="B60" s="361"/>
      <c r="C60" s="362" t="s">
        <v>246</v>
      </c>
      <c r="D60" s="326">
        <f ca="1">VLOOKUP(E60,'1.1a-Jaarprijzen'!B:G,6,FALSE)</f>
        <v>1</v>
      </c>
      <c r="E60" s="325" t="s">
        <v>40</v>
      </c>
      <c r="F60" s="326">
        <v>5</v>
      </c>
      <c r="G60" s="327" t="s">
        <v>278</v>
      </c>
      <c r="H60" s="325" t="s">
        <v>273</v>
      </c>
      <c r="I60" s="328" t="str">
        <f t="shared" si="28"/>
        <v>sanitaire ruimte</v>
      </c>
      <c r="J60" s="326" t="s">
        <v>279</v>
      </c>
      <c r="K60" s="329">
        <v>5.2</v>
      </c>
      <c r="L60" s="329"/>
      <c r="M60" s="330">
        <v>4255</v>
      </c>
      <c r="N60" s="330">
        <v>4510</v>
      </c>
      <c r="O60" s="331">
        <f t="shared" ref="O60" si="29">VLOOKUP(M60,Kengetal,3,FALSE)+VLOOKUP(N60,Kengetal,3,FALSE)</f>
        <v>510</v>
      </c>
      <c r="P60" s="528">
        <v>1</v>
      </c>
      <c r="Q60" s="528">
        <v>1</v>
      </c>
      <c r="R60" s="323">
        <f t="shared" ref="R60" si="30">U60*K60*P60</f>
        <v>0</v>
      </c>
      <c r="S60" s="323">
        <f t="shared" ref="S60" si="31">V60*K60*Q60</f>
        <v>0</v>
      </c>
      <c r="T60" s="323">
        <f t="shared" ref="T60" si="32">W60*K60</f>
        <v>0</v>
      </c>
      <c r="U60" s="323">
        <f t="shared" si="17"/>
        <v>0</v>
      </c>
      <c r="V60" s="323">
        <f t="shared" si="14"/>
        <v>0</v>
      </c>
      <c r="W60" s="323">
        <f t="shared" si="18"/>
        <v>0</v>
      </c>
      <c r="X60" s="333" t="str">
        <f t="shared" ref="X60" si="33">IF(M60="","",VLOOKUP(M60,Kengetal,13,FALSE))</f>
        <v>S</v>
      </c>
      <c r="Y60" s="334"/>
      <c r="Z60" s="335">
        <f>(R60+S60+T60)*'1.0-Contractblad'!$L$41</f>
        <v>0</v>
      </c>
      <c r="AA60" s="335">
        <f ca="1">VLOOKUP(E60,'1.1a-Jaarprijzen'!$B$51:$Q$88,16,FALSE)*K60</f>
        <v>0</v>
      </c>
      <c r="AC60" s="542">
        <f t="shared" ref="AC60" si="34">K60*O60</f>
        <v>2652</v>
      </c>
      <c r="AD60" s="542" t="str">
        <f t="shared" ref="AD60" si="35">CONCATENATE(M60,"-",O60)</f>
        <v>4255-510</v>
      </c>
    </row>
    <row r="61" spans="2:30" s="542" customFormat="1" ht="17.100000000000001" customHeight="1">
      <c r="B61" s="361"/>
      <c r="C61" s="362" t="s">
        <v>246</v>
      </c>
      <c r="D61" s="326">
        <f ca="1">VLOOKUP(E61,'1.1a-Jaarprijzen'!B:G,6,FALSE)</f>
        <v>1</v>
      </c>
      <c r="E61" s="325" t="s">
        <v>40</v>
      </c>
      <c r="F61" s="326">
        <v>5</v>
      </c>
      <c r="G61" s="327" t="s">
        <v>280</v>
      </c>
      <c r="H61" s="325" t="s">
        <v>273</v>
      </c>
      <c r="I61" s="328" t="str">
        <f t="shared" si="28"/>
        <v>sanitaire ruimte</v>
      </c>
      <c r="J61" s="326" t="s">
        <v>279</v>
      </c>
      <c r="K61" s="329">
        <v>5.2</v>
      </c>
      <c r="L61" s="329"/>
      <c r="M61" s="330">
        <v>4255</v>
      </c>
      <c r="N61" s="330">
        <v>4510</v>
      </c>
      <c r="O61" s="331">
        <f t="shared" si="20"/>
        <v>510</v>
      </c>
      <c r="P61" s="528">
        <v>1</v>
      </c>
      <c r="Q61" s="528">
        <v>1</v>
      </c>
      <c r="R61" s="323">
        <f t="shared" si="21"/>
        <v>0</v>
      </c>
      <c r="S61" s="323">
        <f t="shared" si="22"/>
        <v>0</v>
      </c>
      <c r="T61" s="323">
        <f t="shared" si="23"/>
        <v>0</v>
      </c>
      <c r="U61" s="323">
        <f t="shared" si="17"/>
        <v>0</v>
      </c>
      <c r="V61" s="323">
        <f t="shared" si="14"/>
        <v>0</v>
      </c>
      <c r="W61" s="323">
        <f t="shared" si="18"/>
        <v>0</v>
      </c>
      <c r="X61" s="333" t="str">
        <f t="shared" si="24"/>
        <v>S</v>
      </c>
      <c r="Y61" s="334"/>
      <c r="Z61" s="335">
        <f>(R61+S61+T61)*'1.0-Contractblad'!$L$41</f>
        <v>0</v>
      </c>
      <c r="AA61" s="335">
        <f ca="1">VLOOKUP(E61,'1.1a-Jaarprijzen'!$B$51:$Q$88,16,FALSE)*K61</f>
        <v>0</v>
      </c>
      <c r="AC61" s="542">
        <f t="shared" si="25"/>
        <v>2652</v>
      </c>
      <c r="AD61" s="542" t="str">
        <f t="shared" si="26"/>
        <v>4255-510</v>
      </c>
    </row>
    <row r="62" spans="2:30" s="542" customFormat="1" ht="17.100000000000001" customHeight="1">
      <c r="B62" s="361"/>
      <c r="C62" s="362"/>
      <c r="D62" s="326">
        <f ca="1">VLOOKUP(E62,'1.1a-Jaarprijzen'!B:G,6,FALSE)</f>
        <v>1</v>
      </c>
      <c r="E62" s="325" t="s">
        <v>40</v>
      </c>
      <c r="F62" s="326">
        <v>5</v>
      </c>
      <c r="G62" s="327" t="s">
        <v>281</v>
      </c>
      <c r="H62" s="325" t="s">
        <v>269</v>
      </c>
      <c r="I62" s="328" t="str">
        <f t="shared" si="28"/>
        <v>entree, gang en hal</v>
      </c>
      <c r="J62" s="326" t="s">
        <v>279</v>
      </c>
      <c r="K62" s="329">
        <v>75.954939800000005</v>
      </c>
      <c r="L62" s="329"/>
      <c r="M62" s="330">
        <v>3255</v>
      </c>
      <c r="N62" s="330"/>
      <c r="O62" s="331">
        <f t="shared" si="20"/>
        <v>255</v>
      </c>
      <c r="P62" s="528">
        <v>1</v>
      </c>
      <c r="Q62" s="528">
        <v>1</v>
      </c>
      <c r="R62" s="323">
        <f t="shared" si="21"/>
        <v>0</v>
      </c>
      <c r="S62" s="323">
        <f t="shared" si="22"/>
        <v>0</v>
      </c>
      <c r="T62" s="323">
        <f t="shared" si="23"/>
        <v>0</v>
      </c>
      <c r="U62" s="323">
        <f t="shared" si="17"/>
        <v>0</v>
      </c>
      <c r="V62" s="323">
        <f t="shared" si="14"/>
        <v>0</v>
      </c>
      <c r="W62" s="323">
        <f t="shared" si="18"/>
        <v>0</v>
      </c>
      <c r="X62" s="333" t="str">
        <f t="shared" si="24"/>
        <v>V</v>
      </c>
      <c r="Y62" s="334"/>
      <c r="Z62" s="335">
        <f>(R62+S62+T62)*'1.0-Contractblad'!$L$41</f>
        <v>0</v>
      </c>
      <c r="AA62" s="335">
        <f ca="1">VLOOKUP(E62,'1.1a-Jaarprijzen'!$B$51:$Q$88,16,FALSE)*K62</f>
        <v>0</v>
      </c>
      <c r="AC62" s="542">
        <f t="shared" si="25"/>
        <v>19368.509649</v>
      </c>
      <c r="AD62" s="542" t="str">
        <f t="shared" si="26"/>
        <v>3255-255</v>
      </c>
    </row>
    <row r="63" spans="2:30" s="542" customFormat="1" ht="17.100000000000001" customHeight="1">
      <c r="B63" s="361" t="s">
        <v>223</v>
      </c>
      <c r="C63" s="362" t="s">
        <v>246</v>
      </c>
      <c r="D63" s="326">
        <f ca="1">VLOOKUP(E63,'1.1a-Jaarprijzen'!B:G,6,FALSE)</f>
        <v>1</v>
      </c>
      <c r="E63" s="325" t="s">
        <v>40</v>
      </c>
      <c r="F63" s="326">
        <v>5</v>
      </c>
      <c r="G63" s="327" t="s">
        <v>282</v>
      </c>
      <c r="H63" s="325" t="s">
        <v>283</v>
      </c>
      <c r="I63" s="328" t="str">
        <f t="shared" si="28"/>
        <v>pantry, keuken</v>
      </c>
      <c r="J63" s="326" t="s">
        <v>279</v>
      </c>
      <c r="K63" s="329">
        <v>24.476047999999999</v>
      </c>
      <c r="L63" s="329"/>
      <c r="M63" s="330">
        <v>5255</v>
      </c>
      <c r="N63" s="330">
        <v>5510</v>
      </c>
      <c r="O63" s="331">
        <f t="shared" ref="O63:O64" si="36">VLOOKUP(M63,Kengetal,3,FALSE)+VLOOKUP(N63,Kengetal,3,FALSE)</f>
        <v>510</v>
      </c>
      <c r="P63" s="528">
        <v>1</v>
      </c>
      <c r="Q63" s="528">
        <v>1</v>
      </c>
      <c r="R63" s="323">
        <f t="shared" ref="R63:R64" si="37">U63*K63*P63</f>
        <v>0</v>
      </c>
      <c r="S63" s="323">
        <f t="shared" ref="S63:S64" si="38">V63*K63*Q63</f>
        <v>0</v>
      </c>
      <c r="T63" s="323">
        <f t="shared" ref="T63:T64" si="39">W63*K63</f>
        <v>0</v>
      </c>
      <c r="U63" s="323">
        <f t="shared" si="17"/>
        <v>0</v>
      </c>
      <c r="V63" s="323">
        <f t="shared" si="14"/>
        <v>0</v>
      </c>
      <c r="W63" s="323">
        <f t="shared" si="18"/>
        <v>0</v>
      </c>
      <c r="X63" s="333" t="str">
        <f t="shared" ref="X63:X64" si="40">IF(M63="","",VLOOKUP(M63,Kengetal,13,FALSE))</f>
        <v>V</v>
      </c>
      <c r="Y63" s="695"/>
      <c r="Z63" s="335">
        <f>(R63+S63+T63)*'1.0-Contractblad'!$L$41</f>
        <v>0</v>
      </c>
      <c r="AA63" s="335">
        <f ca="1">VLOOKUP(E63,'1.1a-Jaarprijzen'!$B$51:$Q$88,16,FALSE)*K63</f>
        <v>0</v>
      </c>
    </row>
    <row r="64" spans="2:30" s="542" customFormat="1" ht="17.100000000000001" customHeight="1">
      <c r="B64" s="361"/>
      <c r="C64" s="362"/>
      <c r="D64" s="326">
        <f ca="1">VLOOKUP(E64,'1.1a-Jaarprijzen'!B:G,6,FALSE)</f>
        <v>1</v>
      </c>
      <c r="E64" s="325" t="s">
        <v>40</v>
      </c>
      <c r="F64" s="326">
        <v>5</v>
      </c>
      <c r="G64" s="327" t="s">
        <v>284</v>
      </c>
      <c r="H64" s="325" t="s">
        <v>285</v>
      </c>
      <c r="I64" s="328" t="str">
        <f t="shared" si="28"/>
        <v>niet van toepassing</v>
      </c>
      <c r="J64" s="326" t="s">
        <v>154</v>
      </c>
      <c r="K64" s="329"/>
      <c r="L64" s="329"/>
      <c r="M64" s="330" t="s">
        <v>154</v>
      </c>
      <c r="N64" s="330"/>
      <c r="O64" s="331">
        <f t="shared" si="36"/>
        <v>0</v>
      </c>
      <c r="P64" s="528">
        <v>1</v>
      </c>
      <c r="Q64" s="528">
        <v>1</v>
      </c>
      <c r="R64" s="323">
        <f t="shared" si="37"/>
        <v>0</v>
      </c>
      <c r="S64" s="323">
        <f t="shared" si="38"/>
        <v>0</v>
      </c>
      <c r="T64" s="323">
        <f t="shared" si="39"/>
        <v>0</v>
      </c>
      <c r="U64" s="323">
        <f t="shared" si="17"/>
        <v>0</v>
      </c>
      <c r="V64" s="323">
        <f t="shared" si="14"/>
        <v>0</v>
      </c>
      <c r="W64" s="323">
        <f t="shared" si="18"/>
        <v>0</v>
      </c>
      <c r="X64" s="333">
        <f t="shared" si="40"/>
        <v>0</v>
      </c>
      <c r="Y64" s="334"/>
      <c r="Z64" s="335">
        <f>(R64+S64+T64)*'1.0-Contractblad'!$L$41</f>
        <v>0</v>
      </c>
      <c r="AA64" s="335">
        <f ca="1">VLOOKUP(E64,'1.1a-Jaarprijzen'!$B$51:$Q$88,16,FALSE)*K64</f>
        <v>0</v>
      </c>
      <c r="AC64" s="542">
        <f t="shared" si="25"/>
        <v>0</v>
      </c>
      <c r="AD64" s="542" t="str">
        <f t="shared" si="26"/>
        <v>nvt-0</v>
      </c>
    </row>
    <row r="65" spans="2:30" s="542" customFormat="1" ht="17.100000000000001" customHeight="1">
      <c r="B65" s="361"/>
      <c r="C65" s="362"/>
      <c r="D65" s="326">
        <f ca="1">VLOOKUP(E65,'1.1a-Jaarprijzen'!B:G,6,FALSE)</f>
        <v>1</v>
      </c>
      <c r="E65" s="325" t="s">
        <v>40</v>
      </c>
      <c r="F65" s="326">
        <v>5</v>
      </c>
      <c r="G65" s="327" t="s">
        <v>286</v>
      </c>
      <c r="H65" s="325" t="s">
        <v>287</v>
      </c>
      <c r="I65" s="328" t="str">
        <f t="shared" si="28"/>
        <v>niet van toepassing</v>
      </c>
      <c r="J65" s="326" t="s">
        <v>154</v>
      </c>
      <c r="K65" s="329"/>
      <c r="L65" s="329"/>
      <c r="M65" s="330" t="s">
        <v>154</v>
      </c>
      <c r="N65" s="330"/>
      <c r="O65" s="331">
        <f t="shared" si="20"/>
        <v>0</v>
      </c>
      <c r="P65" s="528">
        <v>1</v>
      </c>
      <c r="Q65" s="528">
        <v>1</v>
      </c>
      <c r="R65" s="323">
        <f t="shared" si="21"/>
        <v>0</v>
      </c>
      <c r="S65" s="323">
        <f t="shared" si="22"/>
        <v>0</v>
      </c>
      <c r="T65" s="323">
        <f t="shared" si="23"/>
        <v>0</v>
      </c>
      <c r="U65" s="323">
        <f t="shared" si="17"/>
        <v>0</v>
      </c>
      <c r="V65" s="323">
        <f t="shared" si="14"/>
        <v>0</v>
      </c>
      <c r="W65" s="323">
        <f t="shared" si="18"/>
        <v>0</v>
      </c>
      <c r="X65" s="333">
        <f t="shared" si="24"/>
        <v>0</v>
      </c>
      <c r="Y65" s="334"/>
      <c r="Z65" s="335">
        <f>(R65+S65+T65)*'1.0-Contractblad'!$L$41</f>
        <v>0</v>
      </c>
      <c r="AA65" s="335">
        <f ca="1">VLOOKUP(E65,'1.1a-Jaarprijzen'!$B$51:$Q$88,16,FALSE)*K65</f>
        <v>0</v>
      </c>
      <c r="AC65" s="542">
        <f t="shared" si="25"/>
        <v>0</v>
      </c>
      <c r="AD65" s="542" t="str">
        <f t="shared" si="26"/>
        <v>nvt-0</v>
      </c>
    </row>
    <row r="66" spans="2:30" s="542" customFormat="1" ht="17.100000000000001" customHeight="1">
      <c r="B66" s="361"/>
      <c r="C66" s="362"/>
      <c r="D66" s="326">
        <f ca="1">VLOOKUP(E66,'1.1a-Jaarprijzen'!B:G,6,FALSE)</f>
        <v>1</v>
      </c>
      <c r="E66" s="325" t="s">
        <v>40</v>
      </c>
      <c r="F66" s="326">
        <v>5</v>
      </c>
      <c r="G66" s="327" t="s">
        <v>288</v>
      </c>
      <c r="H66" s="325" t="s">
        <v>289</v>
      </c>
      <c r="I66" s="328" t="str">
        <f t="shared" si="28"/>
        <v>administratieve - en vergaderruimte</v>
      </c>
      <c r="J66" s="326" t="s">
        <v>209</v>
      </c>
      <c r="K66" s="329">
        <v>49.062832</v>
      </c>
      <c r="L66" s="329"/>
      <c r="M66" s="330">
        <v>1255</v>
      </c>
      <c r="N66" s="330"/>
      <c r="O66" s="331">
        <f t="shared" si="20"/>
        <v>255</v>
      </c>
      <c r="P66" s="528">
        <v>1</v>
      </c>
      <c r="Q66" s="528">
        <v>1</v>
      </c>
      <c r="R66" s="323">
        <f t="shared" si="21"/>
        <v>0</v>
      </c>
      <c r="S66" s="323">
        <f t="shared" si="22"/>
        <v>0</v>
      </c>
      <c r="T66" s="323">
        <f t="shared" si="23"/>
        <v>0</v>
      </c>
      <c r="U66" s="323">
        <f t="shared" si="17"/>
        <v>0</v>
      </c>
      <c r="V66" s="323">
        <f t="shared" si="14"/>
        <v>0</v>
      </c>
      <c r="W66" s="323">
        <f t="shared" si="18"/>
        <v>0</v>
      </c>
      <c r="X66" s="333" t="str">
        <f t="shared" si="24"/>
        <v>B</v>
      </c>
      <c r="Y66" s="334"/>
      <c r="Z66" s="335">
        <f>(R66+S66+T66)*'1.0-Contractblad'!$L$41</f>
        <v>0</v>
      </c>
      <c r="AA66" s="335">
        <f ca="1">VLOOKUP(E66,'1.1a-Jaarprijzen'!$B$51:$Q$88,16,FALSE)*K66</f>
        <v>0</v>
      </c>
      <c r="AC66" s="542">
        <f t="shared" si="25"/>
        <v>12511.02216</v>
      </c>
      <c r="AD66" s="542" t="str">
        <f t="shared" si="26"/>
        <v>1255-255</v>
      </c>
    </row>
    <row r="67" spans="2:30" s="542" customFormat="1" ht="17.100000000000001" customHeight="1">
      <c r="B67" s="361"/>
      <c r="C67" s="362"/>
      <c r="D67" s="326">
        <f ca="1">VLOOKUP(E67,'1.1a-Jaarprijzen'!B:G,6,FALSE)</f>
        <v>1</v>
      </c>
      <c r="E67" s="325" t="s">
        <v>40</v>
      </c>
      <c r="F67" s="326">
        <v>5</v>
      </c>
      <c r="G67" s="327" t="s">
        <v>290</v>
      </c>
      <c r="H67" s="325" t="s">
        <v>291</v>
      </c>
      <c r="I67" s="328" t="str">
        <f t="shared" si="28"/>
        <v>administratieve - en vergaderruimte</v>
      </c>
      <c r="J67" s="326" t="s">
        <v>209</v>
      </c>
      <c r="K67" s="329">
        <v>49.062832</v>
      </c>
      <c r="L67" s="329"/>
      <c r="M67" s="330">
        <v>1255</v>
      </c>
      <c r="N67" s="330"/>
      <c r="O67" s="331">
        <f t="shared" si="20"/>
        <v>255</v>
      </c>
      <c r="P67" s="528">
        <v>1</v>
      </c>
      <c r="Q67" s="528">
        <v>1</v>
      </c>
      <c r="R67" s="323">
        <f t="shared" si="21"/>
        <v>0</v>
      </c>
      <c r="S67" s="323">
        <f t="shared" si="22"/>
        <v>0</v>
      </c>
      <c r="T67" s="323">
        <f t="shared" si="23"/>
        <v>0</v>
      </c>
      <c r="U67" s="323">
        <f t="shared" si="17"/>
        <v>0</v>
      </c>
      <c r="V67" s="323">
        <f t="shared" si="14"/>
        <v>0</v>
      </c>
      <c r="W67" s="323">
        <f t="shared" si="18"/>
        <v>0</v>
      </c>
      <c r="X67" s="333" t="str">
        <f t="shared" si="24"/>
        <v>B</v>
      </c>
      <c r="Y67" s="334"/>
      <c r="Z67" s="335">
        <f>(R67+S67+T67)*'1.0-Contractblad'!$L$41</f>
        <v>0</v>
      </c>
      <c r="AA67" s="335">
        <f ca="1">VLOOKUP(E67,'1.1a-Jaarprijzen'!$B$51:$Q$88,16,FALSE)*K67</f>
        <v>0</v>
      </c>
      <c r="AC67" s="542">
        <f t="shared" si="25"/>
        <v>12511.02216</v>
      </c>
      <c r="AD67" s="542" t="str">
        <f t="shared" si="26"/>
        <v>1255-255</v>
      </c>
    </row>
    <row r="68" spans="2:30" s="542" customFormat="1" ht="17.100000000000001" customHeight="1">
      <c r="B68" s="361"/>
      <c r="C68" s="362"/>
      <c r="D68" s="326">
        <f ca="1">VLOOKUP(E68,'1.1a-Jaarprijzen'!B:G,6,FALSE)</f>
        <v>1</v>
      </c>
      <c r="E68" s="325" t="s">
        <v>40</v>
      </c>
      <c r="F68" s="326">
        <v>5</v>
      </c>
      <c r="G68" s="327" t="s">
        <v>292</v>
      </c>
      <c r="H68" s="325" t="s">
        <v>293</v>
      </c>
      <c r="I68" s="328" t="str">
        <f t="shared" si="28"/>
        <v>administratieve - en vergaderruimte</v>
      </c>
      <c r="J68" s="326" t="s">
        <v>209</v>
      </c>
      <c r="K68" s="329">
        <v>24.5</v>
      </c>
      <c r="L68" s="329"/>
      <c r="M68" s="330">
        <v>1255</v>
      </c>
      <c r="N68" s="330"/>
      <c r="O68" s="331">
        <f t="shared" si="20"/>
        <v>255</v>
      </c>
      <c r="P68" s="528">
        <v>1</v>
      </c>
      <c r="Q68" s="528">
        <v>1</v>
      </c>
      <c r="R68" s="323">
        <f t="shared" si="21"/>
        <v>0</v>
      </c>
      <c r="S68" s="323">
        <f t="shared" si="22"/>
        <v>0</v>
      </c>
      <c r="T68" s="323">
        <f t="shared" si="23"/>
        <v>0</v>
      </c>
      <c r="U68" s="323">
        <f t="shared" si="17"/>
        <v>0</v>
      </c>
      <c r="V68" s="323">
        <f t="shared" si="14"/>
        <v>0</v>
      </c>
      <c r="W68" s="323">
        <f t="shared" si="18"/>
        <v>0</v>
      </c>
      <c r="X68" s="333" t="str">
        <f t="shared" si="24"/>
        <v>B</v>
      </c>
      <c r="Y68" s="334"/>
      <c r="Z68" s="335">
        <f>(R68+S68+T68)*'1.0-Contractblad'!$L$41</f>
        <v>0</v>
      </c>
      <c r="AA68" s="335">
        <f ca="1">VLOOKUP(E68,'1.1a-Jaarprijzen'!$B$51:$Q$88,16,FALSE)*K68</f>
        <v>0</v>
      </c>
      <c r="AC68" s="542">
        <f t="shared" si="25"/>
        <v>6247.5</v>
      </c>
      <c r="AD68" s="542" t="str">
        <f t="shared" si="26"/>
        <v>1255-255</v>
      </c>
    </row>
    <row r="69" spans="2:30" s="542" customFormat="1" ht="17.100000000000001" customHeight="1">
      <c r="B69" s="361"/>
      <c r="C69" s="362"/>
      <c r="D69" s="326">
        <f ca="1">VLOOKUP(E69,'1.1a-Jaarprijzen'!B:G,6,FALSE)</f>
        <v>1</v>
      </c>
      <c r="E69" s="325" t="s">
        <v>40</v>
      </c>
      <c r="F69" s="326">
        <v>5</v>
      </c>
      <c r="G69" s="327" t="s">
        <v>294</v>
      </c>
      <c r="H69" s="325" t="s">
        <v>293</v>
      </c>
      <c r="I69" s="328" t="str">
        <f t="shared" si="28"/>
        <v>administratieve - en vergaderruimte</v>
      </c>
      <c r="J69" s="326" t="s">
        <v>209</v>
      </c>
      <c r="K69" s="329">
        <v>24.5</v>
      </c>
      <c r="L69" s="329"/>
      <c r="M69" s="330">
        <v>1255</v>
      </c>
      <c r="N69" s="330"/>
      <c r="O69" s="331">
        <f t="shared" si="20"/>
        <v>255</v>
      </c>
      <c r="P69" s="528">
        <v>1</v>
      </c>
      <c r="Q69" s="528">
        <v>1</v>
      </c>
      <c r="R69" s="323">
        <f t="shared" si="21"/>
        <v>0</v>
      </c>
      <c r="S69" s="323">
        <f t="shared" si="22"/>
        <v>0</v>
      </c>
      <c r="T69" s="323">
        <f t="shared" si="23"/>
        <v>0</v>
      </c>
      <c r="U69" s="323">
        <f t="shared" si="17"/>
        <v>0</v>
      </c>
      <c r="V69" s="323">
        <f t="shared" si="14"/>
        <v>0</v>
      </c>
      <c r="W69" s="323">
        <f t="shared" si="18"/>
        <v>0</v>
      </c>
      <c r="X69" s="333" t="str">
        <f t="shared" si="24"/>
        <v>B</v>
      </c>
      <c r="Y69" s="334"/>
      <c r="Z69" s="335">
        <f>(R69+S69+T69)*'1.0-Contractblad'!$L$41</f>
        <v>0</v>
      </c>
      <c r="AA69" s="335">
        <f ca="1">VLOOKUP(E69,'1.1a-Jaarprijzen'!$B$51:$Q$88,16,FALSE)*K69</f>
        <v>0</v>
      </c>
      <c r="AC69" s="542">
        <f t="shared" si="25"/>
        <v>6247.5</v>
      </c>
      <c r="AD69" s="542" t="str">
        <f t="shared" si="26"/>
        <v>1255-255</v>
      </c>
    </row>
    <row r="70" spans="2:30" s="542" customFormat="1" ht="17.100000000000001" customHeight="1">
      <c r="B70" s="361"/>
      <c r="C70" s="362"/>
      <c r="D70" s="326">
        <f ca="1">VLOOKUP(E70,'1.1a-Jaarprijzen'!B:G,6,FALSE)</f>
        <v>1</v>
      </c>
      <c r="E70" s="325" t="s">
        <v>40</v>
      </c>
      <c r="F70" s="326">
        <v>5</v>
      </c>
      <c r="G70" s="327" t="s">
        <v>295</v>
      </c>
      <c r="H70" s="325" t="s">
        <v>296</v>
      </c>
      <c r="I70" s="328" t="str">
        <f t="shared" si="28"/>
        <v>administratieve - en vergaderruimte</v>
      </c>
      <c r="J70" s="326" t="s">
        <v>209</v>
      </c>
      <c r="K70" s="329">
        <v>12.3</v>
      </c>
      <c r="L70" s="329"/>
      <c r="M70" s="330">
        <v>1255</v>
      </c>
      <c r="N70" s="330"/>
      <c r="O70" s="331">
        <f t="shared" si="20"/>
        <v>255</v>
      </c>
      <c r="P70" s="528">
        <v>1</v>
      </c>
      <c r="Q70" s="528">
        <v>1</v>
      </c>
      <c r="R70" s="323">
        <f t="shared" si="21"/>
        <v>0</v>
      </c>
      <c r="S70" s="323">
        <f t="shared" si="22"/>
        <v>0</v>
      </c>
      <c r="T70" s="323">
        <f t="shared" si="23"/>
        <v>0</v>
      </c>
      <c r="U70" s="323">
        <f t="shared" si="17"/>
        <v>0</v>
      </c>
      <c r="V70" s="323">
        <f t="shared" si="14"/>
        <v>0</v>
      </c>
      <c r="W70" s="323">
        <f t="shared" si="18"/>
        <v>0</v>
      </c>
      <c r="X70" s="333" t="str">
        <f t="shared" si="24"/>
        <v>B</v>
      </c>
      <c r="Y70" s="334"/>
      <c r="Z70" s="335">
        <f>(R70+S70+T70)*'1.0-Contractblad'!$L$41</f>
        <v>0</v>
      </c>
      <c r="AA70" s="335">
        <f ca="1">VLOOKUP(E70,'1.1a-Jaarprijzen'!$B$51:$Q$88,16,FALSE)*K70</f>
        <v>0</v>
      </c>
      <c r="AC70" s="542">
        <f t="shared" si="25"/>
        <v>3136.5</v>
      </c>
      <c r="AD70" s="542" t="str">
        <f t="shared" si="26"/>
        <v>1255-255</v>
      </c>
    </row>
    <row r="71" spans="2:30" s="542" customFormat="1" ht="17.100000000000001" customHeight="1">
      <c r="B71" s="361"/>
      <c r="C71" s="362"/>
      <c r="D71" s="326">
        <f ca="1">VLOOKUP(E71,'1.1a-Jaarprijzen'!B:G,6,FALSE)</f>
        <v>1</v>
      </c>
      <c r="E71" s="325" t="s">
        <v>40</v>
      </c>
      <c r="F71" s="326">
        <v>5</v>
      </c>
      <c r="G71" s="327" t="s">
        <v>297</v>
      </c>
      <c r="H71" s="325" t="s">
        <v>296</v>
      </c>
      <c r="I71" s="328" t="str">
        <f t="shared" si="28"/>
        <v>administratieve - en vergaderruimte</v>
      </c>
      <c r="J71" s="326" t="s">
        <v>209</v>
      </c>
      <c r="K71" s="329">
        <v>12.3</v>
      </c>
      <c r="L71" s="329"/>
      <c r="M71" s="330">
        <v>1255</v>
      </c>
      <c r="N71" s="330"/>
      <c r="O71" s="331">
        <f t="shared" si="20"/>
        <v>255</v>
      </c>
      <c r="P71" s="528">
        <v>1</v>
      </c>
      <c r="Q71" s="528">
        <v>1</v>
      </c>
      <c r="R71" s="323">
        <f t="shared" si="21"/>
        <v>0</v>
      </c>
      <c r="S71" s="323">
        <f t="shared" si="22"/>
        <v>0</v>
      </c>
      <c r="T71" s="323">
        <f t="shared" si="23"/>
        <v>0</v>
      </c>
      <c r="U71" s="323">
        <f t="shared" si="17"/>
        <v>0</v>
      </c>
      <c r="V71" s="323">
        <f t="shared" si="14"/>
        <v>0</v>
      </c>
      <c r="W71" s="323">
        <f t="shared" si="18"/>
        <v>0</v>
      </c>
      <c r="X71" s="333" t="str">
        <f t="shared" si="24"/>
        <v>B</v>
      </c>
      <c r="Y71" s="334"/>
      <c r="Z71" s="335">
        <f>(R71+S71+T71)*'1.0-Contractblad'!$L$41</f>
        <v>0</v>
      </c>
      <c r="AA71" s="335">
        <f ca="1">VLOOKUP(E71,'1.1a-Jaarprijzen'!$B$51:$Q$88,16,FALSE)*K71</f>
        <v>0</v>
      </c>
      <c r="AC71" s="542">
        <f t="shared" si="25"/>
        <v>3136.5</v>
      </c>
      <c r="AD71" s="542" t="str">
        <f t="shared" si="26"/>
        <v>1255-255</v>
      </c>
    </row>
    <row r="72" spans="2:30" s="542" customFormat="1" ht="17.100000000000001" customHeight="1">
      <c r="B72" s="361"/>
      <c r="C72" s="362"/>
      <c r="D72" s="326">
        <f ca="1">VLOOKUP(E72,'1.1a-Jaarprijzen'!B:G,6,FALSE)</f>
        <v>1</v>
      </c>
      <c r="E72" s="325" t="s">
        <v>40</v>
      </c>
      <c r="F72" s="326">
        <v>5</v>
      </c>
      <c r="G72" s="327" t="s">
        <v>298</v>
      </c>
      <c r="H72" s="325" t="s">
        <v>299</v>
      </c>
      <c r="I72" s="328" t="str">
        <f t="shared" si="28"/>
        <v>representatieve ruimte</v>
      </c>
      <c r="J72" s="326" t="s">
        <v>209</v>
      </c>
      <c r="K72" s="329">
        <v>162</v>
      </c>
      <c r="L72" s="329"/>
      <c r="M72" s="330">
        <v>6255</v>
      </c>
      <c r="N72" s="330"/>
      <c r="O72" s="331">
        <f t="shared" si="20"/>
        <v>255</v>
      </c>
      <c r="P72" s="528">
        <v>1</v>
      </c>
      <c r="Q72" s="528">
        <v>1</v>
      </c>
      <c r="R72" s="323">
        <f t="shared" si="21"/>
        <v>0</v>
      </c>
      <c r="S72" s="323"/>
      <c r="T72" s="323">
        <f t="shared" si="23"/>
        <v>0</v>
      </c>
      <c r="U72" s="323">
        <f t="shared" si="17"/>
        <v>0</v>
      </c>
      <c r="V72" s="323" t="e">
        <f t="shared" si="14"/>
        <v>#VALUE!</v>
      </c>
      <c r="W72" s="323">
        <f t="shared" si="18"/>
        <v>0</v>
      </c>
      <c r="X72" s="333" t="str">
        <f t="shared" si="24"/>
        <v>V</v>
      </c>
      <c r="Y72" s="334" t="s">
        <v>300</v>
      </c>
      <c r="Z72" s="335">
        <f>(R72+S72+T72)*'1.0-Contractblad'!$L$41</f>
        <v>0</v>
      </c>
      <c r="AA72" s="335">
        <f ca="1">VLOOKUP(E72,'1.1a-Jaarprijzen'!$B$51:$Q$88,16,FALSE)*K72</f>
        <v>0</v>
      </c>
      <c r="AC72" s="542">
        <f t="shared" si="25"/>
        <v>41310</v>
      </c>
      <c r="AD72" s="542" t="str">
        <f t="shared" si="26"/>
        <v>6255-255</v>
      </c>
    </row>
    <row r="73" spans="2:30" s="542" customFormat="1" ht="17.100000000000001" customHeight="1">
      <c r="B73" s="361"/>
      <c r="C73" s="362"/>
      <c r="D73" s="326">
        <f ca="1">VLOOKUP(E73,'1.1a-Jaarprijzen'!B:G,6,FALSE)</f>
        <v>1</v>
      </c>
      <c r="E73" s="325" t="s">
        <v>40</v>
      </c>
      <c r="F73" s="326">
        <v>5</v>
      </c>
      <c r="G73" s="327" t="s">
        <v>301</v>
      </c>
      <c r="H73" s="325" t="s">
        <v>302</v>
      </c>
      <c r="I73" s="328" t="str">
        <f t="shared" si="28"/>
        <v>administratieve - en vergaderruimte</v>
      </c>
      <c r="J73" s="326" t="s">
        <v>209</v>
      </c>
      <c r="K73" s="329">
        <v>6.1194088999999998</v>
      </c>
      <c r="L73" s="329"/>
      <c r="M73" s="330">
        <v>1255</v>
      </c>
      <c r="N73" s="330"/>
      <c r="O73" s="331">
        <f t="shared" si="20"/>
        <v>255</v>
      </c>
      <c r="P73" s="528">
        <v>1</v>
      </c>
      <c r="Q73" s="528">
        <v>1</v>
      </c>
      <c r="R73" s="323">
        <f t="shared" si="21"/>
        <v>0</v>
      </c>
      <c r="S73" s="323">
        <f t="shared" si="22"/>
        <v>0</v>
      </c>
      <c r="T73" s="323">
        <f t="shared" si="23"/>
        <v>0</v>
      </c>
      <c r="U73" s="323">
        <f t="shared" si="17"/>
        <v>0</v>
      </c>
      <c r="V73" s="323">
        <f t="shared" si="14"/>
        <v>0</v>
      </c>
      <c r="W73" s="323">
        <f t="shared" si="18"/>
        <v>0</v>
      </c>
      <c r="X73" s="333" t="str">
        <f t="shared" si="24"/>
        <v>B</v>
      </c>
      <c r="Y73" s="334"/>
      <c r="Z73" s="335">
        <f>(R73+S73+T73)*'1.0-Contractblad'!$L$41</f>
        <v>0</v>
      </c>
      <c r="AA73" s="335">
        <f ca="1">VLOOKUP(E73,'1.1a-Jaarprijzen'!$B$51:$Q$88,16,FALSE)*K73</f>
        <v>0</v>
      </c>
      <c r="AC73" s="542">
        <f t="shared" si="25"/>
        <v>1560.4492694999999</v>
      </c>
      <c r="AD73" s="542" t="str">
        <f t="shared" si="26"/>
        <v>1255-255</v>
      </c>
    </row>
    <row r="74" spans="2:30" s="542" customFormat="1" ht="17.100000000000001" customHeight="1">
      <c r="B74" s="361"/>
      <c r="C74" s="362"/>
      <c r="D74" s="326">
        <f ca="1">VLOOKUP(E74,'1.1a-Jaarprijzen'!B:G,6,FALSE)</f>
        <v>1</v>
      </c>
      <c r="E74" s="325" t="s">
        <v>40</v>
      </c>
      <c r="F74" s="326">
        <v>5</v>
      </c>
      <c r="G74" s="327" t="s">
        <v>303</v>
      </c>
      <c r="H74" s="325" t="s">
        <v>304</v>
      </c>
      <c r="I74" s="328" t="str">
        <f t="shared" si="28"/>
        <v>entree, gang en hal</v>
      </c>
      <c r="J74" s="326" t="s">
        <v>209</v>
      </c>
      <c r="K74" s="329">
        <v>4.25</v>
      </c>
      <c r="L74" s="329"/>
      <c r="M74" s="330">
        <v>3255</v>
      </c>
      <c r="N74" s="330"/>
      <c r="O74" s="331">
        <f t="shared" si="20"/>
        <v>255</v>
      </c>
      <c r="P74" s="528">
        <v>1</v>
      </c>
      <c r="Q74" s="528">
        <v>1</v>
      </c>
      <c r="R74" s="323">
        <f t="shared" si="21"/>
        <v>0</v>
      </c>
      <c r="S74" s="323">
        <f t="shared" si="22"/>
        <v>0</v>
      </c>
      <c r="T74" s="323">
        <f t="shared" si="23"/>
        <v>0</v>
      </c>
      <c r="U74" s="323">
        <f t="shared" si="17"/>
        <v>0</v>
      </c>
      <c r="V74" s="323">
        <f t="shared" si="14"/>
        <v>0</v>
      </c>
      <c r="W74" s="323">
        <f t="shared" si="18"/>
        <v>0</v>
      </c>
      <c r="X74" s="333" t="str">
        <f t="shared" si="24"/>
        <v>V</v>
      </c>
      <c r="Y74" s="334"/>
      <c r="Z74" s="335">
        <f>(R74+S74+T74)*'1.0-Contractblad'!$L$41</f>
        <v>0</v>
      </c>
      <c r="AA74" s="335">
        <f ca="1">VLOOKUP(E74,'1.1a-Jaarprijzen'!$B$51:$Q$88,16,FALSE)*K74</f>
        <v>0</v>
      </c>
      <c r="AC74" s="542">
        <f t="shared" si="25"/>
        <v>1083.75</v>
      </c>
      <c r="AD74" s="542" t="str">
        <f t="shared" si="26"/>
        <v>3255-255</v>
      </c>
    </row>
    <row r="75" spans="2:30" s="542" customFormat="1" ht="17.100000000000001" customHeight="1">
      <c r="B75" s="361"/>
      <c r="C75" s="362"/>
      <c r="D75" s="326">
        <f ca="1">VLOOKUP(E75,'1.1a-Jaarprijzen'!B:G,6,FALSE)</f>
        <v>1</v>
      </c>
      <c r="E75" s="325" t="s">
        <v>40</v>
      </c>
      <c r="F75" s="326">
        <v>5</v>
      </c>
      <c r="G75" s="327" t="s">
        <v>305</v>
      </c>
      <c r="H75" s="325" t="s">
        <v>306</v>
      </c>
      <c r="I75" s="328" t="str">
        <f t="shared" si="28"/>
        <v>niet van toepassing</v>
      </c>
      <c r="J75" s="326" t="s">
        <v>154</v>
      </c>
      <c r="K75" s="329"/>
      <c r="L75" s="329"/>
      <c r="M75" s="330" t="s">
        <v>154</v>
      </c>
      <c r="N75" s="330"/>
      <c r="O75" s="331">
        <f t="shared" si="20"/>
        <v>0</v>
      </c>
      <c r="P75" s="528">
        <v>1</v>
      </c>
      <c r="Q75" s="528">
        <v>1</v>
      </c>
      <c r="R75" s="323">
        <f t="shared" si="21"/>
        <v>0</v>
      </c>
      <c r="S75" s="323">
        <f t="shared" si="22"/>
        <v>0</v>
      </c>
      <c r="T75" s="323">
        <f t="shared" si="23"/>
        <v>0</v>
      </c>
      <c r="U75" s="323">
        <f t="shared" si="17"/>
        <v>0</v>
      </c>
      <c r="V75" s="323">
        <f t="shared" si="14"/>
        <v>0</v>
      </c>
      <c r="W75" s="323">
        <f t="shared" si="18"/>
        <v>0</v>
      </c>
      <c r="X75" s="333">
        <f t="shared" si="24"/>
        <v>0</v>
      </c>
      <c r="Y75" s="334"/>
      <c r="Z75" s="335">
        <f>(R75+S75+T75)*'1.0-Contractblad'!$L$41</f>
        <v>0</v>
      </c>
      <c r="AA75" s="335">
        <f ca="1">VLOOKUP(E75,'1.1a-Jaarprijzen'!$B$51:$Q$88,16,FALSE)*K75</f>
        <v>0</v>
      </c>
      <c r="AC75" s="542">
        <f t="shared" si="25"/>
        <v>0</v>
      </c>
      <c r="AD75" s="542" t="str">
        <f t="shared" si="26"/>
        <v>nvt-0</v>
      </c>
    </row>
    <row r="76" spans="2:30" s="542" customFormat="1" ht="17.100000000000001" customHeight="1">
      <c r="B76" s="361" t="s">
        <v>223</v>
      </c>
      <c r="C76" s="362"/>
      <c r="D76" s="326">
        <f ca="1">VLOOKUP(E76,'1.1a-Jaarprijzen'!B:G,6,FALSE)</f>
        <v>1</v>
      </c>
      <c r="E76" s="325" t="s">
        <v>40</v>
      </c>
      <c r="F76" s="326">
        <v>5</v>
      </c>
      <c r="G76" s="327" t="s">
        <v>307</v>
      </c>
      <c r="H76" s="325" t="s">
        <v>308</v>
      </c>
      <c r="I76" s="328" t="str">
        <f t="shared" si="28"/>
        <v>administratieve - en vergaderruimte</v>
      </c>
      <c r="J76" s="326" t="s">
        <v>209</v>
      </c>
      <c r="K76" s="329">
        <v>6.1194088999999998</v>
      </c>
      <c r="L76" s="329"/>
      <c r="M76" s="330">
        <v>1255</v>
      </c>
      <c r="N76" s="330"/>
      <c r="O76" s="331">
        <f t="shared" si="20"/>
        <v>255</v>
      </c>
      <c r="P76" s="528">
        <v>1</v>
      </c>
      <c r="Q76" s="528">
        <v>1</v>
      </c>
      <c r="R76" s="323">
        <f t="shared" si="21"/>
        <v>0</v>
      </c>
      <c r="S76" s="323">
        <f t="shared" si="22"/>
        <v>0</v>
      </c>
      <c r="T76" s="323">
        <f t="shared" si="23"/>
        <v>0</v>
      </c>
      <c r="U76" s="323">
        <f t="shared" si="17"/>
        <v>0</v>
      </c>
      <c r="V76" s="323">
        <f t="shared" si="14"/>
        <v>0</v>
      </c>
      <c r="W76" s="323">
        <f t="shared" si="18"/>
        <v>0</v>
      </c>
      <c r="X76" s="333" t="str">
        <f t="shared" si="24"/>
        <v>B</v>
      </c>
      <c r="Y76" s="334"/>
      <c r="Z76" s="335">
        <f>(R76+S76+T76)*'1.0-Contractblad'!$L$41</f>
        <v>0</v>
      </c>
      <c r="AA76" s="335">
        <f ca="1">VLOOKUP(E76,'1.1a-Jaarprijzen'!$B$51:$Q$88,16,FALSE)*K76</f>
        <v>0</v>
      </c>
      <c r="AC76" s="542">
        <f t="shared" si="25"/>
        <v>1560.4492694999999</v>
      </c>
      <c r="AD76" s="542" t="str">
        <f t="shared" si="26"/>
        <v>1255-255</v>
      </c>
    </row>
    <row r="77" spans="2:30" s="542" customFormat="1" ht="17.100000000000001" customHeight="1">
      <c r="B77" s="361" t="s">
        <v>223</v>
      </c>
      <c r="C77" s="362"/>
      <c r="D77" s="326">
        <f ca="1">VLOOKUP(E77,'1.1a-Jaarprijzen'!B:G,6,FALSE)</f>
        <v>1</v>
      </c>
      <c r="E77" s="325" t="s">
        <v>40</v>
      </c>
      <c r="F77" s="326">
        <v>5</v>
      </c>
      <c r="G77" s="327" t="s">
        <v>309</v>
      </c>
      <c r="H77" s="325" t="s">
        <v>310</v>
      </c>
      <c r="I77" s="328" t="str">
        <f t="shared" si="28"/>
        <v>administratieve - en vergaderruimte</v>
      </c>
      <c r="J77" s="326" t="s">
        <v>209</v>
      </c>
      <c r="K77" s="329">
        <v>106.6742619</v>
      </c>
      <c r="L77" s="329"/>
      <c r="M77" s="330">
        <v>1255</v>
      </c>
      <c r="N77" s="330"/>
      <c r="O77" s="331">
        <f t="shared" si="20"/>
        <v>255</v>
      </c>
      <c r="P77" s="528">
        <v>1</v>
      </c>
      <c r="Q77" s="528">
        <v>1</v>
      </c>
      <c r="R77" s="323">
        <f t="shared" si="21"/>
        <v>0</v>
      </c>
      <c r="S77" s="323">
        <f t="shared" si="22"/>
        <v>0</v>
      </c>
      <c r="T77" s="323">
        <f t="shared" si="23"/>
        <v>0</v>
      </c>
      <c r="U77" s="323">
        <f t="shared" si="17"/>
        <v>0</v>
      </c>
      <c r="V77" s="323">
        <f t="shared" si="14"/>
        <v>0</v>
      </c>
      <c r="W77" s="323">
        <f t="shared" si="18"/>
        <v>0</v>
      </c>
      <c r="X77" s="333" t="str">
        <f t="shared" si="24"/>
        <v>B</v>
      </c>
      <c r="Y77" s="334"/>
      <c r="Z77" s="335">
        <f>(R77+S77+T77)*'1.0-Contractblad'!$L$41</f>
        <v>0</v>
      </c>
      <c r="AA77" s="335">
        <f ca="1">VLOOKUP(E77,'1.1a-Jaarprijzen'!$B$51:$Q$88,16,FALSE)*K77</f>
        <v>0</v>
      </c>
      <c r="AC77" s="542">
        <f t="shared" si="25"/>
        <v>27201.936784500002</v>
      </c>
      <c r="AD77" s="542" t="str">
        <f t="shared" si="26"/>
        <v>1255-255</v>
      </c>
    </row>
    <row r="78" spans="2:30" s="542" customFormat="1" ht="17.100000000000001" customHeight="1">
      <c r="B78" s="361"/>
      <c r="C78" s="362"/>
      <c r="D78" s="326">
        <f ca="1">VLOOKUP(E78,'1.1a-Jaarprijzen'!B:G,6,FALSE)</f>
        <v>1</v>
      </c>
      <c r="E78" s="325" t="s">
        <v>40</v>
      </c>
      <c r="F78" s="326">
        <v>5</v>
      </c>
      <c r="G78" s="327" t="s">
        <v>311</v>
      </c>
      <c r="H78" s="325" t="s">
        <v>312</v>
      </c>
      <c r="I78" s="328" t="str">
        <f t="shared" si="28"/>
        <v>administratieve - en vergaderruimte</v>
      </c>
      <c r="J78" s="326" t="s">
        <v>209</v>
      </c>
      <c r="K78" s="329">
        <v>25.863968100000001</v>
      </c>
      <c r="L78" s="329"/>
      <c r="M78" s="330">
        <v>1255</v>
      </c>
      <c r="N78" s="330"/>
      <c r="O78" s="331">
        <f t="shared" ref="O78:O81" si="41">VLOOKUP(M78,Kengetal,3,FALSE)+VLOOKUP(N78,Kengetal,3,FALSE)</f>
        <v>255</v>
      </c>
      <c r="P78" s="528">
        <v>1</v>
      </c>
      <c r="Q78" s="528">
        <v>1</v>
      </c>
      <c r="R78" s="323">
        <f t="shared" ref="R78:R81" si="42">U78*K78*P78</f>
        <v>0</v>
      </c>
      <c r="S78" s="323">
        <f t="shared" ref="S78:S81" si="43">V78*K78*Q78</f>
        <v>0</v>
      </c>
      <c r="T78" s="323">
        <f t="shared" si="23"/>
        <v>0</v>
      </c>
      <c r="U78" s="323">
        <f t="shared" si="17"/>
        <v>0</v>
      </c>
      <c r="V78" s="323">
        <f t="shared" si="14"/>
        <v>0</v>
      </c>
      <c r="W78" s="323">
        <f t="shared" si="18"/>
        <v>0</v>
      </c>
      <c r="X78" s="333" t="str">
        <f t="shared" ref="X78:X81" si="44">IF(M78="","",VLOOKUP(M78,Kengetal,13,FALSE))</f>
        <v>B</v>
      </c>
      <c r="Y78" s="334"/>
      <c r="Z78" s="335">
        <f>(R78+S78+T78)*'1.0-Contractblad'!$L$41</f>
        <v>0</v>
      </c>
      <c r="AA78" s="335">
        <f ca="1">VLOOKUP(E78,'1.1a-Jaarprijzen'!$B$51:$Q$88,16,FALSE)*K78</f>
        <v>0</v>
      </c>
      <c r="AC78" s="542">
        <f t="shared" si="25"/>
        <v>6595.3118654999998</v>
      </c>
      <c r="AD78" s="542" t="str">
        <f t="shared" si="26"/>
        <v>1255-255</v>
      </c>
    </row>
    <row r="79" spans="2:30" s="542" customFormat="1" ht="17.100000000000001" customHeight="1">
      <c r="B79" s="361"/>
      <c r="C79" s="362"/>
      <c r="D79" s="326">
        <f ca="1">VLOOKUP(E79,'1.1a-Jaarprijzen'!B:G,6,FALSE)</f>
        <v>1</v>
      </c>
      <c r="E79" s="325" t="s">
        <v>40</v>
      </c>
      <c r="F79" s="326">
        <v>5</v>
      </c>
      <c r="G79" s="327" t="s">
        <v>313</v>
      </c>
      <c r="H79" s="325" t="s">
        <v>302</v>
      </c>
      <c r="I79" s="328" t="str">
        <f t="shared" si="28"/>
        <v>administratieve - en vergaderruimte</v>
      </c>
      <c r="J79" s="326" t="s">
        <v>209</v>
      </c>
      <c r="K79" s="329">
        <v>6.1194088999999998</v>
      </c>
      <c r="L79" s="329"/>
      <c r="M79" s="330">
        <v>1255</v>
      </c>
      <c r="N79" s="330"/>
      <c r="O79" s="331">
        <f t="shared" si="41"/>
        <v>255</v>
      </c>
      <c r="P79" s="528">
        <v>1</v>
      </c>
      <c r="Q79" s="528">
        <v>1</v>
      </c>
      <c r="R79" s="323">
        <f t="shared" si="42"/>
        <v>0</v>
      </c>
      <c r="S79" s="323">
        <f t="shared" si="43"/>
        <v>0</v>
      </c>
      <c r="T79" s="323">
        <f t="shared" si="23"/>
        <v>0</v>
      </c>
      <c r="U79" s="323">
        <f t="shared" si="17"/>
        <v>0</v>
      </c>
      <c r="V79" s="323">
        <f t="shared" si="14"/>
        <v>0</v>
      </c>
      <c r="W79" s="323">
        <f t="shared" si="18"/>
        <v>0</v>
      </c>
      <c r="X79" s="333" t="str">
        <f t="shared" si="44"/>
        <v>B</v>
      </c>
      <c r="Y79" s="334"/>
      <c r="Z79" s="335">
        <f>(R79+S79+T79)*'1.0-Contractblad'!$L$41</f>
        <v>0</v>
      </c>
      <c r="AA79" s="335">
        <f ca="1">VLOOKUP(E79,'1.1a-Jaarprijzen'!$B$51:$Q$88,16,FALSE)*K79</f>
        <v>0</v>
      </c>
      <c r="AC79" s="542">
        <f t="shared" si="25"/>
        <v>1560.4492694999999</v>
      </c>
      <c r="AD79" s="542" t="str">
        <f t="shared" si="26"/>
        <v>1255-255</v>
      </c>
    </row>
    <row r="80" spans="2:30" s="542" customFormat="1" ht="17.100000000000001" customHeight="1">
      <c r="B80" s="361"/>
      <c r="C80" s="362"/>
      <c r="D80" s="326">
        <f ca="1">VLOOKUP(E80,'1.1a-Jaarprijzen'!B:G,6,FALSE)</f>
        <v>1</v>
      </c>
      <c r="E80" s="325" t="s">
        <v>40</v>
      </c>
      <c r="F80" s="326">
        <v>5</v>
      </c>
      <c r="G80" s="327" t="s">
        <v>314</v>
      </c>
      <c r="H80" s="325" t="s">
        <v>306</v>
      </c>
      <c r="I80" s="328" t="str">
        <f t="shared" si="28"/>
        <v>niet van toepassing</v>
      </c>
      <c r="J80" s="326" t="s">
        <v>154</v>
      </c>
      <c r="K80" s="329"/>
      <c r="L80" s="329"/>
      <c r="M80" s="330" t="s">
        <v>154</v>
      </c>
      <c r="N80" s="330"/>
      <c r="O80" s="331">
        <f t="shared" si="41"/>
        <v>0</v>
      </c>
      <c r="P80" s="528">
        <v>1</v>
      </c>
      <c r="Q80" s="528">
        <v>1</v>
      </c>
      <c r="R80" s="323">
        <f t="shared" si="42"/>
        <v>0</v>
      </c>
      <c r="S80" s="323">
        <f t="shared" si="43"/>
        <v>0</v>
      </c>
      <c r="T80" s="323">
        <f t="shared" si="23"/>
        <v>0</v>
      </c>
      <c r="U80" s="323">
        <f t="shared" si="17"/>
        <v>0</v>
      </c>
      <c r="V80" s="323">
        <f t="shared" si="14"/>
        <v>0</v>
      </c>
      <c r="W80" s="323">
        <f t="shared" si="18"/>
        <v>0</v>
      </c>
      <c r="X80" s="333">
        <f t="shared" si="44"/>
        <v>0</v>
      </c>
      <c r="Y80" s="334"/>
      <c r="Z80" s="335">
        <f>(R80+S80+T80)*'1.0-Contractblad'!$L$41</f>
        <v>0</v>
      </c>
      <c r="AA80" s="335">
        <f ca="1">VLOOKUP(E80,'1.1a-Jaarprijzen'!$B$51:$Q$88,16,FALSE)*K80</f>
        <v>0</v>
      </c>
      <c r="AC80" s="542">
        <f t="shared" si="25"/>
        <v>0</v>
      </c>
      <c r="AD80" s="542" t="str">
        <f t="shared" si="26"/>
        <v>nvt-0</v>
      </c>
    </row>
    <row r="81" spans="2:30" s="542" customFormat="1" ht="17.100000000000001" customHeight="1">
      <c r="B81" s="361"/>
      <c r="C81" s="362"/>
      <c r="D81" s="326">
        <f ca="1">VLOOKUP(E81,'1.1a-Jaarprijzen'!B:G,6,FALSE)</f>
        <v>1</v>
      </c>
      <c r="E81" s="325" t="s">
        <v>40</v>
      </c>
      <c r="F81" s="326">
        <v>5</v>
      </c>
      <c r="G81" s="327" t="s">
        <v>315</v>
      </c>
      <c r="H81" s="325" t="s">
        <v>275</v>
      </c>
      <c r="I81" s="328" t="str">
        <f t="shared" si="28"/>
        <v>entree, gang en hal</v>
      </c>
      <c r="J81" s="326" t="s">
        <v>279</v>
      </c>
      <c r="K81" s="329">
        <v>22.4</v>
      </c>
      <c r="L81" s="329"/>
      <c r="M81" s="330">
        <v>3255</v>
      </c>
      <c r="N81" s="330"/>
      <c r="O81" s="331">
        <f t="shared" si="41"/>
        <v>255</v>
      </c>
      <c r="P81" s="528">
        <v>1</v>
      </c>
      <c r="Q81" s="528">
        <v>1</v>
      </c>
      <c r="R81" s="323">
        <f t="shared" si="42"/>
        <v>0</v>
      </c>
      <c r="S81" s="323">
        <f t="shared" si="43"/>
        <v>0</v>
      </c>
      <c r="T81" s="323">
        <f t="shared" si="23"/>
        <v>0</v>
      </c>
      <c r="U81" s="323">
        <f t="shared" si="17"/>
        <v>0</v>
      </c>
      <c r="V81" s="323">
        <f t="shared" si="14"/>
        <v>0</v>
      </c>
      <c r="W81" s="323">
        <f t="shared" si="18"/>
        <v>0</v>
      </c>
      <c r="X81" s="333" t="str">
        <f t="shared" si="44"/>
        <v>V</v>
      </c>
      <c r="Y81" s="334"/>
      <c r="Z81" s="335">
        <f>(R81+S81+T81)*'1.0-Contractblad'!$L$41</f>
        <v>0</v>
      </c>
      <c r="AA81" s="335">
        <f ca="1">VLOOKUP(E81,'1.1a-Jaarprijzen'!$B$51:$Q$88,16,FALSE)*K81</f>
        <v>0</v>
      </c>
      <c r="AC81" s="542">
        <f t="shared" si="25"/>
        <v>5712</v>
      </c>
      <c r="AD81" s="542" t="str">
        <f t="shared" si="26"/>
        <v>3255-255</v>
      </c>
    </row>
  </sheetData>
  <autoFilter ref="B12:AA81" xr:uid="{00000000-0001-0000-0500-000000000000}">
    <sortState xmlns:xlrd2="http://schemas.microsoft.com/office/spreadsheetml/2017/richdata2" ref="B48:AA81">
      <sortCondition sortBy="cellColor" ref="H12:H81" dxfId="92"/>
    </sortState>
  </autoFilter>
  <mergeCells count="1">
    <mergeCell ref="G10:H10"/>
  </mergeCells>
  <phoneticPr fontId="9" type="noConversion"/>
  <conditionalFormatting sqref="B14:C81">
    <cfRule type="notContainsBlanks" dxfId="97" priority="6">
      <formula>LEN(TRIM(B14))&gt;0</formula>
    </cfRule>
  </conditionalFormatting>
  <conditionalFormatting sqref="P14:Q81">
    <cfRule type="cellIs" dxfId="96" priority="4" operator="lessThan">
      <formula>1</formula>
    </cfRule>
    <cfRule type="cellIs" dxfId="95" priority="5" operator="greaterThan">
      <formula>1</formula>
    </cfRule>
  </conditionalFormatting>
  <conditionalFormatting sqref="R9:T9">
    <cfRule type="cellIs" dxfId="94" priority="77" operator="greaterThan">
      <formula>0</formula>
    </cfRule>
  </conditionalFormatting>
  <conditionalFormatting sqref="R14:W81 Z14:AA81">
    <cfRule type="cellIs" dxfId="93" priority="7" operator="greaterThan">
      <formula>0</formula>
    </cfRule>
  </conditionalFormatting>
  <dataValidations xWindow="1233" yWindow="261" count="1">
    <dataValidation allowBlank="1" showInputMessage="1" showErrorMessage="1" promptTitle="Toelichting" prompt="Pas, indien gewenst, op regelniveau het getal in de kolom factor aan._x000d_Het kengetal blijft gelijk, de uren worden echter aangepast (lager of hoger)._x000d_" sqref="J6" xr:uid="{00000000-0002-0000-0500-000000000000}"/>
  </dataValidations>
  <printOptions gridLinesSet="0"/>
  <pageMargins left="0.19685039370078741" right="0.19685039370078741" top="0.39370078740157483" bottom="0.78740157480314965" header="0.39370078740157483" footer="0.39370078740157483"/>
  <pageSetup paperSize="9" scale="65" orientation="landscape"/>
  <headerFooter>
    <oddHeader>&amp;L&amp;C&amp;R</oddHeader>
    <oddFooter>&amp;L&amp;"Verdana,Standaard"&amp;K000000&amp;F-&amp;A&amp;R&amp;"Verdana,Standaard"&amp;K000000printversie &amp;D</oddFooter>
  </headerFooter>
  <colBreaks count="1" manualBreakCount="1">
    <brk id="17" max="1048575" man="1"/>
  </colBreaks>
  <pictur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373FF-E45C-5C40-AADD-68027FE9FC17}">
  <dimension ref="A1:AE29"/>
  <sheetViews>
    <sheetView showGridLines="0" showRowColHeaders="0" showZeros="0" showOutlineSymbols="0" zoomScaleNormal="117" zoomScaleSheetLayoutView="65" zoomScalePageLayoutView="90" workbookViewId="0">
      <pane ySplit="13" topLeftCell="A14" activePane="bottomLeft" state="frozen"/>
      <selection pane="bottomLeft" activeCell="F34" sqref="F34"/>
      <selection activeCell="F34" sqref="F34"/>
    </sheetView>
  </sheetViews>
  <sheetFormatPr defaultColWidth="8.85546875" defaultRowHeight="15.95" customHeight="1"/>
  <cols>
    <col min="1" max="1" width="7.85546875" style="242" customWidth="1"/>
    <col min="2" max="2" width="20.85546875" style="298" customWidth="1"/>
    <col min="3" max="3" width="13" style="336" customWidth="1"/>
    <col min="4" max="4" width="9.140625" style="298" customWidth="1"/>
    <col min="5" max="5" width="36.42578125" style="337" customWidth="1"/>
    <col min="6" max="6" width="13.140625" style="298" bestFit="1" customWidth="1"/>
    <col min="7" max="7" width="8.140625" style="338" customWidth="1"/>
    <col min="8" max="8" width="23.140625" style="242" bestFit="1" customWidth="1"/>
    <col min="9" max="9" width="44.140625" style="317" bestFit="1" customWidth="1"/>
    <col min="10" max="10" width="16" style="298" customWidth="1"/>
    <col min="11" max="12" width="10.85546875" style="319" customWidth="1"/>
    <col min="13" max="13" width="21.140625" style="320" bestFit="1" customWidth="1"/>
    <col min="14" max="14" width="21.140625" style="298" bestFit="1" customWidth="1"/>
    <col min="15" max="15" width="16.140625" style="298" bestFit="1" customWidth="1"/>
    <col min="16" max="16" width="11" style="320" customWidth="1"/>
    <col min="17" max="17" width="12.140625" style="320" customWidth="1"/>
    <col min="18" max="18" width="12" style="321" customWidth="1"/>
    <col min="19" max="19" width="18" style="321" bestFit="1" customWidth="1"/>
    <col min="20" max="20" width="17.5703125" style="242" bestFit="1" customWidth="1"/>
    <col min="21" max="22" width="18" style="298" bestFit="1" customWidth="1"/>
    <col min="23" max="23" width="18.5703125" style="242" bestFit="1" customWidth="1"/>
    <col min="24" max="24" width="13.140625" style="242" bestFit="1" customWidth="1"/>
    <col min="25" max="25" width="27.140625" style="339" bestFit="1" customWidth="1"/>
    <col min="26" max="26" width="17" style="298" customWidth="1"/>
    <col min="27" max="27" width="20.140625" style="298" customWidth="1"/>
    <col min="28" max="28" width="15.85546875" style="242" customWidth="1"/>
    <col min="29" max="29" width="9.85546875" style="242" hidden="1" customWidth="1"/>
    <col min="30" max="30" width="11" style="242" hidden="1" customWidth="1"/>
    <col min="31" max="31" width="22.85546875" style="242" hidden="1" customWidth="1"/>
    <col min="32" max="32" width="12" style="242" customWidth="1"/>
    <col min="33" max="33" width="20" style="242" customWidth="1"/>
    <col min="34" max="16384" width="8.85546875" style="242"/>
  </cols>
  <sheetData>
    <row r="1" spans="1:30" s="3" customFormat="1" ht="9" customHeight="1" thickBot="1">
      <c r="A1" s="6"/>
      <c r="B1" s="27"/>
      <c r="C1" s="27"/>
      <c r="D1" s="598"/>
      <c r="E1" s="27"/>
      <c r="F1" s="27"/>
      <c r="G1" s="27"/>
      <c r="H1" s="27"/>
      <c r="I1" s="27"/>
      <c r="J1" s="592"/>
      <c r="K1" s="27"/>
      <c r="L1" s="27"/>
      <c r="M1" s="27"/>
      <c r="N1" s="27"/>
      <c r="O1" s="27"/>
      <c r="P1" s="27"/>
      <c r="Q1" s="27"/>
      <c r="R1" s="27"/>
      <c r="S1" s="27"/>
      <c r="T1" s="27"/>
      <c r="U1" s="27"/>
      <c r="V1" s="94"/>
      <c r="X1" s="94"/>
      <c r="Y1" s="94"/>
      <c r="Z1" s="94"/>
      <c r="AA1" s="94"/>
    </row>
    <row r="2" spans="1:30" s="3" customFormat="1" ht="8.1" customHeight="1">
      <c r="A2" s="6"/>
      <c r="B2" s="97"/>
      <c r="C2" s="97"/>
      <c r="D2" s="599"/>
      <c r="E2" s="97"/>
      <c r="F2" s="97"/>
      <c r="G2" s="97"/>
      <c r="H2" s="97"/>
      <c r="I2" s="97"/>
      <c r="J2" s="593"/>
      <c r="K2" s="97"/>
      <c r="L2" s="97"/>
      <c r="M2" s="97"/>
      <c r="N2" s="97"/>
      <c r="O2" s="97"/>
      <c r="P2" s="97"/>
      <c r="Q2" s="97"/>
      <c r="R2" s="97"/>
      <c r="S2" s="97"/>
      <c r="T2" s="97"/>
      <c r="U2" s="97"/>
      <c r="V2" s="94"/>
      <c r="X2" s="94"/>
      <c r="Y2" s="94"/>
      <c r="Z2" s="94"/>
      <c r="AA2" s="94"/>
    </row>
    <row r="3" spans="1:30" s="190" customFormat="1" ht="15">
      <c r="C3" s="191"/>
      <c r="D3" s="191"/>
      <c r="E3" s="191"/>
      <c r="F3" s="192"/>
      <c r="G3" s="193"/>
      <c r="H3" s="194"/>
      <c r="I3" s="595"/>
      <c r="J3" s="195"/>
      <c r="K3" s="196"/>
      <c r="L3" s="197"/>
      <c r="M3" s="193"/>
      <c r="N3" s="198"/>
    </row>
    <row r="4" spans="1:30" ht="18" customHeight="1">
      <c r="A4" s="298"/>
      <c r="C4" s="299"/>
      <c r="E4" s="311" t="str">
        <f>'1.2-Kengetal'!C4</f>
        <v>Omschrijving blad</v>
      </c>
      <c r="F4" s="312"/>
      <c r="G4" s="364" t="s">
        <v>316</v>
      </c>
      <c r="H4" s="313"/>
      <c r="I4" s="596"/>
      <c r="J4" s="302"/>
      <c r="K4" s="305"/>
      <c r="L4" s="305"/>
      <c r="M4" s="306"/>
      <c r="N4" s="302"/>
      <c r="O4" s="305"/>
      <c r="P4" s="654"/>
      <c r="Q4" s="656"/>
      <c r="R4" s="307"/>
      <c r="S4" s="308"/>
      <c r="T4" s="309"/>
      <c r="U4" s="310"/>
      <c r="V4" s="310"/>
      <c r="W4" s="309"/>
      <c r="X4" s="314"/>
      <c r="Y4" s="315"/>
      <c r="Z4" s="302"/>
    </row>
    <row r="5" spans="1:30" ht="18" customHeight="1">
      <c r="A5" s="298"/>
      <c r="C5" s="299"/>
      <c r="E5" s="200" t="s">
        <v>93</v>
      </c>
      <c r="G5" s="363" t="str">
        <f>Voorblad!$E$16</f>
        <v>Invest-NL</v>
      </c>
      <c r="H5" s="313"/>
      <c r="I5" s="597"/>
      <c r="J5" s="302"/>
      <c r="K5" s="305"/>
      <c r="L5" s="305"/>
      <c r="M5" s="306"/>
      <c r="N5" s="302"/>
      <c r="O5" s="302"/>
      <c r="P5" s="654"/>
      <c r="Q5" s="655"/>
      <c r="R5" s="307"/>
      <c r="S5" s="308"/>
      <c r="T5" s="309"/>
      <c r="U5" s="310"/>
      <c r="V5" s="310"/>
      <c r="W5" s="316"/>
      <c r="X5" s="314"/>
      <c r="Y5" s="315"/>
      <c r="Z5" s="302"/>
    </row>
    <row r="6" spans="1:30" ht="18" customHeight="1">
      <c r="A6" s="298"/>
      <c r="C6" s="299"/>
      <c r="E6" s="200" t="s">
        <v>94</v>
      </c>
      <c r="G6" s="363" t="str">
        <f>'1.0-Contractblad'!$E$7</f>
        <v>Kingsfordweg 43-117 Amsterdam</v>
      </c>
      <c r="H6" s="313"/>
      <c r="K6" s="305"/>
      <c r="M6" s="306"/>
      <c r="N6" s="302"/>
      <c r="O6" s="302"/>
      <c r="P6" s="654"/>
      <c r="Q6" s="655"/>
      <c r="S6" s="308"/>
      <c r="T6" s="309"/>
      <c r="U6" s="310"/>
      <c r="V6" s="310"/>
      <c r="W6" s="309"/>
      <c r="X6" s="314"/>
      <c r="Y6" s="315"/>
      <c r="Z6" s="302"/>
    </row>
    <row r="7" spans="1:30" ht="18" customHeight="1">
      <c r="A7" s="298"/>
      <c r="C7" s="299"/>
      <c r="E7" s="200" t="s">
        <v>43</v>
      </c>
      <c r="G7" s="210" t="str">
        <f>Voorblad!$E$24</f>
        <v>TN436801</v>
      </c>
      <c r="H7" s="313"/>
      <c r="K7" s="305"/>
      <c r="L7" s="305"/>
      <c r="M7" s="306"/>
      <c r="N7" s="302"/>
      <c r="O7" s="302"/>
      <c r="P7" s="654"/>
      <c r="Q7" s="655"/>
      <c r="S7" s="308"/>
      <c r="T7" s="309"/>
      <c r="U7" s="310"/>
      <c r="V7" s="310"/>
      <c r="W7" s="309"/>
      <c r="X7" s="314"/>
      <c r="Y7" s="315"/>
      <c r="Z7" s="302"/>
    </row>
    <row r="8" spans="1:30" ht="18" customHeight="1">
      <c r="A8" s="298"/>
      <c r="C8" s="299"/>
      <c r="E8" s="200" t="s">
        <v>45</v>
      </c>
      <c r="G8" s="215" t="e">
        <f ca="1">Voorblad!$E$26</f>
        <v>#VALUE!</v>
      </c>
      <c r="H8" s="313"/>
      <c r="K8" s="305"/>
      <c r="L8" s="305"/>
      <c r="M8" s="306"/>
      <c r="N8" s="302"/>
      <c r="O8" s="302"/>
      <c r="P8" s="654"/>
      <c r="Q8" s="655"/>
      <c r="S8" s="308"/>
      <c r="T8" s="309"/>
      <c r="U8" s="310"/>
      <c r="V8" s="310"/>
      <c r="W8" s="309"/>
      <c r="X8" s="314"/>
      <c r="Y8" s="315"/>
      <c r="Z8" s="302"/>
    </row>
    <row r="9" spans="1:30" ht="18" customHeight="1">
      <c r="A9" s="298"/>
      <c r="C9" s="299"/>
      <c r="E9" s="200" t="s">
        <v>95</v>
      </c>
      <c r="G9" s="365" t="str">
        <f>Voorblad!$E$19</f>
        <v>[Invoeren naam organisatie van Inschrijver]</v>
      </c>
      <c r="H9" s="322"/>
      <c r="K9" s="305"/>
      <c r="L9" s="305"/>
      <c r="M9" s="306"/>
      <c r="N9" s="302"/>
      <c r="O9" s="302"/>
      <c r="P9" s="654"/>
      <c r="Q9" s="655"/>
      <c r="R9" s="323"/>
      <c r="S9" s="323"/>
      <c r="T9" s="323"/>
      <c r="U9" s="310"/>
      <c r="V9" s="310"/>
      <c r="W9" s="309"/>
      <c r="X9" s="314"/>
      <c r="Y9" s="315"/>
      <c r="Z9" s="302"/>
    </row>
    <row r="10" spans="1:30" ht="18" customHeight="1">
      <c r="A10" s="298"/>
      <c r="C10" s="299"/>
      <c r="E10" s="200" t="s">
        <v>42</v>
      </c>
      <c r="G10" s="766">
        <f>Voorblad!$E$22</f>
        <v>45473</v>
      </c>
      <c r="H10" s="766"/>
      <c r="I10" s="324"/>
      <c r="K10" s="305"/>
      <c r="L10" s="305"/>
      <c r="M10" s="566"/>
      <c r="N10" s="302"/>
      <c r="O10" s="302"/>
      <c r="P10" s="654"/>
      <c r="Q10" s="655"/>
      <c r="S10" s="308"/>
      <c r="T10" s="309"/>
      <c r="U10" s="310"/>
      <c r="V10" s="310"/>
      <c r="W10" s="309"/>
      <c r="Y10" s="315"/>
      <c r="Z10" s="302"/>
    </row>
    <row r="11" spans="1:30" ht="15">
      <c r="A11" s="298"/>
      <c r="C11" s="299"/>
      <c r="E11" s="300"/>
      <c r="F11" s="301"/>
      <c r="G11" s="302"/>
      <c r="H11" s="303"/>
      <c r="I11" s="304"/>
      <c r="J11" s="302"/>
      <c r="K11" s="305"/>
      <c r="L11" s="305"/>
      <c r="M11" s="306"/>
      <c r="N11" s="302"/>
      <c r="O11" s="302"/>
      <c r="S11" s="308"/>
      <c r="T11" s="309"/>
      <c r="U11" s="310"/>
      <c r="V11" s="310"/>
      <c r="W11" s="309"/>
      <c r="X11" s="303"/>
      <c r="Y11" s="315"/>
      <c r="Z11" s="302"/>
    </row>
    <row r="12" spans="1:30" s="349" customFormat="1" ht="53.1" customHeight="1">
      <c r="A12" s="340"/>
      <c r="B12" s="179" t="s">
        <v>186</v>
      </c>
      <c r="C12" s="341" t="s">
        <v>187</v>
      </c>
      <c r="D12" s="178" t="s">
        <v>188</v>
      </c>
      <c r="E12" s="177" t="s">
        <v>189</v>
      </c>
      <c r="F12" s="178" t="s">
        <v>190</v>
      </c>
      <c r="G12" s="342" t="s">
        <v>191</v>
      </c>
      <c r="H12" s="177" t="s">
        <v>192</v>
      </c>
      <c r="I12" s="343" t="s">
        <v>193</v>
      </c>
      <c r="J12" s="179" t="s">
        <v>194</v>
      </c>
      <c r="K12" s="266" t="s">
        <v>134</v>
      </c>
      <c r="L12" s="266" t="s">
        <v>135</v>
      </c>
      <c r="M12" s="344" t="s">
        <v>195</v>
      </c>
      <c r="N12" s="344" t="s">
        <v>196</v>
      </c>
      <c r="O12" s="345" t="s">
        <v>128</v>
      </c>
      <c r="P12" s="344" t="s">
        <v>197</v>
      </c>
      <c r="Q12" s="344" t="s">
        <v>198</v>
      </c>
      <c r="R12" s="346" t="s">
        <v>199</v>
      </c>
      <c r="S12" s="346" t="s">
        <v>200</v>
      </c>
      <c r="T12" s="346" t="s">
        <v>201</v>
      </c>
      <c r="U12" s="347" t="s">
        <v>202</v>
      </c>
      <c r="V12" s="345" t="s">
        <v>132</v>
      </c>
      <c r="W12" s="345" t="s">
        <v>203</v>
      </c>
      <c r="X12" s="178" t="s">
        <v>138</v>
      </c>
      <c r="Y12" s="348" t="s">
        <v>137</v>
      </c>
      <c r="Z12" s="179" t="s">
        <v>204</v>
      </c>
      <c r="AA12" s="179" t="s">
        <v>205</v>
      </c>
    </row>
    <row r="13" spans="1:30" s="349" customFormat="1">
      <c r="A13" s="340"/>
      <c r="B13" s="358" t="s">
        <v>206</v>
      </c>
      <c r="C13" s="359"/>
      <c r="D13" s="600"/>
      <c r="E13" s="360"/>
      <c r="F13" s="183"/>
      <c r="G13" s="350"/>
      <c r="H13" s="182"/>
      <c r="I13" s="351"/>
      <c r="J13" s="184"/>
      <c r="K13" s="352"/>
      <c r="L13" s="352"/>
      <c r="M13" s="353"/>
      <c r="N13" s="353"/>
      <c r="O13" s="354"/>
      <c r="P13" s="353"/>
      <c r="Q13" s="353"/>
      <c r="R13" s="355"/>
      <c r="S13" s="355"/>
      <c r="T13" s="355"/>
      <c r="U13" s="356"/>
      <c r="V13" s="354"/>
      <c r="W13" s="354"/>
      <c r="X13" s="183"/>
      <c r="Y13" s="357"/>
      <c r="Z13" s="184"/>
      <c r="AA13" s="184"/>
    </row>
    <row r="14" spans="1:30" ht="15.95" customHeight="1">
      <c r="B14" s="361"/>
      <c r="C14" s="362"/>
      <c r="D14" s="326"/>
      <c r="E14" s="325"/>
      <c r="F14" s="326"/>
      <c r="G14" s="327"/>
      <c r="H14" s="325"/>
      <c r="I14" s="328">
        <f t="shared" ref="I14:I28" si="0">IF($M14="",0,VLOOKUP($M14,Kengetal,4,FALSE))</f>
        <v>0</v>
      </c>
      <c r="J14" s="326"/>
      <c r="K14" s="329"/>
      <c r="L14" s="329"/>
      <c r="M14" s="330"/>
      <c r="N14" s="326"/>
      <c r="O14" s="331">
        <f t="shared" ref="O14:O28" si="1">VLOOKUP(M14,Kengetal,3,FALSE)+VLOOKUP(N14,Kengetal,3,FALSE)</f>
        <v>0</v>
      </c>
      <c r="P14" s="528">
        <v>1</v>
      </c>
      <c r="Q14" s="528">
        <v>1</v>
      </c>
      <c r="R14" s="323">
        <f t="shared" ref="R14:R28" si="2">U14*K14*P14</f>
        <v>0</v>
      </c>
      <c r="S14" s="323">
        <f t="shared" ref="S14:S28" si="3">V14*K14*Q14</f>
        <v>0</v>
      </c>
      <c r="T14" s="323">
        <f t="shared" ref="T14:T28" si="4">W14*K14*P14</f>
        <v>0</v>
      </c>
      <c r="U14" s="332">
        <f t="shared" ref="U14:U28" si="5">IF($M14=0,0,VLOOKUP($M14,Kengetal,6,FALSE))</f>
        <v>0</v>
      </c>
      <c r="V14" s="332">
        <f t="shared" ref="V14:V28" si="6">IF($M14=0,0,VLOOKUP($M14,Kengetal,7,FALSE))</f>
        <v>0</v>
      </c>
      <c r="W14" s="332">
        <f t="shared" ref="W14:W28" si="7">IF($N14=0,0,VLOOKUP($N14,Kengetal,6,FALSE))</f>
        <v>0</v>
      </c>
      <c r="X14" s="333" t="str">
        <f t="shared" ref="X14:X28" si="8">IF(M14="","",VLOOKUP(M14,Kengetal,13,FALSE))</f>
        <v/>
      </c>
      <c r="Y14" s="334"/>
      <c r="Z14" s="335">
        <f>(R14+S14+T14)*'1.0-Contractblad'!$L$41</f>
        <v>0</v>
      </c>
      <c r="AA14" s="335"/>
      <c r="AC14" s="242">
        <f t="shared" ref="AC14:AC28" si="9">K14*O14</f>
        <v>0</v>
      </c>
      <c r="AD14" s="242" t="str">
        <f t="shared" ref="AD14:AD28" si="10">CONCATENATE(M14,"-",O14)</f>
        <v>-0</v>
      </c>
    </row>
    <row r="15" spans="1:30" ht="15.95" customHeight="1">
      <c r="B15" s="361"/>
      <c r="C15" s="362"/>
      <c r="D15" s="326"/>
      <c r="E15" s="325"/>
      <c r="F15" s="326"/>
      <c r="G15" s="327"/>
      <c r="H15" s="325"/>
      <c r="I15" s="328">
        <f t="shared" si="0"/>
        <v>0</v>
      </c>
      <c r="J15" s="326"/>
      <c r="K15" s="329"/>
      <c r="L15" s="696"/>
      <c r="M15" s="330"/>
      <c r="N15" s="326"/>
      <c r="O15" s="331">
        <f t="shared" si="1"/>
        <v>0</v>
      </c>
      <c r="P15" s="528">
        <v>1</v>
      </c>
      <c r="Q15" s="528">
        <v>1</v>
      </c>
      <c r="R15" s="323">
        <f t="shared" si="2"/>
        <v>0</v>
      </c>
      <c r="S15" s="323">
        <f t="shared" si="3"/>
        <v>0</v>
      </c>
      <c r="T15" s="323">
        <f t="shared" si="4"/>
        <v>0</v>
      </c>
      <c r="U15" s="332">
        <f t="shared" si="5"/>
        <v>0</v>
      </c>
      <c r="V15" s="332">
        <f t="shared" si="6"/>
        <v>0</v>
      </c>
      <c r="W15" s="332">
        <f t="shared" si="7"/>
        <v>0</v>
      </c>
      <c r="X15" s="333" t="str">
        <f t="shared" si="8"/>
        <v/>
      </c>
      <c r="Y15" s="334"/>
      <c r="Z15" s="335">
        <f>(R15+S15+T15)*'1.0-Contractblad'!$L$41</f>
        <v>0</v>
      </c>
      <c r="AA15" s="335"/>
      <c r="AC15" s="242">
        <f t="shared" si="9"/>
        <v>0</v>
      </c>
      <c r="AD15" s="242" t="str">
        <f t="shared" si="10"/>
        <v>-0</v>
      </c>
    </row>
    <row r="16" spans="1:30" ht="15.95" customHeight="1">
      <c r="B16" s="361"/>
      <c r="C16" s="362"/>
      <c r="D16" s="326"/>
      <c r="E16" s="325"/>
      <c r="F16" s="326"/>
      <c r="G16" s="327"/>
      <c r="H16" s="325"/>
      <c r="I16" s="328">
        <f t="shared" si="0"/>
        <v>0</v>
      </c>
      <c r="J16" s="326"/>
      <c r="K16" s="329"/>
      <c r="L16" s="696"/>
      <c r="M16" s="330"/>
      <c r="N16" s="326"/>
      <c r="O16" s="331">
        <f t="shared" si="1"/>
        <v>0</v>
      </c>
      <c r="P16" s="528">
        <v>1</v>
      </c>
      <c r="Q16" s="528">
        <v>1</v>
      </c>
      <c r="R16" s="323">
        <f t="shared" si="2"/>
        <v>0</v>
      </c>
      <c r="S16" s="323">
        <f t="shared" si="3"/>
        <v>0</v>
      </c>
      <c r="T16" s="323">
        <f t="shared" si="4"/>
        <v>0</v>
      </c>
      <c r="U16" s="332">
        <f t="shared" si="5"/>
        <v>0</v>
      </c>
      <c r="V16" s="332">
        <f t="shared" si="6"/>
        <v>0</v>
      </c>
      <c r="W16" s="332">
        <f t="shared" si="7"/>
        <v>0</v>
      </c>
      <c r="X16" s="333" t="str">
        <f t="shared" si="8"/>
        <v/>
      </c>
      <c r="Y16" s="334"/>
      <c r="Z16" s="335">
        <f>(R16+S16+T16)*'1.0-Contractblad'!$L$41</f>
        <v>0</v>
      </c>
      <c r="AA16" s="335"/>
      <c r="AC16" s="242">
        <f t="shared" si="9"/>
        <v>0</v>
      </c>
      <c r="AD16" s="242" t="str">
        <f t="shared" si="10"/>
        <v>-0</v>
      </c>
    </row>
    <row r="17" spans="2:30" ht="15.95" customHeight="1">
      <c r="B17" s="361"/>
      <c r="C17" s="362"/>
      <c r="D17" s="326"/>
      <c r="E17" s="325"/>
      <c r="F17" s="326"/>
      <c r="G17" s="327"/>
      <c r="H17" s="325"/>
      <c r="I17" s="328">
        <f t="shared" si="0"/>
        <v>0</v>
      </c>
      <c r="J17" s="326"/>
      <c r="K17" s="329"/>
      <c r="L17" s="696"/>
      <c r="M17" s="330"/>
      <c r="N17" s="326"/>
      <c r="O17" s="331">
        <f t="shared" si="1"/>
        <v>0</v>
      </c>
      <c r="P17" s="528">
        <v>1</v>
      </c>
      <c r="Q17" s="528">
        <v>1</v>
      </c>
      <c r="R17" s="323">
        <f t="shared" si="2"/>
        <v>0</v>
      </c>
      <c r="S17" s="323">
        <f t="shared" si="3"/>
        <v>0</v>
      </c>
      <c r="T17" s="323">
        <f t="shared" si="4"/>
        <v>0</v>
      </c>
      <c r="U17" s="332">
        <f t="shared" si="5"/>
        <v>0</v>
      </c>
      <c r="V17" s="332">
        <f t="shared" si="6"/>
        <v>0</v>
      </c>
      <c r="W17" s="332">
        <f t="shared" si="7"/>
        <v>0</v>
      </c>
      <c r="X17" s="333" t="str">
        <f t="shared" si="8"/>
        <v/>
      </c>
      <c r="Y17" s="334"/>
      <c r="Z17" s="335">
        <f>(R17+S17+T17)*'1.0-Contractblad'!$L$41</f>
        <v>0</v>
      </c>
      <c r="AA17" s="335"/>
      <c r="AC17" s="242">
        <f t="shared" si="9"/>
        <v>0</v>
      </c>
      <c r="AD17" s="242" t="str">
        <f t="shared" si="10"/>
        <v>-0</v>
      </c>
    </row>
    <row r="18" spans="2:30" ht="15.95" customHeight="1">
      <c r="B18" s="361"/>
      <c r="C18" s="362"/>
      <c r="D18" s="326"/>
      <c r="E18" s="325"/>
      <c r="F18" s="326"/>
      <c r="G18" s="327"/>
      <c r="H18" s="325"/>
      <c r="I18" s="328">
        <f t="shared" si="0"/>
        <v>0</v>
      </c>
      <c r="J18" s="326"/>
      <c r="K18" s="329"/>
      <c r="L18" s="696"/>
      <c r="M18" s="330"/>
      <c r="N18" s="326"/>
      <c r="O18" s="331">
        <f t="shared" si="1"/>
        <v>0</v>
      </c>
      <c r="P18" s="528">
        <v>1</v>
      </c>
      <c r="Q18" s="528">
        <v>1</v>
      </c>
      <c r="R18" s="323">
        <f t="shared" si="2"/>
        <v>0</v>
      </c>
      <c r="S18" s="323">
        <f t="shared" si="3"/>
        <v>0</v>
      </c>
      <c r="T18" s="323">
        <f t="shared" si="4"/>
        <v>0</v>
      </c>
      <c r="U18" s="332">
        <f t="shared" si="5"/>
        <v>0</v>
      </c>
      <c r="V18" s="332">
        <f t="shared" si="6"/>
        <v>0</v>
      </c>
      <c r="W18" s="332">
        <f t="shared" si="7"/>
        <v>0</v>
      </c>
      <c r="X18" s="333" t="str">
        <f t="shared" si="8"/>
        <v/>
      </c>
      <c r="Y18" s="334"/>
      <c r="Z18" s="335">
        <f>(R18+S18+T18)*'1.0-Contractblad'!$L$41</f>
        <v>0</v>
      </c>
      <c r="AA18" s="335"/>
      <c r="AC18" s="242">
        <f t="shared" si="9"/>
        <v>0</v>
      </c>
      <c r="AD18" s="242" t="str">
        <f t="shared" si="10"/>
        <v>-0</v>
      </c>
    </row>
    <row r="19" spans="2:30" ht="15.95" customHeight="1">
      <c r="B19" s="361"/>
      <c r="C19" s="362"/>
      <c r="D19" s="326"/>
      <c r="E19" s="325"/>
      <c r="F19" s="326"/>
      <c r="G19" s="327"/>
      <c r="H19" s="325"/>
      <c r="I19" s="328">
        <f t="shared" si="0"/>
        <v>0</v>
      </c>
      <c r="J19" s="326"/>
      <c r="K19" s="329"/>
      <c r="L19" s="696"/>
      <c r="M19" s="330"/>
      <c r="N19" s="326"/>
      <c r="O19" s="331">
        <f t="shared" si="1"/>
        <v>0</v>
      </c>
      <c r="P19" s="528">
        <v>1</v>
      </c>
      <c r="Q19" s="528">
        <v>1</v>
      </c>
      <c r="R19" s="323">
        <f t="shared" si="2"/>
        <v>0</v>
      </c>
      <c r="S19" s="323">
        <f t="shared" si="3"/>
        <v>0</v>
      </c>
      <c r="T19" s="323">
        <f t="shared" si="4"/>
        <v>0</v>
      </c>
      <c r="U19" s="332">
        <f t="shared" si="5"/>
        <v>0</v>
      </c>
      <c r="V19" s="332">
        <f t="shared" si="6"/>
        <v>0</v>
      </c>
      <c r="W19" s="332">
        <f t="shared" si="7"/>
        <v>0</v>
      </c>
      <c r="X19" s="333" t="str">
        <f t="shared" si="8"/>
        <v/>
      </c>
      <c r="Y19" s="334"/>
      <c r="Z19" s="335">
        <f>(R19+S19+T19)*'1.0-Contractblad'!$L$41</f>
        <v>0</v>
      </c>
      <c r="AA19" s="335"/>
      <c r="AC19" s="242">
        <f t="shared" si="9"/>
        <v>0</v>
      </c>
      <c r="AD19" s="242" t="str">
        <f t="shared" si="10"/>
        <v>-0</v>
      </c>
    </row>
    <row r="20" spans="2:30" ht="15.95" customHeight="1">
      <c r="B20" s="361"/>
      <c r="C20" s="362"/>
      <c r="D20" s="326"/>
      <c r="E20" s="325"/>
      <c r="F20" s="326"/>
      <c r="G20" s="327"/>
      <c r="H20" s="325"/>
      <c r="I20" s="328">
        <f t="shared" si="0"/>
        <v>0</v>
      </c>
      <c r="J20" s="326"/>
      <c r="K20" s="329"/>
      <c r="L20" s="696"/>
      <c r="M20" s="330"/>
      <c r="N20" s="326"/>
      <c r="O20" s="331">
        <f t="shared" si="1"/>
        <v>0</v>
      </c>
      <c r="P20" s="528">
        <v>1</v>
      </c>
      <c r="Q20" s="528">
        <v>1</v>
      </c>
      <c r="R20" s="323">
        <f t="shared" si="2"/>
        <v>0</v>
      </c>
      <c r="S20" s="323">
        <f t="shared" si="3"/>
        <v>0</v>
      </c>
      <c r="T20" s="323">
        <f t="shared" si="4"/>
        <v>0</v>
      </c>
      <c r="U20" s="332">
        <f t="shared" si="5"/>
        <v>0</v>
      </c>
      <c r="V20" s="332">
        <f t="shared" si="6"/>
        <v>0</v>
      </c>
      <c r="W20" s="332">
        <f t="shared" si="7"/>
        <v>0</v>
      </c>
      <c r="X20" s="333" t="str">
        <f t="shared" si="8"/>
        <v/>
      </c>
      <c r="Y20" s="334"/>
      <c r="Z20" s="335">
        <f>(R20+S20+T20)*'1.0-Contractblad'!$L$41</f>
        <v>0</v>
      </c>
      <c r="AA20" s="335"/>
      <c r="AC20" s="242">
        <f t="shared" si="9"/>
        <v>0</v>
      </c>
      <c r="AD20" s="242" t="str">
        <f t="shared" si="10"/>
        <v>-0</v>
      </c>
    </row>
    <row r="21" spans="2:30" ht="15.95" customHeight="1">
      <c r="B21" s="361"/>
      <c r="C21" s="362"/>
      <c r="D21" s="326"/>
      <c r="E21" s="325"/>
      <c r="F21" s="326"/>
      <c r="G21" s="327"/>
      <c r="H21" s="325"/>
      <c r="I21" s="328">
        <f t="shared" si="0"/>
        <v>0</v>
      </c>
      <c r="J21" s="326"/>
      <c r="K21" s="329"/>
      <c r="L21" s="696"/>
      <c r="M21" s="330"/>
      <c r="N21" s="326"/>
      <c r="O21" s="331">
        <f t="shared" si="1"/>
        <v>0</v>
      </c>
      <c r="P21" s="528">
        <v>1</v>
      </c>
      <c r="Q21" s="528">
        <v>1</v>
      </c>
      <c r="R21" s="323">
        <f t="shared" si="2"/>
        <v>0</v>
      </c>
      <c r="S21" s="323">
        <f t="shared" si="3"/>
        <v>0</v>
      </c>
      <c r="T21" s="323">
        <f t="shared" si="4"/>
        <v>0</v>
      </c>
      <c r="U21" s="332">
        <f t="shared" si="5"/>
        <v>0</v>
      </c>
      <c r="V21" s="332">
        <f t="shared" si="6"/>
        <v>0</v>
      </c>
      <c r="W21" s="332">
        <f t="shared" si="7"/>
        <v>0</v>
      </c>
      <c r="X21" s="333" t="str">
        <f t="shared" si="8"/>
        <v/>
      </c>
      <c r="Y21" s="334"/>
      <c r="Z21" s="335">
        <f>(R21+S21+T21)*'1.0-Contractblad'!$L$41</f>
        <v>0</v>
      </c>
      <c r="AA21" s="335"/>
      <c r="AC21" s="242">
        <f t="shared" si="9"/>
        <v>0</v>
      </c>
      <c r="AD21" s="242" t="str">
        <f t="shared" si="10"/>
        <v>-0</v>
      </c>
    </row>
    <row r="22" spans="2:30" ht="15.95" customHeight="1">
      <c r="B22" s="361"/>
      <c r="C22" s="362"/>
      <c r="D22" s="326"/>
      <c r="E22" s="325"/>
      <c r="F22" s="326"/>
      <c r="G22" s="327"/>
      <c r="H22" s="325"/>
      <c r="I22" s="328">
        <f t="shared" si="0"/>
        <v>0</v>
      </c>
      <c r="J22" s="326"/>
      <c r="K22" s="329"/>
      <c r="L22" s="696"/>
      <c r="M22" s="330"/>
      <c r="N22" s="326"/>
      <c r="O22" s="331">
        <f t="shared" si="1"/>
        <v>0</v>
      </c>
      <c r="P22" s="528">
        <v>1</v>
      </c>
      <c r="Q22" s="528">
        <v>1</v>
      </c>
      <c r="R22" s="323">
        <f t="shared" si="2"/>
        <v>0</v>
      </c>
      <c r="S22" s="323">
        <f t="shared" si="3"/>
        <v>0</v>
      </c>
      <c r="T22" s="323">
        <f t="shared" si="4"/>
        <v>0</v>
      </c>
      <c r="U22" s="332">
        <f t="shared" si="5"/>
        <v>0</v>
      </c>
      <c r="V22" s="332">
        <f t="shared" si="6"/>
        <v>0</v>
      </c>
      <c r="W22" s="332">
        <f t="shared" si="7"/>
        <v>0</v>
      </c>
      <c r="X22" s="333" t="str">
        <f t="shared" si="8"/>
        <v/>
      </c>
      <c r="Y22" s="334"/>
      <c r="Z22" s="335">
        <f>(R22+S22+T22)*'1.0-Contractblad'!$L$41</f>
        <v>0</v>
      </c>
      <c r="AA22" s="335"/>
      <c r="AC22" s="242">
        <f t="shared" si="9"/>
        <v>0</v>
      </c>
      <c r="AD22" s="242" t="str">
        <f t="shared" si="10"/>
        <v>-0</v>
      </c>
    </row>
    <row r="23" spans="2:30" ht="15.95" customHeight="1">
      <c r="B23" s="361"/>
      <c r="C23" s="362"/>
      <c r="D23" s="326"/>
      <c r="E23" s="325"/>
      <c r="F23" s="326"/>
      <c r="G23" s="327"/>
      <c r="H23" s="325"/>
      <c r="I23" s="328">
        <f t="shared" si="0"/>
        <v>0</v>
      </c>
      <c r="J23" s="326"/>
      <c r="K23" s="329"/>
      <c r="L23" s="696"/>
      <c r="M23" s="330"/>
      <c r="N23" s="326"/>
      <c r="O23" s="331">
        <f t="shared" si="1"/>
        <v>0</v>
      </c>
      <c r="P23" s="528">
        <v>1</v>
      </c>
      <c r="Q23" s="528">
        <v>1</v>
      </c>
      <c r="R23" s="323">
        <f t="shared" si="2"/>
        <v>0</v>
      </c>
      <c r="S23" s="323">
        <f t="shared" si="3"/>
        <v>0</v>
      </c>
      <c r="T23" s="323">
        <f t="shared" si="4"/>
        <v>0</v>
      </c>
      <c r="U23" s="332">
        <f t="shared" si="5"/>
        <v>0</v>
      </c>
      <c r="V23" s="332">
        <f t="shared" si="6"/>
        <v>0</v>
      </c>
      <c r="W23" s="332">
        <f t="shared" si="7"/>
        <v>0</v>
      </c>
      <c r="X23" s="333" t="str">
        <f t="shared" si="8"/>
        <v/>
      </c>
      <c r="Y23" s="334"/>
      <c r="Z23" s="335">
        <f>(R23+S23+T23)*'1.0-Contractblad'!$L$41</f>
        <v>0</v>
      </c>
      <c r="AA23" s="335"/>
      <c r="AC23" s="242">
        <f t="shared" si="9"/>
        <v>0</v>
      </c>
      <c r="AD23" s="242" t="str">
        <f t="shared" si="10"/>
        <v>-0</v>
      </c>
    </row>
    <row r="24" spans="2:30" ht="15.95" customHeight="1">
      <c r="B24" s="361"/>
      <c r="C24" s="362"/>
      <c r="D24" s="326"/>
      <c r="E24" s="325"/>
      <c r="F24" s="326"/>
      <c r="G24" s="327"/>
      <c r="H24" s="325"/>
      <c r="I24" s="328">
        <f t="shared" si="0"/>
        <v>0</v>
      </c>
      <c r="J24" s="326"/>
      <c r="K24" s="329"/>
      <c r="L24" s="696"/>
      <c r="M24" s="330"/>
      <c r="N24" s="326"/>
      <c r="O24" s="331">
        <f t="shared" si="1"/>
        <v>0</v>
      </c>
      <c r="P24" s="528">
        <v>1</v>
      </c>
      <c r="Q24" s="528">
        <v>1</v>
      </c>
      <c r="R24" s="323">
        <f t="shared" si="2"/>
        <v>0</v>
      </c>
      <c r="S24" s="323">
        <f t="shared" si="3"/>
        <v>0</v>
      </c>
      <c r="T24" s="323">
        <f t="shared" si="4"/>
        <v>0</v>
      </c>
      <c r="U24" s="332">
        <f t="shared" si="5"/>
        <v>0</v>
      </c>
      <c r="V24" s="332">
        <f t="shared" si="6"/>
        <v>0</v>
      </c>
      <c r="W24" s="332">
        <f t="shared" si="7"/>
        <v>0</v>
      </c>
      <c r="X24" s="333" t="str">
        <f t="shared" si="8"/>
        <v/>
      </c>
      <c r="Y24" s="334"/>
      <c r="Z24" s="335">
        <f>(R24+S24+T24)*'1.0-Contractblad'!$L$41</f>
        <v>0</v>
      </c>
      <c r="AA24" s="335"/>
      <c r="AC24" s="242">
        <f t="shared" si="9"/>
        <v>0</v>
      </c>
      <c r="AD24" s="242" t="str">
        <f t="shared" si="10"/>
        <v>-0</v>
      </c>
    </row>
    <row r="25" spans="2:30" ht="15.95" customHeight="1">
      <c r="B25" s="361"/>
      <c r="C25" s="362"/>
      <c r="D25" s="326"/>
      <c r="E25" s="325"/>
      <c r="F25" s="326"/>
      <c r="G25" s="327"/>
      <c r="H25" s="325"/>
      <c r="I25" s="328">
        <f t="shared" si="0"/>
        <v>0</v>
      </c>
      <c r="J25" s="326"/>
      <c r="K25" s="329"/>
      <c r="L25" s="696"/>
      <c r="M25" s="330"/>
      <c r="N25" s="326"/>
      <c r="O25" s="331">
        <f t="shared" si="1"/>
        <v>0</v>
      </c>
      <c r="P25" s="528">
        <v>1</v>
      </c>
      <c r="Q25" s="528">
        <v>1</v>
      </c>
      <c r="R25" s="323">
        <f t="shared" si="2"/>
        <v>0</v>
      </c>
      <c r="S25" s="323">
        <f t="shared" si="3"/>
        <v>0</v>
      </c>
      <c r="T25" s="323">
        <f t="shared" si="4"/>
        <v>0</v>
      </c>
      <c r="U25" s="332">
        <f t="shared" si="5"/>
        <v>0</v>
      </c>
      <c r="V25" s="332">
        <f t="shared" si="6"/>
        <v>0</v>
      </c>
      <c r="W25" s="332">
        <f t="shared" si="7"/>
        <v>0</v>
      </c>
      <c r="X25" s="333" t="str">
        <f t="shared" si="8"/>
        <v/>
      </c>
      <c r="Y25" s="334"/>
      <c r="Z25" s="335">
        <f>(R25+S25+T25)*'1.0-Contractblad'!$L$41</f>
        <v>0</v>
      </c>
      <c r="AA25" s="335"/>
      <c r="AC25" s="242">
        <f t="shared" si="9"/>
        <v>0</v>
      </c>
      <c r="AD25" s="242" t="str">
        <f t="shared" si="10"/>
        <v>-0</v>
      </c>
    </row>
    <row r="26" spans="2:30" ht="15.95" customHeight="1">
      <c r="B26" s="361"/>
      <c r="C26" s="362"/>
      <c r="D26" s="326"/>
      <c r="E26" s="325"/>
      <c r="F26" s="326"/>
      <c r="G26" s="327"/>
      <c r="H26" s="325"/>
      <c r="I26" s="328">
        <f t="shared" si="0"/>
        <v>0</v>
      </c>
      <c r="J26" s="326"/>
      <c r="K26" s="329"/>
      <c r="L26" s="696"/>
      <c r="M26" s="330"/>
      <c r="N26" s="326"/>
      <c r="O26" s="331">
        <f t="shared" si="1"/>
        <v>0</v>
      </c>
      <c r="P26" s="528">
        <v>1</v>
      </c>
      <c r="Q26" s="528">
        <v>1</v>
      </c>
      <c r="R26" s="323">
        <f t="shared" si="2"/>
        <v>0</v>
      </c>
      <c r="S26" s="323">
        <f t="shared" si="3"/>
        <v>0</v>
      </c>
      <c r="T26" s="323">
        <f t="shared" si="4"/>
        <v>0</v>
      </c>
      <c r="U26" s="332">
        <f t="shared" si="5"/>
        <v>0</v>
      </c>
      <c r="V26" s="332">
        <f t="shared" si="6"/>
        <v>0</v>
      </c>
      <c r="W26" s="332">
        <f t="shared" si="7"/>
        <v>0</v>
      </c>
      <c r="X26" s="333" t="str">
        <f t="shared" si="8"/>
        <v/>
      </c>
      <c r="Y26" s="334"/>
      <c r="Z26" s="335">
        <f>(R26+S26+T26)*'1.0-Contractblad'!$L$41</f>
        <v>0</v>
      </c>
      <c r="AA26" s="335"/>
      <c r="AC26" s="242">
        <f t="shared" si="9"/>
        <v>0</v>
      </c>
      <c r="AD26" s="242" t="str">
        <f t="shared" si="10"/>
        <v>-0</v>
      </c>
    </row>
    <row r="27" spans="2:30" ht="15.95" customHeight="1">
      <c r="B27" s="361"/>
      <c r="C27" s="362"/>
      <c r="D27" s="326"/>
      <c r="E27" s="325"/>
      <c r="F27" s="326"/>
      <c r="G27" s="327"/>
      <c r="H27" s="325"/>
      <c r="I27" s="328">
        <f t="shared" si="0"/>
        <v>0</v>
      </c>
      <c r="J27" s="326"/>
      <c r="K27" s="329"/>
      <c r="L27" s="696"/>
      <c r="M27" s="330"/>
      <c r="N27" s="326"/>
      <c r="O27" s="331">
        <f t="shared" si="1"/>
        <v>0</v>
      </c>
      <c r="P27" s="528">
        <v>1</v>
      </c>
      <c r="Q27" s="528">
        <v>1</v>
      </c>
      <c r="R27" s="323">
        <f t="shared" si="2"/>
        <v>0</v>
      </c>
      <c r="S27" s="323">
        <f t="shared" si="3"/>
        <v>0</v>
      </c>
      <c r="T27" s="323">
        <f t="shared" si="4"/>
        <v>0</v>
      </c>
      <c r="U27" s="332">
        <f t="shared" si="5"/>
        <v>0</v>
      </c>
      <c r="V27" s="332">
        <f t="shared" si="6"/>
        <v>0</v>
      </c>
      <c r="W27" s="332">
        <f t="shared" si="7"/>
        <v>0</v>
      </c>
      <c r="X27" s="333" t="str">
        <f t="shared" si="8"/>
        <v/>
      </c>
      <c r="Y27" s="334"/>
      <c r="Z27" s="335">
        <f>(R27+S27+T27)*'1.0-Contractblad'!$L$41</f>
        <v>0</v>
      </c>
      <c r="AA27" s="335"/>
      <c r="AC27" s="242">
        <f t="shared" si="9"/>
        <v>0</v>
      </c>
      <c r="AD27" s="242" t="str">
        <f t="shared" si="10"/>
        <v>-0</v>
      </c>
    </row>
    <row r="28" spans="2:30" ht="15.95" customHeight="1">
      <c r="B28" s="361"/>
      <c r="C28" s="362"/>
      <c r="D28" s="326"/>
      <c r="E28" s="325"/>
      <c r="F28" s="326"/>
      <c r="G28" s="327"/>
      <c r="H28" s="325"/>
      <c r="I28" s="328">
        <f t="shared" si="0"/>
        <v>0</v>
      </c>
      <c r="J28" s="326"/>
      <c r="K28" s="329"/>
      <c r="L28" s="696"/>
      <c r="M28" s="330"/>
      <c r="N28" s="326"/>
      <c r="O28" s="331">
        <f t="shared" si="1"/>
        <v>0</v>
      </c>
      <c r="P28" s="528">
        <v>1</v>
      </c>
      <c r="Q28" s="528">
        <v>1</v>
      </c>
      <c r="R28" s="323">
        <f t="shared" si="2"/>
        <v>0</v>
      </c>
      <c r="S28" s="323">
        <f t="shared" si="3"/>
        <v>0</v>
      </c>
      <c r="T28" s="323">
        <f t="shared" si="4"/>
        <v>0</v>
      </c>
      <c r="U28" s="332">
        <f t="shared" si="5"/>
        <v>0</v>
      </c>
      <c r="V28" s="332">
        <f t="shared" si="6"/>
        <v>0</v>
      </c>
      <c r="W28" s="332">
        <f t="shared" si="7"/>
        <v>0</v>
      </c>
      <c r="X28" s="333" t="str">
        <f t="shared" si="8"/>
        <v/>
      </c>
      <c r="Y28" s="334"/>
      <c r="Z28" s="335">
        <f>(R28+S28+T28)*'1.0-Contractblad'!$L$41</f>
        <v>0</v>
      </c>
      <c r="AA28" s="335"/>
      <c r="AC28" s="242">
        <f t="shared" si="9"/>
        <v>0</v>
      </c>
      <c r="AD28" s="242" t="str">
        <f t="shared" si="10"/>
        <v>-0</v>
      </c>
    </row>
    <row r="29" spans="2:30" ht="6.95" customHeight="1">
      <c r="B29" s="684"/>
      <c r="C29" s="685"/>
      <c r="D29" s="684"/>
      <c r="E29" s="686"/>
      <c r="F29" s="684"/>
      <c r="G29" s="687"/>
      <c r="H29" s="688"/>
      <c r="I29" s="689"/>
      <c r="J29" s="684"/>
      <c r="K29" s="690"/>
      <c r="L29" s="694"/>
      <c r="M29" s="691"/>
      <c r="N29" s="684"/>
      <c r="O29" s="684"/>
      <c r="P29" s="691"/>
      <c r="Q29" s="691"/>
      <c r="R29" s="692"/>
      <c r="S29" s="692"/>
      <c r="T29" s="688"/>
      <c r="U29" s="684"/>
      <c r="V29" s="684"/>
      <c r="W29" s="688"/>
      <c r="X29" s="688"/>
      <c r="Y29" s="693"/>
      <c r="Z29" s="684"/>
      <c r="AA29" s="684"/>
    </row>
  </sheetData>
  <autoFilter ref="B12:AA29" xr:uid="{00000000-0001-0000-0500-000000000000}"/>
  <mergeCells count="1">
    <mergeCell ref="G10:H10"/>
  </mergeCells>
  <phoneticPr fontId="142" type="noConversion"/>
  <conditionalFormatting sqref="B14:C28">
    <cfRule type="notContainsBlanks" dxfId="91" priority="208">
      <formula>LEN(TRIM(B14))&gt;0</formula>
    </cfRule>
  </conditionalFormatting>
  <conditionalFormatting sqref="P14:Q28">
    <cfRule type="cellIs" dxfId="90" priority="206" operator="lessThan">
      <formula>1</formula>
    </cfRule>
    <cfRule type="cellIs" dxfId="89" priority="207" operator="greaterThan">
      <formula>1</formula>
    </cfRule>
  </conditionalFormatting>
  <conditionalFormatting sqref="R9:T9">
    <cfRule type="cellIs" dxfId="88" priority="482" operator="greaterThan">
      <formula>0</formula>
    </cfRule>
  </conditionalFormatting>
  <conditionalFormatting sqref="R14:W28 Z14:AA28">
    <cfRule type="cellIs" dxfId="87" priority="209" operator="greaterThan">
      <formula>0</formula>
    </cfRule>
  </conditionalFormatting>
  <printOptions gridLinesSet="0"/>
  <pageMargins left="0.19685039370078741" right="0.19685039370078741" top="0.39370078740157483" bottom="0.78740157480314965" header="0.39370078740157483" footer="0.39370078740157483"/>
  <pageSetup paperSize="9" scale="65" orientation="landscape"/>
  <headerFooter>
    <oddHeader>&amp;L&amp;C&amp;R</oddHeader>
    <oddFooter>&amp;L&amp;"Verdana,Standaard"&amp;K000000&amp;F-&amp;A&amp;R&amp;"Verdana,Standaard"&amp;K000000printversie &amp;D</oddFooter>
  </headerFooter>
  <colBreaks count="1" manualBreakCount="1">
    <brk id="17" max="1048575" man="1"/>
  </colBreaks>
  <pictur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dimension ref="C7:J17"/>
  <sheetViews>
    <sheetView showGridLines="0" workbookViewId="0">
      <selection activeCell="B75" sqref="B75"/>
    </sheetView>
  </sheetViews>
  <sheetFormatPr defaultColWidth="10.85546875" defaultRowHeight="12.95"/>
  <cols>
    <col min="1" max="2" width="10.85546875" style="1"/>
    <col min="3" max="4" width="11.140625" style="1" customWidth="1"/>
    <col min="5" max="5" width="8.140625" style="1" customWidth="1"/>
    <col min="6" max="6" width="16.85546875" style="1" customWidth="1"/>
    <col min="7" max="7" width="12.140625" style="1" customWidth="1"/>
    <col min="8" max="8" width="13" style="17" bestFit="1" customWidth="1"/>
    <col min="9" max="9" width="14" style="1" bestFit="1" customWidth="1"/>
    <col min="10" max="10" width="15.140625" style="1" bestFit="1" customWidth="1"/>
    <col min="11" max="16384" width="10.85546875" style="1"/>
  </cols>
  <sheetData>
    <row r="7" spans="3:10" ht="48" customHeight="1">
      <c r="C7" s="8" t="s">
        <v>317</v>
      </c>
      <c r="D7" s="8" t="s">
        <v>318</v>
      </c>
      <c r="E7" s="8" t="s">
        <v>319</v>
      </c>
      <c r="F7" s="8" t="s">
        <v>96</v>
      </c>
      <c r="G7" s="8" t="s">
        <v>320</v>
      </c>
      <c r="H7" s="8" t="s">
        <v>321</v>
      </c>
      <c r="I7" s="8" t="s">
        <v>322</v>
      </c>
      <c r="J7" s="15" t="s">
        <v>323</v>
      </c>
    </row>
    <row r="8" spans="3:10" s="2" customFormat="1" ht="24" customHeight="1">
      <c r="C8" s="9"/>
      <c r="D8" s="10"/>
      <c r="E8" s="11"/>
      <c r="F8" s="7"/>
      <c r="G8" s="12"/>
      <c r="H8" s="16">
        <f>D8-G8</f>
        <v>0</v>
      </c>
      <c r="I8" s="13"/>
      <c r="J8" s="14"/>
    </row>
    <row r="9" spans="3:10" s="2" customFormat="1" ht="24" customHeight="1">
      <c r="C9" s="9"/>
      <c r="D9" s="10"/>
      <c r="E9" s="11"/>
      <c r="F9" s="7"/>
      <c r="G9" s="12"/>
      <c r="H9" s="16">
        <f>G9-D9</f>
        <v>0</v>
      </c>
      <c r="I9" s="13"/>
      <c r="J9" s="14"/>
    </row>
    <row r="10" spans="3:10" s="2" customFormat="1" ht="24" customHeight="1">
      <c r="C10" s="9"/>
      <c r="D10" s="10"/>
      <c r="E10" s="11"/>
      <c r="F10" s="7"/>
      <c r="G10" s="12"/>
      <c r="H10" s="16">
        <f>G10-D10</f>
        <v>0</v>
      </c>
      <c r="I10" s="13"/>
      <c r="J10" s="14"/>
    </row>
    <row r="16" spans="3:10">
      <c r="J16" s="18"/>
    </row>
    <row r="17" spans="10:10">
      <c r="J17" s="18"/>
    </row>
  </sheetData>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9B52-20D2-9249-966E-47B14BFC5C9F}">
  <sheetPr>
    <pageSetUpPr fitToPage="1"/>
  </sheetPr>
  <dimension ref="A1:AG159"/>
  <sheetViews>
    <sheetView showGridLines="0" showRowColHeaders="0" showZeros="0" showOutlineSymbols="0" zoomScaleNormal="100" zoomScaleSheetLayoutView="75" workbookViewId="0">
      <pane ySplit="11" topLeftCell="A13" activePane="bottomLeft" state="frozenSplit"/>
      <selection pane="bottomLeft"/>
    </sheetView>
  </sheetViews>
  <sheetFormatPr defaultColWidth="0" defaultRowHeight="21" zeroHeight="1" thickBottom="1"/>
  <cols>
    <col min="1" max="1" width="7.85546875" style="366" customWidth="1"/>
    <col min="2" max="3" width="13.140625" style="366" customWidth="1"/>
    <col min="4" max="4" width="18.85546875" style="366" customWidth="1"/>
    <col min="5" max="5" width="40.140625" style="366" customWidth="1"/>
    <col min="6" max="6" width="16.140625" style="366" customWidth="1"/>
    <col min="7" max="7" width="14" style="366" customWidth="1"/>
    <col min="8" max="8" width="3.85546875" style="366" customWidth="1"/>
    <col min="9" max="9" width="10" style="366" customWidth="1"/>
    <col min="10" max="10" width="8.85546875" style="366" customWidth="1"/>
    <col min="11" max="11" width="33" style="366" customWidth="1"/>
    <col min="12" max="12" width="4.85546875" style="366" customWidth="1"/>
    <col min="13" max="13" width="13.140625" style="366" customWidth="1"/>
    <col min="14" max="17" width="15" style="366" customWidth="1"/>
    <col min="18" max="18" width="1.42578125" style="366" customWidth="1"/>
    <col min="19" max="19" width="13.140625" style="366" customWidth="1"/>
    <col min="20" max="23" width="15.42578125" style="366" customWidth="1"/>
    <col min="24" max="25" width="17.140625" style="738" bestFit="1" customWidth="1"/>
    <col min="26" max="26" width="20" style="366" bestFit="1" customWidth="1"/>
    <col min="27" max="33" width="0" style="366" hidden="1" customWidth="1"/>
    <col min="34" max="16384" width="10.85546875" style="366" hidden="1"/>
  </cols>
  <sheetData>
    <row r="1" spans="2:27" s="3" customFormat="1" ht="9" customHeight="1" thickBot="1">
      <c r="B1" s="6"/>
      <c r="C1" s="6"/>
      <c r="D1" s="6"/>
      <c r="E1" s="27"/>
      <c r="F1" s="27"/>
      <c r="G1" s="45"/>
      <c r="H1" s="27"/>
      <c r="I1" s="27"/>
      <c r="J1" s="27"/>
      <c r="K1" s="27"/>
      <c r="L1" s="27"/>
      <c r="M1" s="27"/>
      <c r="N1" s="27"/>
      <c r="O1" s="27"/>
      <c r="P1" s="27"/>
      <c r="Q1" s="27"/>
      <c r="R1" s="94"/>
      <c r="S1" s="94"/>
      <c r="T1" s="94"/>
      <c r="U1" s="94"/>
      <c r="V1" s="94"/>
      <c r="W1" s="94"/>
      <c r="X1" s="737"/>
      <c r="Y1" s="737"/>
    </row>
    <row r="2" spans="2:27" s="3" customFormat="1" ht="8.1" customHeight="1">
      <c r="B2" s="6"/>
      <c r="C2" s="6"/>
      <c r="D2" s="6"/>
      <c r="E2" s="97"/>
      <c r="F2" s="97"/>
      <c r="G2" s="96"/>
      <c r="H2" s="97"/>
      <c r="I2" s="97"/>
      <c r="J2" s="97"/>
      <c r="K2" s="97"/>
      <c r="L2" s="97"/>
      <c r="M2" s="97"/>
      <c r="N2" s="97"/>
      <c r="O2" s="97"/>
      <c r="P2" s="97"/>
      <c r="Q2" s="97"/>
      <c r="R2" s="94"/>
      <c r="S2" s="94"/>
      <c r="T2" s="94"/>
      <c r="U2" s="94"/>
      <c r="V2" s="94"/>
      <c r="W2" s="94"/>
      <c r="X2" s="737"/>
      <c r="Y2" s="737"/>
    </row>
    <row r="3" spans="2:27" ht="7.35" customHeight="1">
      <c r="K3" s="367"/>
      <c r="L3" s="368"/>
      <c r="X3" s="737"/>
      <c r="Y3" s="737"/>
    </row>
    <row r="4" spans="2:27" ht="17.100000000000001" customHeight="1">
      <c r="E4" s="369" t="s">
        <v>91</v>
      </c>
      <c r="F4" s="33" t="s">
        <v>324</v>
      </c>
      <c r="G4" s="370"/>
      <c r="H4" s="371"/>
      <c r="I4" s="371"/>
      <c r="J4" s="371"/>
      <c r="K4" s="371"/>
      <c r="L4" s="368"/>
      <c r="N4" s="372"/>
      <c r="O4" s="373"/>
      <c r="P4" s="373"/>
      <c r="Q4" s="373"/>
      <c r="R4" s="373"/>
      <c r="S4" s="374"/>
      <c r="X4" s="737"/>
      <c r="Y4" s="737"/>
    </row>
    <row r="5" spans="2:27" ht="17.100000000000001" customHeight="1">
      <c r="E5" s="200" t="s">
        <v>93</v>
      </c>
      <c r="F5" s="204" t="str">
        <f>Voorblad!$E$16</f>
        <v>Invest-NL</v>
      </c>
      <c r="G5" s="375"/>
      <c r="I5" s="371"/>
      <c r="J5" s="371"/>
      <c r="K5" s="371"/>
      <c r="L5" s="368"/>
      <c r="N5" s="372"/>
      <c r="O5" s="373"/>
      <c r="P5" s="373"/>
      <c r="Q5" s="373"/>
      <c r="R5" s="373"/>
      <c r="S5" s="374"/>
      <c r="X5" s="737"/>
      <c r="Y5" s="737"/>
    </row>
    <row r="6" spans="2:27" ht="17.100000000000001" customHeight="1">
      <c r="E6" s="200" t="s">
        <v>94</v>
      </c>
      <c r="F6" s="204" t="str">
        <f>'1.0-Contractblad'!$E$7</f>
        <v>Kingsfordweg 43-117 Amsterdam</v>
      </c>
      <c r="G6" s="33"/>
      <c r="H6" s="376"/>
      <c r="I6" s="377"/>
      <c r="J6" s="378"/>
      <c r="K6" s="202"/>
      <c r="L6" s="368"/>
      <c r="M6" s="368"/>
      <c r="P6" s="368"/>
      <c r="Q6" s="368"/>
      <c r="R6" s="368"/>
      <c r="S6" s="368"/>
      <c r="T6" s="368"/>
      <c r="U6" s="368"/>
      <c r="V6" s="368"/>
      <c r="W6" s="368"/>
      <c r="X6" s="737"/>
      <c r="Y6" s="737"/>
    </row>
    <row r="7" spans="2:27" ht="17.100000000000001" customHeight="1">
      <c r="E7" s="200" t="s">
        <v>43</v>
      </c>
      <c r="F7" s="210" t="str">
        <f>Voorblad!$E$24</f>
        <v>TN436801</v>
      </c>
      <c r="G7" s="379"/>
      <c r="H7" s="376"/>
      <c r="I7" s="377"/>
      <c r="J7" s="378"/>
      <c r="K7" s="211"/>
      <c r="L7" s="368"/>
      <c r="P7" s="368"/>
      <c r="Q7" s="368"/>
      <c r="R7" s="368"/>
      <c r="S7" s="368"/>
      <c r="T7" s="368"/>
      <c r="U7" s="368"/>
      <c r="V7" s="368"/>
      <c r="W7" s="368"/>
      <c r="X7" s="737"/>
      <c r="Y7" s="737"/>
    </row>
    <row r="8" spans="2:27" ht="17.100000000000001" customHeight="1">
      <c r="E8" s="200" t="s">
        <v>45</v>
      </c>
      <c r="F8" s="215" t="e">
        <f ca="1">Voorblad!$E$26</f>
        <v>#VALUE!</v>
      </c>
      <c r="G8" s="379"/>
      <c r="H8" s="380"/>
      <c r="I8" s="377"/>
      <c r="J8" s="378"/>
      <c r="K8" s="211"/>
      <c r="L8" s="368"/>
      <c r="P8" s="368"/>
      <c r="Q8" s="368"/>
      <c r="R8" s="368"/>
      <c r="S8" s="368"/>
      <c r="T8" s="368"/>
      <c r="U8" s="368"/>
      <c r="V8" s="368"/>
      <c r="W8" s="368"/>
      <c r="X8" s="737"/>
      <c r="Y8" s="737"/>
    </row>
    <row r="9" spans="2:27" ht="17.100000000000001" customHeight="1">
      <c r="E9" s="200" t="s">
        <v>95</v>
      </c>
      <c r="F9" s="219" t="str">
        <f>Voorblad!$E$19</f>
        <v>[Invoeren naam organisatie van Inschrijver]</v>
      </c>
      <c r="G9" s="377"/>
      <c r="H9" s="380"/>
      <c r="I9" s="377"/>
      <c r="J9" s="378"/>
      <c r="K9" s="211"/>
      <c r="L9" s="368"/>
      <c r="P9" s="368"/>
      <c r="Q9" s="368"/>
      <c r="R9" s="368"/>
      <c r="S9" s="368"/>
      <c r="T9" s="368"/>
      <c r="U9" s="368"/>
      <c r="V9" s="368"/>
      <c r="W9" s="368"/>
      <c r="X9" s="737"/>
      <c r="Y9" s="737"/>
    </row>
    <row r="10" spans="2:27" ht="17.100000000000001" customHeight="1">
      <c r="E10" s="200" t="s">
        <v>42</v>
      </c>
      <c r="F10" s="768">
        <f>Voorblad!$E$22</f>
        <v>45473</v>
      </c>
      <c r="G10" s="768"/>
      <c r="H10" s="380"/>
      <c r="I10" s="377"/>
      <c r="J10" s="378"/>
      <c r="K10" s="202"/>
      <c r="L10" s="368"/>
      <c r="M10" s="368"/>
      <c r="N10" s="368"/>
      <c r="O10" s="368"/>
      <c r="P10" s="368"/>
      <c r="Q10" s="368"/>
      <c r="R10" s="368"/>
      <c r="S10" s="368"/>
      <c r="T10" s="368"/>
      <c r="U10" s="368"/>
      <c r="V10" s="368"/>
      <c r="W10" s="368"/>
      <c r="X10" s="737"/>
      <c r="Y10" s="737"/>
    </row>
    <row r="11" spans="2:27" ht="36.950000000000003" customHeight="1">
      <c r="E11" s="369"/>
      <c r="F11" s="382"/>
      <c r="G11" s="377"/>
      <c r="H11" s="377"/>
      <c r="M11" s="40"/>
      <c r="N11" s="767" t="s">
        <v>325</v>
      </c>
      <c r="O11" s="767"/>
      <c r="P11" s="767"/>
      <c r="Q11" s="767"/>
      <c r="R11" s="368"/>
      <c r="S11" s="381"/>
      <c r="T11" s="767" t="s">
        <v>326</v>
      </c>
      <c r="U11" s="767"/>
      <c r="V11" s="767"/>
      <c r="W11" s="767"/>
      <c r="X11" s="737"/>
      <c r="Y11" s="737"/>
    </row>
    <row r="12" spans="2:27" ht="15.95" hidden="1" customHeight="1">
      <c r="E12" s="369"/>
      <c r="F12" s="41"/>
      <c r="G12" s="377"/>
      <c r="H12" s="377"/>
      <c r="I12" s="377"/>
      <c r="J12" s="378"/>
      <c r="K12" s="40"/>
      <c r="L12" s="40"/>
      <c r="M12" s="40"/>
      <c r="N12" s="40"/>
      <c r="O12" s="40"/>
      <c r="P12" s="40"/>
      <c r="Q12" s="40"/>
      <c r="R12" s="368"/>
      <c r="S12" s="381"/>
      <c r="T12" s="40"/>
      <c r="U12" s="40"/>
      <c r="V12" s="40"/>
      <c r="W12" s="40"/>
      <c r="X12" s="737"/>
      <c r="Y12" s="737"/>
    </row>
    <row r="13" spans="2:27" ht="49.35" customHeight="1">
      <c r="H13" s="383"/>
      <c r="I13" s="383"/>
      <c r="J13" s="378"/>
      <c r="K13" s="384"/>
      <c r="L13" s="118"/>
      <c r="M13" s="373"/>
      <c r="N13" s="455" t="s">
        <v>327</v>
      </c>
      <c r="O13" s="455" t="s">
        <v>327</v>
      </c>
      <c r="P13" s="455" t="s">
        <v>327</v>
      </c>
      <c r="Q13" s="455" t="s">
        <v>327</v>
      </c>
      <c r="R13" s="368"/>
      <c r="S13" s="381"/>
      <c r="T13" s="455" t="s">
        <v>328</v>
      </c>
      <c r="U13" s="455" t="s">
        <v>328</v>
      </c>
      <c r="V13" s="455" t="s">
        <v>328</v>
      </c>
      <c r="W13" s="455" t="s">
        <v>328</v>
      </c>
      <c r="X13" s="737"/>
      <c r="Y13" s="737"/>
    </row>
    <row r="14" spans="2:27" ht="8.1" customHeight="1">
      <c r="H14" s="383"/>
      <c r="I14" s="383"/>
      <c r="J14" s="378"/>
      <c r="K14" s="384"/>
      <c r="L14" s="118"/>
      <c r="M14" s="118"/>
      <c r="N14" s="118"/>
      <c r="O14" s="118"/>
      <c r="P14" s="118"/>
      <c r="Q14" s="118"/>
      <c r="R14" s="368"/>
      <c r="S14" s="381"/>
      <c r="T14" s="118"/>
      <c r="U14" s="118"/>
      <c r="V14" s="118"/>
      <c r="W14" s="118"/>
      <c r="X14" s="737"/>
      <c r="Y14" s="737"/>
    </row>
    <row r="15" spans="2:27" s="373" customFormat="1" ht="48">
      <c r="E15" s="366"/>
      <c r="H15" s="385"/>
      <c r="I15" s="385"/>
      <c r="J15" s="386"/>
      <c r="K15" s="387"/>
      <c r="L15" s="388"/>
      <c r="M15" s="387"/>
      <c r="N15" s="456" t="s">
        <v>329</v>
      </c>
      <c r="O15" s="456" t="s">
        <v>329</v>
      </c>
      <c r="P15" s="456" t="s">
        <v>329</v>
      </c>
      <c r="Q15" s="456" t="s">
        <v>329</v>
      </c>
      <c r="R15" s="368"/>
      <c r="S15" s="381"/>
      <c r="T15" s="456">
        <v>1</v>
      </c>
      <c r="U15" s="456">
        <v>2</v>
      </c>
      <c r="V15" s="456">
        <v>3</v>
      </c>
      <c r="W15" s="456">
        <v>4</v>
      </c>
      <c r="X15" s="737"/>
      <c r="Y15" s="737"/>
      <c r="Z15" s="366"/>
      <c r="AA15" s="389"/>
    </row>
    <row r="16" spans="2:27" ht="15.95" hidden="1" customHeight="1">
      <c r="F16" s="390"/>
      <c r="G16" s="390"/>
      <c r="H16" s="390"/>
      <c r="I16" s="390"/>
      <c r="J16" s="390"/>
      <c r="K16" s="391"/>
      <c r="L16" s="392"/>
      <c r="M16" s="393" t="s">
        <v>67</v>
      </c>
      <c r="N16" s="394" t="str">
        <f>IF(N17=0,"Selecteer cel",CONCATENATE(N13," Dienstjaar ",N15))</f>
        <v>Selecteer cel</v>
      </c>
      <c r="O16" s="394" t="str">
        <f>IF(O17=0,"Selecteer cel",CONCATENATE(O13," Dienstjaar ",O15))</f>
        <v>Selecteer cel</v>
      </c>
      <c r="P16" s="394" t="str">
        <f>IF(P17=0,"Selecteer cel",CONCATENATE(P13," Dienstjaar ",P15))</f>
        <v>Selecteer cel</v>
      </c>
      <c r="Q16" s="394" t="str">
        <f>IF(Q17=0,"Selecteer cel",CONCATENATE(Q13," Dienstjaar ",Q15))</f>
        <v>Selecteer cel</v>
      </c>
      <c r="R16" s="368"/>
      <c r="S16" s="393" t="s">
        <v>67</v>
      </c>
      <c r="T16" s="394" t="str">
        <f>IF(T17=0,"Selecteer cel",CONCATENATE(T13," Dienstjaar ",T15))</f>
        <v>Lngr 1 : Vakvolwassen Dienstjaar 1</v>
      </c>
      <c r="U16" s="394" t="str">
        <f>IF(U17=0,"Selecteer cel",CONCATENATE(U13," Dienstjaar ",U15))</f>
        <v>Lngr 1 : Vakvolwassen Dienstjaar 2</v>
      </c>
      <c r="V16" s="394" t="str">
        <f>IF(V17=0,"Selecteer cel",CONCATENATE(V13," Dienstjaar ",V15))</f>
        <v>Lngr 1 : Vakvolwassen Dienstjaar 3</v>
      </c>
      <c r="W16" s="394" t="str">
        <f>IF(W17=0,"Selecteer cel",CONCATENATE(W13," Dienstjaar ",W15))</f>
        <v>Lngr 1 : Vakvolwassen Dienstjaar 4</v>
      </c>
      <c r="X16" s="737"/>
      <c r="Y16" s="737"/>
      <c r="AA16" s="395"/>
    </row>
    <row r="17" spans="2:25" ht="17.100000000000001" customHeight="1">
      <c r="E17" s="396" t="s">
        <v>330</v>
      </c>
      <c r="G17" s="397" t="s">
        <v>331</v>
      </c>
      <c r="H17" s="398"/>
      <c r="I17" s="378"/>
      <c r="J17" s="399"/>
      <c r="K17" s="388"/>
      <c r="L17" s="400"/>
      <c r="M17" s="150"/>
      <c r="N17" s="530"/>
      <c r="O17" s="530"/>
      <c r="P17" s="530"/>
      <c r="Q17" s="530"/>
      <c r="R17" s="368"/>
      <c r="S17" s="381"/>
      <c r="T17" s="530">
        <v>1</v>
      </c>
      <c r="U17" s="530">
        <v>2</v>
      </c>
      <c r="V17" s="530">
        <v>3</v>
      </c>
      <c r="W17" s="530">
        <v>4</v>
      </c>
      <c r="X17" s="737"/>
      <c r="Y17" s="737"/>
    </row>
    <row r="18" spans="2:25" ht="15" customHeight="1">
      <c r="G18" s="401">
        <f>IF(F18="x",F85,0)</f>
        <v>0</v>
      </c>
      <c r="H18" s="398"/>
      <c r="I18" s="378"/>
      <c r="J18" s="399"/>
      <c r="K18" s="388"/>
      <c r="L18" s="402"/>
      <c r="M18" s="118"/>
      <c r="N18" s="118">
        <v>0</v>
      </c>
      <c r="O18" s="118"/>
      <c r="P18" s="118"/>
      <c r="Q18" s="118"/>
      <c r="R18" s="368"/>
      <c r="S18" s="118"/>
      <c r="T18" s="118"/>
      <c r="U18" s="118"/>
      <c r="V18" s="118"/>
      <c r="W18" s="118"/>
      <c r="X18" s="737"/>
      <c r="Y18" s="737"/>
    </row>
    <row r="19" spans="2:25" ht="15.95" customHeight="1" thickBot="1">
      <c r="B19" s="591"/>
      <c r="C19" s="562" t="s">
        <v>17</v>
      </c>
      <c r="E19" s="40" t="s">
        <v>332</v>
      </c>
      <c r="G19" s="533"/>
      <c r="H19" s="403"/>
      <c r="I19" s="378"/>
      <c r="J19" s="399"/>
      <c r="K19" s="388"/>
      <c r="L19" s="400"/>
      <c r="M19" s="118"/>
      <c r="N19" s="118"/>
      <c r="O19" s="118"/>
      <c r="P19" s="118"/>
      <c r="Q19" s="118"/>
      <c r="R19" s="368"/>
      <c r="S19" s="118"/>
      <c r="T19" s="118"/>
      <c r="U19" s="118"/>
      <c r="V19" s="118"/>
      <c r="W19" s="118"/>
      <c r="X19" s="737"/>
      <c r="Y19" s="737"/>
    </row>
    <row r="20" spans="2:25" ht="17.100000000000001" customHeight="1" thickBot="1">
      <c r="B20" s="529"/>
      <c r="C20" s="562" t="s">
        <v>18</v>
      </c>
      <c r="E20" s="404" t="s">
        <v>333</v>
      </c>
      <c r="G20" s="533"/>
      <c r="H20" s="398"/>
      <c r="I20" s="378"/>
      <c r="J20" s="399"/>
      <c r="K20" s="384"/>
      <c r="L20" s="384"/>
      <c r="M20" s="405" t="s">
        <v>334</v>
      </c>
      <c r="N20" s="384"/>
      <c r="O20" s="384"/>
      <c r="P20" s="384"/>
      <c r="Q20" s="384"/>
      <c r="R20" s="368"/>
      <c r="S20" s="381"/>
      <c r="T20" s="406"/>
      <c r="U20" s="384"/>
      <c r="V20" s="384"/>
      <c r="W20" s="384"/>
      <c r="X20" s="737"/>
      <c r="Y20" s="737"/>
    </row>
    <row r="21" spans="2:25" ht="17.100000000000001" customHeight="1" thickBot="1">
      <c r="B21" s="601">
        <f>'1.4-Opbouw uurtarieven'!H7</f>
        <v>0</v>
      </c>
      <c r="C21" s="562" t="s">
        <v>19</v>
      </c>
      <c r="D21" s="368"/>
      <c r="E21" s="40" t="s">
        <v>335</v>
      </c>
      <c r="G21" s="605"/>
      <c r="H21" s="398" t="s">
        <v>336</v>
      </c>
      <c r="I21" s="378"/>
      <c r="J21" s="399"/>
      <c r="K21" s="118"/>
      <c r="L21" s="407" t="s">
        <v>337</v>
      </c>
      <c r="M21" s="405"/>
      <c r="N21" s="530"/>
      <c r="O21" s="530"/>
      <c r="P21" s="530"/>
      <c r="Q21" s="530"/>
      <c r="R21" s="368"/>
      <c r="S21" s="381"/>
      <c r="T21" s="530"/>
      <c r="U21" s="530"/>
      <c r="V21" s="530"/>
      <c r="W21" s="530"/>
      <c r="X21" s="737"/>
      <c r="Y21" s="737"/>
    </row>
    <row r="22" spans="2:25" ht="15.95" customHeight="1">
      <c r="E22" s="408" t="s">
        <v>338</v>
      </c>
      <c r="G22" s="607">
        <f>SUM(G18:G21)</f>
        <v>0</v>
      </c>
      <c r="H22" s="398"/>
      <c r="I22" s="378"/>
      <c r="J22" s="399"/>
      <c r="K22" s="384"/>
      <c r="L22" s="409" t="s">
        <v>339</v>
      </c>
      <c r="M22" s="405"/>
      <c r="N22" s="530"/>
      <c r="O22" s="530"/>
      <c r="P22" s="530"/>
      <c r="Q22" s="530"/>
      <c r="R22" s="368"/>
      <c r="S22" s="381"/>
      <c r="T22" s="530"/>
      <c r="U22" s="530"/>
      <c r="V22" s="530"/>
      <c r="W22" s="530"/>
      <c r="X22" s="737"/>
      <c r="Y22" s="737"/>
    </row>
    <row r="23" spans="2:25" ht="15.95" customHeight="1">
      <c r="G23" s="410"/>
      <c r="H23" s="403"/>
      <c r="I23" s="410"/>
      <c r="J23" s="399"/>
      <c r="K23" s="384"/>
      <c r="L23" s="400" t="s">
        <v>340</v>
      </c>
      <c r="M23" s="405"/>
      <c r="N23" s="530"/>
      <c r="O23" s="530"/>
      <c r="P23" s="530"/>
      <c r="Q23" s="530"/>
      <c r="R23" s="368"/>
      <c r="S23" s="381"/>
      <c r="T23" s="530"/>
      <c r="U23" s="530"/>
      <c r="V23" s="530"/>
      <c r="W23" s="530"/>
      <c r="X23" s="737"/>
      <c r="Y23" s="737"/>
    </row>
    <row r="24" spans="2:25" ht="18.95" customHeight="1">
      <c r="E24" s="337" t="s">
        <v>341</v>
      </c>
      <c r="I24" s="378"/>
      <c r="J24" s="399"/>
      <c r="K24" s="384"/>
      <c r="L24" s="409" t="s">
        <v>342</v>
      </c>
      <c r="M24" s="653">
        <v>0</v>
      </c>
      <c r="N24" s="411">
        <f>N17*$M$24</f>
        <v>0</v>
      </c>
      <c r="O24" s="411">
        <f>O17*$M$24</f>
        <v>0</v>
      </c>
      <c r="P24" s="411">
        <f>P17*$M$24</f>
        <v>0</v>
      </c>
      <c r="Q24" s="411">
        <f>Q17*$M$24</f>
        <v>0</v>
      </c>
      <c r="R24" s="368"/>
      <c r="S24" s="381"/>
      <c r="T24" s="411">
        <f>T17*$M$24</f>
        <v>0</v>
      </c>
      <c r="U24" s="411">
        <f>U17*$M$24</f>
        <v>0</v>
      </c>
      <c r="V24" s="411">
        <f>V17*$M$24</f>
        <v>0</v>
      </c>
      <c r="W24" s="411">
        <f>W17*$M$24</f>
        <v>0</v>
      </c>
      <c r="X24" s="737"/>
      <c r="Y24" s="737"/>
    </row>
    <row r="25" spans="2:25" ht="18" customHeight="1">
      <c r="E25" s="531" t="s">
        <v>343</v>
      </c>
      <c r="F25" s="412"/>
      <c r="G25" s="604">
        <f>VLOOKUP(E25,E86:G88,3,FALSE)</f>
        <v>0</v>
      </c>
      <c r="H25" s="398"/>
      <c r="I25" s="378"/>
      <c r="J25" s="399"/>
      <c r="K25" s="384"/>
      <c r="L25" s="409"/>
      <c r="M25" s="413"/>
      <c r="N25" s="414"/>
      <c r="O25" s="414"/>
      <c r="P25" s="414"/>
      <c r="Q25" s="414"/>
      <c r="R25" s="368"/>
      <c r="S25" s="384"/>
      <c r="T25" s="384"/>
      <c r="U25" s="384"/>
      <c r="V25" s="384"/>
      <c r="W25" s="384"/>
      <c r="X25" s="737"/>
      <c r="Y25" s="737"/>
    </row>
    <row r="26" spans="2:25" ht="15" customHeight="1">
      <c r="E26" s="366" t="s">
        <v>344</v>
      </c>
      <c r="G26" s="532"/>
      <c r="H26" s="398"/>
      <c r="I26" s="378"/>
      <c r="J26" s="399"/>
      <c r="K26" s="399"/>
      <c r="L26" s="409"/>
      <c r="M26" s="413"/>
      <c r="N26" s="384"/>
      <c r="O26" s="384"/>
      <c r="P26" s="384"/>
      <c r="Q26" s="384"/>
      <c r="R26" s="368"/>
      <c r="S26" s="384"/>
      <c r="T26" s="384"/>
      <c r="U26" s="384"/>
      <c r="V26" s="384"/>
      <c r="W26" s="384"/>
      <c r="X26" s="737"/>
      <c r="Y26" s="737"/>
    </row>
    <row r="27" spans="2:25" ht="15" customHeight="1">
      <c r="E27" s="404" t="s">
        <v>345</v>
      </c>
      <c r="G27" s="602">
        <f>G43</f>
        <v>0</v>
      </c>
      <c r="H27" s="398"/>
      <c r="I27" s="378"/>
      <c r="J27" s="399"/>
      <c r="K27" s="384"/>
      <c r="L27" s="399" t="s">
        <v>346</v>
      </c>
      <c r="M27" s="405"/>
      <c r="N27" s="415">
        <f>SUM(N17:N25)</f>
        <v>0</v>
      </c>
      <c r="O27" s="415">
        <f>SUM(O17:O25)</f>
        <v>0</v>
      </c>
      <c r="P27" s="415">
        <f>SUM(P17:P25)</f>
        <v>0</v>
      </c>
      <c r="Q27" s="415">
        <f>SUM(Q17:Q25)</f>
        <v>0</v>
      </c>
      <c r="R27" s="368"/>
      <c r="S27" s="415"/>
      <c r="T27" s="415">
        <f>SUM(T17:T25)</f>
        <v>1</v>
      </c>
      <c r="U27" s="415">
        <f>SUM(U17:U25)</f>
        <v>2</v>
      </c>
      <c r="V27" s="415">
        <f>SUM(V17:V25)</f>
        <v>3</v>
      </c>
      <c r="W27" s="415">
        <f>SUM(W17:W25)</f>
        <v>4</v>
      </c>
      <c r="X27" s="737"/>
      <c r="Y27" s="737"/>
    </row>
    <row r="28" spans="2:25" ht="15" customHeight="1">
      <c r="E28" s="404" t="s">
        <v>347</v>
      </c>
      <c r="G28" s="533"/>
      <c r="H28" s="398"/>
      <c r="I28" s="378"/>
      <c r="J28" s="399"/>
      <c r="K28" s="384"/>
      <c r="L28" s="118"/>
      <c r="M28" s="416"/>
      <c r="N28" s="384"/>
      <c r="O28" s="384"/>
      <c r="P28" s="384"/>
      <c r="Q28" s="384"/>
      <c r="R28" s="368"/>
      <c r="S28" s="384"/>
      <c r="T28" s="384"/>
      <c r="U28" s="384"/>
      <c r="V28" s="384"/>
      <c r="W28" s="384"/>
      <c r="X28" s="737"/>
      <c r="Y28" s="737"/>
    </row>
    <row r="29" spans="2:25" ht="15" customHeight="1">
      <c r="E29" s="404" t="s">
        <v>348</v>
      </c>
      <c r="H29" s="398"/>
      <c r="I29" s="378"/>
      <c r="J29" s="399"/>
      <c r="K29" s="384"/>
      <c r="L29" s="409" t="s">
        <v>349</v>
      </c>
      <c r="M29" s="534">
        <v>0</v>
      </c>
      <c r="N29" s="411">
        <f>N27*$M$29</f>
        <v>0</v>
      </c>
      <c r="O29" s="411">
        <f>O27*$M$29</f>
        <v>0</v>
      </c>
      <c r="P29" s="411">
        <f>P27*$M$29</f>
        <v>0</v>
      </c>
      <c r="Q29" s="411">
        <f>Q27*$M$29</f>
        <v>0</v>
      </c>
      <c r="R29" s="368"/>
      <c r="S29" s="411"/>
      <c r="T29" s="411">
        <f>T27*$M$29</f>
        <v>0</v>
      </c>
      <c r="U29" s="411">
        <f>U27*$M$29</f>
        <v>0</v>
      </c>
      <c r="V29" s="411">
        <f>V27*$M$29</f>
        <v>0</v>
      </c>
      <c r="W29" s="411">
        <f>W27*$M$29</f>
        <v>0</v>
      </c>
      <c r="X29" s="737"/>
      <c r="Y29" s="737"/>
    </row>
    <row r="30" spans="2:25" ht="15" customHeight="1">
      <c r="E30" s="404" t="s">
        <v>350</v>
      </c>
      <c r="G30" s="605"/>
      <c r="H30" s="398"/>
      <c r="I30" s="378"/>
      <c r="J30" s="399"/>
      <c r="K30" s="384"/>
      <c r="L30" s="118"/>
      <c r="M30" s="416"/>
      <c r="N30" s="384"/>
      <c r="O30" s="384"/>
      <c r="P30" s="384"/>
      <c r="Q30" s="384"/>
      <c r="R30" s="368"/>
      <c r="S30" s="384"/>
      <c r="T30" s="384"/>
      <c r="U30" s="384"/>
      <c r="V30" s="384"/>
      <c r="W30" s="384"/>
      <c r="X30" s="737"/>
      <c r="Y30" s="737"/>
    </row>
    <row r="31" spans="2:25" ht="15" customHeight="1">
      <c r="E31" s="404" t="s">
        <v>351</v>
      </c>
      <c r="G31" s="609"/>
      <c r="H31" s="398"/>
      <c r="I31" s="378"/>
      <c r="J31" s="399"/>
      <c r="K31" s="384"/>
      <c r="L31" s="399" t="s">
        <v>352</v>
      </c>
      <c r="M31" s="405"/>
      <c r="N31" s="415">
        <f>SUM(N27:N29)</f>
        <v>0</v>
      </c>
      <c r="O31" s="415">
        <f>SUM(O27:O29)</f>
        <v>0</v>
      </c>
      <c r="P31" s="415">
        <f>SUM(P27:P29)</f>
        <v>0</v>
      </c>
      <c r="Q31" s="415">
        <f>SUM(Q27:Q29)</f>
        <v>0</v>
      </c>
      <c r="R31" s="368"/>
      <c r="S31" s="415"/>
      <c r="T31" s="415">
        <f>SUM(T27:T29)</f>
        <v>1</v>
      </c>
      <c r="U31" s="415">
        <f>SUM(U27:U29)</f>
        <v>2</v>
      </c>
      <c r="V31" s="415">
        <f>SUM(V27:V29)</f>
        <v>3</v>
      </c>
      <c r="W31" s="415">
        <f>SUM(W27:W29)</f>
        <v>4</v>
      </c>
      <c r="X31" s="737"/>
      <c r="Y31" s="737"/>
    </row>
    <row r="32" spans="2:25" ht="15" customHeight="1">
      <c r="E32" s="404"/>
      <c r="G32" s="417"/>
      <c r="H32" s="398" t="s">
        <v>336</v>
      </c>
      <c r="I32" s="378"/>
      <c r="J32" s="399"/>
      <c r="K32" s="384"/>
      <c r="L32" s="118"/>
      <c r="M32" s="416"/>
      <c r="N32" s="384"/>
      <c r="O32" s="384"/>
      <c r="P32" s="384"/>
      <c r="Q32" s="384"/>
      <c r="R32" s="368"/>
      <c r="S32" s="384"/>
      <c r="T32" s="384"/>
      <c r="U32" s="384"/>
      <c r="V32" s="384"/>
      <c r="W32" s="384"/>
      <c r="X32" s="737"/>
      <c r="Y32" s="737"/>
    </row>
    <row r="33" spans="5:25" ht="15" customHeight="1">
      <c r="E33" s="399"/>
      <c r="F33" s="399" t="s">
        <v>353</v>
      </c>
      <c r="G33" s="610">
        <f>SUM(G22:G32)</f>
        <v>0</v>
      </c>
      <c r="H33" s="398"/>
      <c r="I33" s="378"/>
      <c r="J33" s="399"/>
      <c r="K33" s="384"/>
      <c r="L33" s="418" t="s">
        <v>354</v>
      </c>
      <c r="M33" s="405"/>
      <c r="N33" s="419">
        <f>N31*0.995</f>
        <v>0</v>
      </c>
      <c r="O33" s="419">
        <f>O31*0.995</f>
        <v>0</v>
      </c>
      <c r="P33" s="419">
        <f>P31*0.995</f>
        <v>0</v>
      </c>
      <c r="Q33" s="419">
        <f>Q31*0.995</f>
        <v>0</v>
      </c>
      <c r="R33" s="368"/>
      <c r="S33" s="419"/>
      <c r="T33" s="419">
        <f>T31*0.995</f>
        <v>0.995</v>
      </c>
      <c r="U33" s="419">
        <f>U31*0.995</f>
        <v>1.99</v>
      </c>
      <c r="V33" s="419">
        <f>V31*0.995</f>
        <v>2.9849999999999999</v>
      </c>
      <c r="W33" s="419">
        <f>W31*0.995</f>
        <v>3.98</v>
      </c>
      <c r="X33" s="737"/>
      <c r="Y33" s="737"/>
    </row>
    <row r="34" spans="5:25" ht="15" customHeight="1">
      <c r="H34" s="403"/>
      <c r="I34" s="378"/>
      <c r="J34" s="399"/>
      <c r="K34" s="384"/>
      <c r="L34" s="409" t="s">
        <v>355</v>
      </c>
      <c r="M34" s="720">
        <f>G33</f>
        <v>0</v>
      </c>
      <c r="N34" s="411">
        <f>IF(N33=0,0,N33*'1.4-Opbouw uurtarieven'!$G$33)</f>
        <v>0</v>
      </c>
      <c r="O34" s="411">
        <f>IF(O33=0,0,O33*'1.4-Opbouw uurtarieven'!$G$33)</f>
        <v>0</v>
      </c>
      <c r="P34" s="411">
        <f>IF(P33=0,0,P33*'1.4-Opbouw uurtarieven'!$G$33)</f>
        <v>0</v>
      </c>
      <c r="Q34" s="411">
        <f>IF(Q33=0,0,Q33*'1.4-Opbouw uurtarieven'!$G$33)</f>
        <v>0</v>
      </c>
      <c r="R34" s="368"/>
      <c r="S34" s="411"/>
      <c r="T34" s="411">
        <f>IF(T33=0,0,T33*'1.4-Opbouw uurtarieven'!$G$33)</f>
        <v>0</v>
      </c>
      <c r="U34" s="411">
        <f>IF(U33=0,0,U33*'1.4-Opbouw uurtarieven'!$G$33)</f>
        <v>0</v>
      </c>
      <c r="V34" s="411">
        <f>IF(V33=0,0,V33*'1.4-Opbouw uurtarieven'!$G$33)</f>
        <v>0</v>
      </c>
      <c r="W34" s="411">
        <f>IF(W33=0,0,W33*'1.4-Opbouw uurtarieven'!$G$33)</f>
        <v>0</v>
      </c>
      <c r="X34" s="737"/>
      <c r="Y34" s="737"/>
    </row>
    <row r="35" spans="5:25" ht="17.100000000000001" customHeight="1">
      <c r="E35" s="396" t="s">
        <v>356</v>
      </c>
      <c r="F35" s="383"/>
      <c r="G35" s="420"/>
      <c r="H35" s="398"/>
      <c r="I35" s="378"/>
      <c r="J35" s="399"/>
      <c r="K35" s="384"/>
      <c r="L35" s="118"/>
      <c r="M35" s="421"/>
      <c r="N35" s="384"/>
      <c r="O35" s="384"/>
      <c r="P35" s="384"/>
      <c r="Q35" s="384"/>
      <c r="R35" s="368"/>
      <c r="S35" s="384"/>
      <c r="T35" s="384"/>
      <c r="U35" s="384"/>
      <c r="V35" s="384"/>
      <c r="W35" s="384"/>
      <c r="X35" s="737"/>
      <c r="Y35" s="737"/>
    </row>
    <row r="36" spans="5:25" ht="15" customHeight="1">
      <c r="E36" s="398"/>
      <c r="F36" s="398"/>
      <c r="G36" s="422"/>
      <c r="H36" s="398"/>
      <c r="I36" s="378"/>
      <c r="J36" s="399"/>
      <c r="K36" s="384"/>
      <c r="L36" s="399" t="s">
        <v>357</v>
      </c>
      <c r="M36" s="423"/>
      <c r="N36" s="415">
        <f>N34+N31</f>
        <v>0</v>
      </c>
      <c r="O36" s="415">
        <f>O34+O31</f>
        <v>0</v>
      </c>
      <c r="P36" s="415">
        <f>P34+P31</f>
        <v>0</v>
      </c>
      <c r="Q36" s="415">
        <f>Q34+Q31</f>
        <v>0</v>
      </c>
      <c r="R36" s="368"/>
      <c r="S36" s="415"/>
      <c r="T36" s="415">
        <f>T34+T31</f>
        <v>1</v>
      </c>
      <c r="U36" s="415">
        <f>U34+U31</f>
        <v>2</v>
      </c>
      <c r="V36" s="415">
        <f>V34+V31</f>
        <v>3</v>
      </c>
      <c r="W36" s="415">
        <f>W34+W31</f>
        <v>4</v>
      </c>
      <c r="X36" s="737"/>
      <c r="Y36" s="737"/>
    </row>
    <row r="37" spans="5:25" ht="15" customHeight="1">
      <c r="E37" s="398"/>
      <c r="F37" s="398"/>
      <c r="G37" s="397" t="s">
        <v>358</v>
      </c>
      <c r="H37" s="398"/>
      <c r="I37" s="378"/>
      <c r="J37" s="399"/>
      <c r="K37" s="384"/>
      <c r="L37" s="118"/>
      <c r="M37" s="421"/>
      <c r="N37" s="384"/>
      <c r="O37" s="384"/>
      <c r="P37" s="384"/>
      <c r="Q37" s="384"/>
      <c r="R37" s="368"/>
      <c r="S37" s="384"/>
      <c r="T37" s="384"/>
      <c r="U37" s="384"/>
      <c r="V37" s="384"/>
      <c r="W37" s="384"/>
      <c r="X37" s="737"/>
      <c r="Y37" s="737"/>
    </row>
    <row r="38" spans="5:25" ht="15" customHeight="1">
      <c r="E38" s="366" t="s">
        <v>359</v>
      </c>
      <c r="G38" s="603">
        <f>O81</f>
        <v>0</v>
      </c>
      <c r="H38" s="398"/>
      <c r="I38" s="378"/>
      <c r="J38" s="399"/>
      <c r="K38" s="384"/>
      <c r="L38" s="409" t="s">
        <v>360</v>
      </c>
      <c r="M38" s="720">
        <f>$G$63</f>
        <v>0</v>
      </c>
      <c r="N38" s="411">
        <f>N36*'1.4-Opbouw uurtarieven'!$G$63</f>
        <v>0</v>
      </c>
      <c r="O38" s="411">
        <f>O36*'1.4-Opbouw uurtarieven'!$G$63</f>
        <v>0</v>
      </c>
      <c r="P38" s="411">
        <f>P36*'1.4-Opbouw uurtarieven'!$G$63</f>
        <v>0</v>
      </c>
      <c r="Q38" s="411">
        <f>Q36*'1.4-Opbouw uurtarieven'!$G$63</f>
        <v>0</v>
      </c>
      <c r="R38" s="368"/>
      <c r="S38" s="411"/>
      <c r="T38" s="411">
        <f>T36*'1.4-Opbouw uurtarieven'!$G$63</f>
        <v>0</v>
      </c>
      <c r="U38" s="411">
        <f>U36*'1.4-Opbouw uurtarieven'!$G$63</f>
        <v>0</v>
      </c>
      <c r="V38" s="411">
        <f>V36*'1.4-Opbouw uurtarieven'!$G$63</f>
        <v>0</v>
      </c>
      <c r="W38" s="411">
        <f>W36*'1.4-Opbouw uurtarieven'!$G$63</f>
        <v>0</v>
      </c>
      <c r="X38" s="737"/>
      <c r="Y38" s="737"/>
    </row>
    <row r="39" spans="5:25" ht="15" customHeight="1">
      <c r="E39" s="366" t="s">
        <v>361</v>
      </c>
      <c r="F39" s="424"/>
      <c r="G39" s="606"/>
      <c r="H39" s="611" t="s">
        <v>206</v>
      </c>
      <c r="I39" s="425"/>
      <c r="J39" s="399"/>
      <c r="K39" s="384"/>
      <c r="L39" s="399" t="s">
        <v>362</v>
      </c>
      <c r="M39" s="405"/>
      <c r="N39" s="415">
        <f>SUM(N36:N38)</f>
        <v>0</v>
      </c>
      <c r="O39" s="415">
        <f>SUM(O36:O38)</f>
        <v>0</v>
      </c>
      <c r="P39" s="415">
        <f>SUM(P36:P38)</f>
        <v>0</v>
      </c>
      <c r="Q39" s="415">
        <f>SUM(Q36:Q38)</f>
        <v>0</v>
      </c>
      <c r="R39" s="368"/>
      <c r="S39" s="415"/>
      <c r="T39" s="415">
        <f>SUM(T36:T38)</f>
        <v>1</v>
      </c>
      <c r="U39" s="415">
        <f>SUM(U36:U38)</f>
        <v>2</v>
      </c>
      <c r="V39" s="415">
        <f>SUM(V36:V38)</f>
        <v>3</v>
      </c>
      <c r="W39" s="415">
        <f>SUM(W36:W38)</f>
        <v>4</v>
      </c>
      <c r="X39" s="737"/>
      <c r="Y39" s="737"/>
    </row>
    <row r="40" spans="5:25" ht="15" customHeight="1">
      <c r="E40" s="366" t="s">
        <v>363</v>
      </c>
      <c r="G40" s="608">
        <f>G38-G39</f>
        <v>0</v>
      </c>
      <c r="H40" s="398"/>
      <c r="I40" s="378"/>
      <c r="J40" s="426"/>
      <c r="K40" s="384"/>
      <c r="L40" s="118"/>
      <c r="M40" s="416"/>
      <c r="N40" s="384"/>
      <c r="O40" s="384"/>
      <c r="P40" s="384"/>
      <c r="Q40" s="384"/>
      <c r="R40" s="368"/>
      <c r="S40" s="415"/>
      <c r="T40" s="384"/>
      <c r="U40" s="384"/>
      <c r="V40" s="384"/>
      <c r="W40" s="384"/>
      <c r="X40" s="737"/>
      <c r="Y40" s="737"/>
    </row>
    <row r="41" spans="5:25" ht="15" customHeight="1">
      <c r="E41" s="404" t="s">
        <v>364</v>
      </c>
      <c r="G41" s="533"/>
      <c r="H41" s="377"/>
      <c r="I41" s="377"/>
      <c r="J41" s="399"/>
      <c r="K41" s="384"/>
      <c r="L41" s="409" t="s">
        <v>365</v>
      </c>
      <c r="M41" s="405"/>
      <c r="N41" s="530"/>
      <c r="O41" s="530"/>
      <c r="P41" s="530"/>
      <c r="Q41" s="530"/>
      <c r="R41" s="368"/>
      <c r="S41" s="415"/>
      <c r="T41" s="384"/>
      <c r="U41" s="384"/>
      <c r="V41" s="384"/>
      <c r="W41" s="384"/>
      <c r="X41" s="737"/>
      <c r="Y41" s="737"/>
    </row>
    <row r="42" spans="5:25" ht="15" customHeight="1">
      <c r="E42" s="398"/>
      <c r="G42" s="422"/>
      <c r="H42" s="377"/>
      <c r="I42" s="377"/>
      <c r="J42" s="399"/>
      <c r="K42" s="384"/>
      <c r="L42" s="409" t="s">
        <v>366</v>
      </c>
      <c r="M42" s="405"/>
      <c r="N42" s="530"/>
      <c r="O42" s="530"/>
      <c r="P42" s="530"/>
      <c r="Q42" s="530"/>
      <c r="R42" s="368"/>
      <c r="S42" s="415"/>
      <c r="T42" s="530"/>
      <c r="U42" s="530"/>
      <c r="V42" s="530"/>
      <c r="W42" s="530"/>
      <c r="X42" s="737"/>
      <c r="Y42" s="737"/>
    </row>
    <row r="43" spans="5:25" ht="15" customHeight="1">
      <c r="E43" s="399"/>
      <c r="F43" s="457" t="s">
        <v>367</v>
      </c>
      <c r="G43" s="719">
        <f>IF(G38=0,0,(G40/G38)*G41)</f>
        <v>0</v>
      </c>
      <c r="H43" s="377"/>
      <c r="I43" s="427">
        <f>IF(I38=0,0,(I40/I38)*I41)</f>
        <v>0</v>
      </c>
      <c r="J43" s="399"/>
      <c r="K43" s="384"/>
      <c r="L43" s="118"/>
      <c r="M43" s="416"/>
      <c r="N43" s="384"/>
      <c r="O43" s="384"/>
      <c r="P43" s="384"/>
      <c r="Q43" s="384"/>
      <c r="R43" s="368"/>
      <c r="S43" s="415"/>
      <c r="T43" s="384"/>
      <c r="U43" s="384"/>
      <c r="V43" s="384"/>
      <c r="W43" s="384"/>
      <c r="X43" s="737"/>
      <c r="Y43" s="737"/>
    </row>
    <row r="44" spans="5:25" ht="15" customHeight="1">
      <c r="E44" s="428"/>
      <c r="G44" s="429"/>
      <c r="H44" s="377"/>
      <c r="I44" s="377"/>
      <c r="J44" s="378"/>
      <c r="K44" s="384"/>
      <c r="L44" s="399" t="s">
        <v>368</v>
      </c>
      <c r="M44" s="405"/>
      <c r="N44" s="415">
        <f>SUM(N39:N42)</f>
        <v>0</v>
      </c>
      <c r="O44" s="415">
        <f>SUM(O39:O42)</f>
        <v>0</v>
      </c>
      <c r="P44" s="415">
        <f>SUM(P39:P42)</f>
        <v>0</v>
      </c>
      <c r="Q44" s="415">
        <f>SUM(Q39:Q42)</f>
        <v>0</v>
      </c>
      <c r="R44" s="368"/>
      <c r="S44" s="415"/>
      <c r="T44" s="415">
        <f>SUM(T39:T42)</f>
        <v>1</v>
      </c>
      <c r="U44" s="415">
        <f>SUM(U39:U42)</f>
        <v>2</v>
      </c>
      <c r="V44" s="415">
        <f>SUM(V39:V42)</f>
        <v>3</v>
      </c>
      <c r="W44" s="415">
        <f>SUM(W39:W42)</f>
        <v>4</v>
      </c>
      <c r="X44" s="737"/>
      <c r="Y44" s="737"/>
    </row>
    <row r="45" spans="5:25" ht="15" customHeight="1">
      <c r="J45" s="371"/>
      <c r="K45" s="384"/>
      <c r="L45" s="118"/>
      <c r="M45" s="416"/>
      <c r="N45" s="384"/>
      <c r="O45" s="384"/>
      <c r="P45" s="384"/>
      <c r="Q45" s="384"/>
      <c r="R45" s="368"/>
      <c r="S45" s="415"/>
      <c r="T45" s="384"/>
      <c r="U45" s="384"/>
      <c r="V45" s="384"/>
      <c r="W45" s="384"/>
      <c r="X45" s="737"/>
      <c r="Y45" s="737"/>
    </row>
    <row r="46" spans="5:25" ht="17.100000000000001" customHeight="1">
      <c r="F46" s="430"/>
      <c r="G46" s="431"/>
      <c r="H46" s="377"/>
      <c r="J46" s="371"/>
      <c r="K46" s="384"/>
      <c r="L46" s="409" t="s">
        <v>369</v>
      </c>
      <c r="M46" s="432"/>
      <c r="N46" s="530"/>
      <c r="O46" s="530"/>
      <c r="P46" s="530"/>
      <c r="Q46" s="530"/>
      <c r="R46" s="368"/>
      <c r="S46" s="415"/>
      <c r="T46" s="530"/>
      <c r="U46" s="530"/>
      <c r="V46" s="530"/>
      <c r="W46" s="530"/>
      <c r="X46" s="737"/>
      <c r="Y46" s="737"/>
    </row>
    <row r="47" spans="5:25" ht="17.100000000000001" customHeight="1">
      <c r="E47" s="396" t="s">
        <v>370</v>
      </c>
      <c r="G47" s="433"/>
      <c r="H47" s="377"/>
      <c r="J47" s="371"/>
      <c r="K47" s="384"/>
      <c r="L47" s="409" t="s">
        <v>371</v>
      </c>
      <c r="M47" s="432"/>
      <c r="N47" s="530"/>
      <c r="O47" s="530"/>
      <c r="P47" s="530"/>
      <c r="Q47" s="530"/>
      <c r="R47" s="368"/>
      <c r="S47" s="415"/>
      <c r="T47" s="530"/>
      <c r="U47" s="530"/>
      <c r="V47" s="530"/>
      <c r="W47" s="530"/>
      <c r="X47" s="737"/>
      <c r="Y47" s="737"/>
    </row>
    <row r="48" spans="5:25" ht="15" customHeight="1">
      <c r="E48" s="433"/>
      <c r="F48" s="378" t="s">
        <v>372</v>
      </c>
      <c r="G48" s="433"/>
      <c r="H48" s="377"/>
      <c r="J48" s="371"/>
      <c r="K48" s="384"/>
      <c r="L48" s="409" t="s">
        <v>373</v>
      </c>
      <c r="M48" s="432"/>
      <c r="N48" s="530"/>
      <c r="O48" s="530"/>
      <c r="P48" s="530"/>
      <c r="Q48" s="530"/>
      <c r="R48" s="368"/>
      <c r="S48" s="415"/>
      <c r="T48" s="530"/>
      <c r="U48" s="530"/>
      <c r="V48" s="530"/>
      <c r="W48" s="530"/>
      <c r="X48" s="737"/>
      <c r="Y48" s="737"/>
    </row>
    <row r="49" spans="5:25" ht="15" customHeight="1">
      <c r="E49" s="434" t="s">
        <v>374</v>
      </c>
      <c r="F49" s="589"/>
      <c r="G49" s="435"/>
      <c r="H49" s="436"/>
      <c r="J49" s="371"/>
      <c r="K49" s="384"/>
      <c r="L49" s="409" t="s">
        <v>375</v>
      </c>
      <c r="M49" s="432"/>
      <c r="N49" s="530"/>
      <c r="O49" s="530"/>
      <c r="P49" s="530"/>
      <c r="Q49" s="530"/>
      <c r="R49" s="368"/>
      <c r="S49" s="415"/>
      <c r="T49" s="530"/>
      <c r="U49" s="530"/>
      <c r="V49" s="530"/>
      <c r="W49" s="530"/>
      <c r="X49" s="737"/>
      <c r="Y49" s="737"/>
    </row>
    <row r="50" spans="5:25" ht="15" customHeight="1">
      <c r="E50" s="434" t="s">
        <v>376</v>
      </c>
      <c r="F50" s="612"/>
      <c r="G50" s="437"/>
      <c r="H50" s="438"/>
      <c r="J50" s="371"/>
      <c r="K50" s="384"/>
      <c r="L50" s="409" t="s">
        <v>377</v>
      </c>
      <c r="M50" s="432"/>
      <c r="N50" s="530"/>
      <c r="O50" s="530"/>
      <c r="P50" s="530"/>
      <c r="Q50" s="530"/>
      <c r="R50" s="368"/>
      <c r="S50" s="415"/>
      <c r="T50" s="530"/>
      <c r="U50" s="530"/>
      <c r="V50" s="530"/>
      <c r="W50" s="530"/>
      <c r="X50" s="737"/>
      <c r="Y50" s="737"/>
    </row>
    <row r="51" spans="5:25" ht="15" customHeight="1">
      <c r="E51" s="428" t="s">
        <v>378</v>
      </c>
      <c r="F51" s="439"/>
      <c r="G51" s="721">
        <f>F49-F50</f>
        <v>0</v>
      </c>
      <c r="H51" s="438"/>
      <c r="J51" s="371"/>
      <c r="K51" s="384"/>
      <c r="L51" s="409" t="s">
        <v>379</v>
      </c>
      <c r="M51" s="432"/>
      <c r="N51" s="530"/>
      <c r="O51" s="530"/>
      <c r="P51" s="530"/>
      <c r="Q51" s="530"/>
      <c r="R51" s="368"/>
      <c r="S51" s="415"/>
      <c r="T51" s="530"/>
      <c r="U51" s="530"/>
      <c r="V51" s="530"/>
      <c r="W51" s="530"/>
      <c r="X51" s="737"/>
      <c r="Y51" s="737"/>
    </row>
    <row r="52" spans="5:25" ht="15" customHeight="1">
      <c r="E52" s="428"/>
      <c r="F52" s="439"/>
      <c r="G52" s="440"/>
      <c r="H52" s="438"/>
      <c r="J52" s="371"/>
      <c r="K52" s="384"/>
      <c r="L52" s="409" t="s">
        <v>380</v>
      </c>
      <c r="M52" s="432"/>
      <c r="N52" s="530"/>
      <c r="O52" s="530"/>
      <c r="P52" s="530"/>
      <c r="Q52" s="530"/>
      <c r="R52" s="368"/>
      <c r="S52" s="415"/>
      <c r="T52" s="530"/>
      <c r="U52" s="530"/>
      <c r="V52" s="530"/>
      <c r="W52" s="530"/>
      <c r="X52" s="737"/>
      <c r="Y52" s="737"/>
    </row>
    <row r="53" spans="5:25" ht="15" customHeight="1">
      <c r="E53" s="434" t="s">
        <v>381</v>
      </c>
      <c r="F53" s="589"/>
      <c r="G53" s="441"/>
      <c r="H53" s="438"/>
      <c r="J53" s="371"/>
      <c r="K53" s="442"/>
      <c r="L53" s="409" t="s">
        <v>382</v>
      </c>
      <c r="M53" s="432"/>
      <c r="N53" s="530"/>
      <c r="O53" s="530"/>
      <c r="P53" s="530"/>
      <c r="Q53" s="530"/>
      <c r="R53" s="368"/>
      <c r="S53" s="415"/>
      <c r="T53" s="530"/>
      <c r="U53" s="530"/>
      <c r="V53" s="530"/>
      <c r="W53" s="530"/>
      <c r="X53" s="737"/>
      <c r="Y53" s="737"/>
    </row>
    <row r="54" spans="5:25" ht="15" customHeight="1">
      <c r="E54" s="434" t="s">
        <v>383</v>
      </c>
      <c r="F54" s="589"/>
      <c r="G54" s="441"/>
      <c r="H54" s="438"/>
      <c r="J54" s="371"/>
      <c r="K54" s="384"/>
      <c r="L54" s="118"/>
      <c r="M54" s="416"/>
      <c r="N54" s="384"/>
      <c r="O54" s="384"/>
      <c r="P54" s="384"/>
      <c r="Q54" s="384"/>
      <c r="R54" s="368"/>
      <c r="S54" s="415"/>
      <c r="T54" s="384"/>
      <c r="U54" s="384"/>
      <c r="V54" s="384"/>
      <c r="W54" s="384"/>
      <c r="X54" s="737"/>
      <c r="Y54" s="737"/>
    </row>
    <row r="55" spans="5:25" ht="15" customHeight="1">
      <c r="E55" s="434" t="s">
        <v>384</v>
      </c>
      <c r="F55" s="589"/>
      <c r="G55" s="443"/>
      <c r="H55" s="438"/>
      <c r="J55" s="371"/>
      <c r="K55" s="384"/>
      <c r="L55" s="399" t="s">
        <v>385</v>
      </c>
      <c r="M55" s="405"/>
      <c r="N55" s="415">
        <f>SUM(N44:N54)</f>
        <v>0</v>
      </c>
      <c r="O55" s="415">
        <f>SUM(O44:O54)</f>
        <v>0</v>
      </c>
      <c r="P55" s="415">
        <f>SUM(P44:P54)</f>
        <v>0</v>
      </c>
      <c r="Q55" s="415">
        <f>SUM(Q44:Q54)</f>
        <v>0</v>
      </c>
      <c r="R55" s="368"/>
      <c r="S55" s="415"/>
      <c r="T55" s="415">
        <f>SUM(T44:T54)</f>
        <v>1</v>
      </c>
      <c r="U55" s="415">
        <f>SUM(U44:U54)</f>
        <v>2</v>
      </c>
      <c r="V55" s="415">
        <f>SUM(V44:V54)</f>
        <v>3</v>
      </c>
      <c r="W55" s="415">
        <f>SUM(W44:W54)</f>
        <v>4</v>
      </c>
      <c r="X55" s="737"/>
      <c r="Y55" s="737"/>
    </row>
    <row r="56" spans="5:25" ht="15" customHeight="1">
      <c r="E56" s="434" t="s">
        <v>386</v>
      </c>
      <c r="F56" s="444"/>
      <c r="G56" s="443"/>
      <c r="H56" s="438"/>
      <c r="J56" s="371"/>
      <c r="K56" s="384"/>
      <c r="L56" s="118"/>
      <c r="M56" s="416"/>
      <c r="N56" s="384"/>
      <c r="O56" s="384"/>
      <c r="P56" s="384"/>
      <c r="Q56" s="384"/>
      <c r="R56" s="368"/>
      <c r="S56" s="415"/>
      <c r="T56" s="384"/>
      <c r="U56" s="384"/>
      <c r="V56" s="384"/>
      <c r="W56" s="384"/>
      <c r="X56" s="737"/>
      <c r="Y56" s="737"/>
    </row>
    <row r="57" spans="5:25" ht="15" customHeight="1">
      <c r="E57" s="428" t="s">
        <v>387</v>
      </c>
      <c r="F57" s="613"/>
      <c r="G57" s="721">
        <f>G51-F53-F54-F55</f>
        <v>0</v>
      </c>
      <c r="H57" s="438"/>
      <c r="J57" s="371"/>
      <c r="K57" s="384"/>
      <c r="L57" s="409" t="s">
        <v>388</v>
      </c>
      <c r="M57" s="534"/>
      <c r="N57" s="445">
        <f>N55*$M$57</f>
        <v>0</v>
      </c>
      <c r="O57" s="445">
        <f>O55*$M$57</f>
        <v>0</v>
      </c>
      <c r="P57" s="445">
        <f>P55*$M$57</f>
        <v>0</v>
      </c>
      <c r="Q57" s="445">
        <f>Q55*$M$57</f>
        <v>0</v>
      </c>
      <c r="R57" s="368"/>
      <c r="S57" s="415"/>
      <c r="T57" s="445">
        <f>T55*$M$57</f>
        <v>0</v>
      </c>
      <c r="U57" s="445">
        <f>U55*$M$57</f>
        <v>0</v>
      </c>
      <c r="V57" s="445">
        <f>V55*$M$57</f>
        <v>0</v>
      </c>
      <c r="W57" s="445">
        <f>W55*$M$57</f>
        <v>0</v>
      </c>
      <c r="X57" s="737"/>
      <c r="Y57" s="737"/>
    </row>
    <row r="58" spans="5:25" ht="15" customHeight="1">
      <c r="E58" s="428"/>
      <c r="F58" s="446"/>
      <c r="G58" s="433"/>
      <c r="H58" s="377"/>
      <c r="J58" s="371"/>
      <c r="K58" s="384"/>
      <c r="L58" s="118"/>
      <c r="M58" s="447"/>
      <c r="N58" s="384"/>
      <c r="O58" s="384"/>
      <c r="P58" s="384"/>
      <c r="Q58" s="384"/>
      <c r="R58" s="368"/>
      <c r="S58" s="415"/>
      <c r="T58" s="384"/>
      <c r="U58" s="384"/>
      <c r="V58" s="384"/>
      <c r="W58" s="384"/>
      <c r="X58" s="737"/>
      <c r="Y58" s="737"/>
    </row>
    <row r="59" spans="5:25" ht="15" customHeight="1">
      <c r="E59" s="371" t="s">
        <v>389</v>
      </c>
      <c r="F59" s="722">
        <f>IF(F53=0,0,F53/$G$57)</f>
        <v>0</v>
      </c>
      <c r="G59" s="448"/>
      <c r="H59" s="377"/>
      <c r="J59" s="371"/>
      <c r="K59" s="384"/>
      <c r="L59" s="409" t="s">
        <v>390</v>
      </c>
      <c r="M59" s="118"/>
      <c r="N59" s="449">
        <f>N57+N55</f>
        <v>0</v>
      </c>
      <c r="O59" s="449">
        <f>O57+O55</f>
        <v>0</v>
      </c>
      <c r="P59" s="449">
        <f>P57+P55</f>
        <v>0</v>
      </c>
      <c r="Q59" s="449">
        <f>Q57+Q55</f>
        <v>0</v>
      </c>
      <c r="R59" s="368"/>
      <c r="S59" s="415"/>
      <c r="T59" s="449">
        <f>T57+T55</f>
        <v>1</v>
      </c>
      <c r="U59" s="449">
        <f>U57+U55</f>
        <v>2</v>
      </c>
      <c r="V59" s="449">
        <f>V57+V55</f>
        <v>3</v>
      </c>
      <c r="W59" s="449">
        <f>W57+W55</f>
        <v>4</v>
      </c>
      <c r="X59" s="737"/>
      <c r="Y59" s="737"/>
    </row>
    <row r="60" spans="5:25" ht="15" customHeight="1">
      <c r="E60" s="371" t="s">
        <v>383</v>
      </c>
      <c r="F60" s="722">
        <f>IF(F54=0,0,F54/$G$57)</f>
        <v>0</v>
      </c>
      <c r="G60" s="448"/>
      <c r="H60" s="377"/>
      <c r="J60" s="371"/>
      <c r="K60" s="384"/>
      <c r="L60" s="79"/>
      <c r="M60" s="118"/>
      <c r="N60" s="118"/>
      <c r="O60" s="118"/>
      <c r="P60" s="118"/>
      <c r="Q60" s="118"/>
      <c r="R60" s="368"/>
      <c r="S60" s="415"/>
      <c r="T60" s="118"/>
      <c r="U60" s="118"/>
      <c r="V60" s="118"/>
      <c r="W60" s="118"/>
      <c r="X60" s="737"/>
      <c r="Y60" s="737"/>
    </row>
    <row r="61" spans="5:25" ht="15" customHeight="1">
      <c r="E61" s="371" t="s">
        <v>391</v>
      </c>
      <c r="F61" s="722">
        <f>IF(F55=0,0,F55/$G$57)</f>
        <v>0</v>
      </c>
      <c r="G61" s="448"/>
      <c r="H61" s="377"/>
      <c r="J61" s="371"/>
      <c r="K61" s="384"/>
      <c r="L61" s="409" t="s">
        <v>392</v>
      </c>
      <c r="M61" s="118"/>
      <c r="N61" s="449">
        <f>N$39*30%+N59</f>
        <v>0</v>
      </c>
      <c r="O61" s="449">
        <f>O$39*30%+O59</f>
        <v>0</v>
      </c>
      <c r="P61" s="449">
        <f>P$39*30%+P59</f>
        <v>0</v>
      </c>
      <c r="Q61" s="449">
        <f>Q$39*30%+Q59</f>
        <v>0</v>
      </c>
      <c r="R61" s="368"/>
      <c r="S61" s="415"/>
      <c r="T61" s="449">
        <f>T$39*30%+T59</f>
        <v>1.3</v>
      </c>
      <c r="U61" s="449">
        <f>U$39*30%+U59</f>
        <v>2.6</v>
      </c>
      <c r="V61" s="449">
        <f>V$39*30%+V59</f>
        <v>3.9</v>
      </c>
      <c r="W61" s="449">
        <f>W$39*30%+W59</f>
        <v>5.2</v>
      </c>
      <c r="X61" s="737"/>
      <c r="Y61" s="737"/>
    </row>
    <row r="62" spans="5:25" ht="15" customHeight="1">
      <c r="E62" s="371" t="s">
        <v>386</v>
      </c>
      <c r="F62" s="450">
        <f>IF(F56=0,0,F56/$G$57)</f>
        <v>0</v>
      </c>
      <c r="G62" s="448"/>
      <c r="H62" s="377"/>
      <c r="J62" s="371"/>
      <c r="K62" s="384"/>
      <c r="L62" s="79"/>
      <c r="M62" s="118"/>
      <c r="N62" s="118"/>
      <c r="O62" s="118"/>
      <c r="P62" s="118"/>
      <c r="Q62" s="118"/>
      <c r="R62" s="368"/>
      <c r="S62" s="415"/>
      <c r="T62" s="118"/>
      <c r="U62" s="118"/>
      <c r="V62" s="118"/>
      <c r="W62" s="118"/>
      <c r="X62" s="737"/>
      <c r="Y62" s="737"/>
    </row>
    <row r="63" spans="5:25" ht="15" customHeight="1">
      <c r="E63" s="399"/>
      <c r="F63" s="457" t="s">
        <v>393</v>
      </c>
      <c r="G63" s="723">
        <f>SUM(F59:F61)</f>
        <v>0</v>
      </c>
      <c r="H63" s="398"/>
      <c r="J63" s="371"/>
      <c r="K63" s="384"/>
      <c r="L63" s="409" t="s">
        <v>394</v>
      </c>
      <c r="M63" s="118"/>
      <c r="N63" s="449">
        <f>N$39*50%+N59</f>
        <v>0</v>
      </c>
      <c r="O63" s="449">
        <f>O$39*50%+O59</f>
        <v>0</v>
      </c>
      <c r="P63" s="449">
        <f>P$39*50%+P59</f>
        <v>0</v>
      </c>
      <c r="Q63" s="449">
        <f>Q$39*50%+Q59</f>
        <v>0</v>
      </c>
      <c r="R63" s="368"/>
      <c r="S63" s="415"/>
      <c r="T63" s="449">
        <f>T$39*50%+T59</f>
        <v>1.5</v>
      </c>
      <c r="U63" s="449">
        <f>U$39*50%+U59</f>
        <v>3</v>
      </c>
      <c r="V63" s="449">
        <f>V$39*50%+V59</f>
        <v>4.5</v>
      </c>
      <c r="W63" s="449">
        <f>W$39*50%+W59</f>
        <v>6</v>
      </c>
      <c r="X63" s="737"/>
      <c r="Y63" s="737"/>
    </row>
    <row r="64" spans="5:25" ht="15" customHeight="1">
      <c r="K64" s="384"/>
      <c r="L64" s="79"/>
      <c r="M64" s="118"/>
      <c r="N64" s="118"/>
      <c r="O64" s="118"/>
      <c r="P64" s="118"/>
      <c r="Q64" s="118"/>
      <c r="R64" s="368"/>
      <c r="S64" s="118"/>
      <c r="T64" s="118"/>
      <c r="U64" s="118"/>
      <c r="V64" s="118"/>
      <c r="W64" s="118"/>
      <c r="X64" s="737"/>
      <c r="Y64" s="737"/>
    </row>
    <row r="65" spans="5:25" ht="15" customHeight="1">
      <c r="K65" s="384"/>
      <c r="L65" s="409" t="s">
        <v>395</v>
      </c>
      <c r="M65" s="118"/>
      <c r="N65" s="449">
        <f>N$39*150%+N59</f>
        <v>0</v>
      </c>
      <c r="O65" s="449">
        <f>O$39*150%+O59</f>
        <v>0</v>
      </c>
      <c r="P65" s="449">
        <f>P$39*150%+P59</f>
        <v>0</v>
      </c>
      <c r="Q65" s="449">
        <f>Q$39*150%+Q59</f>
        <v>0</v>
      </c>
      <c r="R65" s="368"/>
      <c r="S65" s="449"/>
      <c r="T65" s="449">
        <f>T$39*150%+T59</f>
        <v>2.5</v>
      </c>
      <c r="U65" s="449">
        <f>U$39*150%+U59</f>
        <v>5</v>
      </c>
      <c r="V65" s="449">
        <f>V$39*150%+V59</f>
        <v>7.5</v>
      </c>
      <c r="W65" s="449">
        <f>W$39*150%+W59</f>
        <v>10</v>
      </c>
      <c r="X65" s="737"/>
      <c r="Y65" s="737"/>
    </row>
    <row r="66" spans="5:25" ht="15.95" customHeight="1" thickBot="1">
      <c r="K66" s="384"/>
      <c r="L66" s="384"/>
      <c r="M66" s="118"/>
      <c r="N66" s="118"/>
      <c r="O66" s="118"/>
      <c r="P66" s="118"/>
      <c r="Q66" s="118"/>
      <c r="R66" s="118"/>
      <c r="S66" s="118"/>
      <c r="T66" s="118"/>
      <c r="U66" s="118"/>
      <c r="V66" s="118"/>
      <c r="W66" s="118"/>
      <c r="X66" s="737"/>
      <c r="Y66" s="737"/>
    </row>
    <row r="67" spans="5:25" ht="15" customHeight="1">
      <c r="E67" s="458"/>
      <c r="F67" s="458"/>
      <c r="G67" s="458"/>
      <c r="H67" s="458"/>
      <c r="I67" s="458"/>
      <c r="J67" s="458"/>
      <c r="K67" s="459"/>
      <c r="L67" s="460"/>
      <c r="M67" s="461"/>
      <c r="N67" s="461"/>
      <c r="O67" s="461"/>
      <c r="P67" s="461"/>
      <c r="Q67" s="461"/>
      <c r="R67" s="461"/>
      <c r="S67" s="461"/>
      <c r="T67" s="461"/>
      <c r="U67" s="461"/>
      <c r="V67" s="461"/>
      <c r="W67" s="40"/>
      <c r="X67" s="737"/>
      <c r="Y67" s="737"/>
    </row>
    <row r="68" spans="5:25" ht="32.1">
      <c r="J68" s="508"/>
      <c r="K68" s="509"/>
      <c r="L68" s="510" t="s">
        <v>59</v>
      </c>
      <c r="M68" s="509"/>
      <c r="N68" s="511" t="s">
        <v>75</v>
      </c>
      <c r="O68" s="511" t="s">
        <v>396</v>
      </c>
      <c r="P68" s="511" t="s">
        <v>397</v>
      </c>
      <c r="Q68" s="512"/>
      <c r="R68" s="118"/>
      <c r="S68" s="118"/>
      <c r="T68" s="118"/>
      <c r="U68" s="118"/>
      <c r="V68" s="118"/>
      <c r="W68" s="40"/>
      <c r="X68" s="737"/>
      <c r="Y68" s="737"/>
    </row>
    <row r="69" spans="5:25" ht="15" customHeight="1">
      <c r="J69" s="508"/>
      <c r="K69" s="512"/>
      <c r="L69" s="513" t="str">
        <f>'1.0-Contractblad'!D20</f>
        <v>Selecteer tarief uitvoerend</v>
      </c>
      <c r="M69" s="512"/>
      <c r="N69" s="514">
        <f>'1.0-Contractblad'!H20</f>
        <v>0</v>
      </c>
      <c r="O69" s="515">
        <f>N33</f>
        <v>0</v>
      </c>
      <c r="P69" s="515">
        <f>N69*O69</f>
        <v>0</v>
      </c>
      <c r="Q69" s="508"/>
      <c r="S69" s="118"/>
      <c r="T69" s="118"/>
      <c r="U69" s="118"/>
      <c r="V69" s="118"/>
      <c r="W69" s="40"/>
      <c r="X69" s="737"/>
      <c r="Y69" s="737"/>
    </row>
    <row r="70" spans="5:25" ht="15" customHeight="1">
      <c r="J70" s="508"/>
      <c r="K70" s="512"/>
      <c r="L70" s="513" t="str">
        <f>'1.0-Contractblad'!D24</f>
        <v>Selecteer tarief uitvoerend</v>
      </c>
      <c r="M70" s="512"/>
      <c r="N70" s="514">
        <f>'1.0-Contractblad'!H24</f>
        <v>0</v>
      </c>
      <c r="O70" s="515">
        <f>O33</f>
        <v>0</v>
      </c>
      <c r="P70" s="515">
        <f t="shared" ref="P70:P76" si="0">N70*O70</f>
        <v>0</v>
      </c>
      <c r="Q70" s="508"/>
      <c r="S70" s="118"/>
      <c r="T70" s="118"/>
      <c r="U70" s="118"/>
      <c r="V70" s="118"/>
      <c r="W70" s="40"/>
      <c r="X70" s="737"/>
      <c r="Y70" s="737"/>
    </row>
    <row r="71" spans="5:25" ht="15" customHeight="1">
      <c r="E71" s="428"/>
      <c r="F71" s="428"/>
      <c r="G71" s="398"/>
      <c r="H71" s="398"/>
      <c r="I71" s="398"/>
      <c r="J71" s="516"/>
      <c r="K71" s="512"/>
      <c r="L71" s="513" t="str">
        <f>'1.0-Contractblad'!D26</f>
        <v>Selecteer tarief uitvoerend</v>
      </c>
      <c r="M71" s="512"/>
      <c r="N71" s="514">
        <f>'1.0-Contractblad'!H26</f>
        <v>0</v>
      </c>
      <c r="O71" s="515">
        <f>P33</f>
        <v>0</v>
      </c>
      <c r="P71" s="515">
        <f t="shared" si="0"/>
        <v>0</v>
      </c>
      <c r="Q71" s="508"/>
      <c r="S71" s="118"/>
      <c r="T71" s="118"/>
      <c r="U71" s="118"/>
      <c r="V71" s="118"/>
      <c r="W71" s="40"/>
      <c r="X71" s="737"/>
      <c r="Y71" s="737"/>
    </row>
    <row r="72" spans="5:25" ht="15" customHeight="1">
      <c r="E72" s="428"/>
      <c r="F72" s="428"/>
      <c r="G72" s="398"/>
      <c r="H72" s="398"/>
      <c r="I72" s="398"/>
      <c r="J72" s="516"/>
      <c r="K72" s="512"/>
      <c r="L72" s="513">
        <f>'1.0-Contractblad'!D28</f>
        <v>0</v>
      </c>
      <c r="M72" s="512"/>
      <c r="N72" s="514"/>
      <c r="O72" s="515"/>
      <c r="P72" s="515"/>
      <c r="Q72" s="508"/>
      <c r="S72" s="118"/>
      <c r="T72" s="118"/>
      <c r="U72" s="118"/>
      <c r="V72" s="118"/>
      <c r="W72" s="40"/>
      <c r="X72" s="737"/>
      <c r="Y72" s="737"/>
    </row>
    <row r="73" spans="5:25" ht="15" customHeight="1">
      <c r="E73" s="371"/>
      <c r="F73" s="371"/>
      <c r="G73" s="371"/>
      <c r="H73" s="377"/>
      <c r="I73" s="377"/>
      <c r="J73" s="517"/>
      <c r="K73" s="512"/>
      <c r="L73" s="513"/>
      <c r="M73" s="512"/>
      <c r="N73" s="514"/>
      <c r="O73" s="515"/>
      <c r="P73" s="515"/>
      <c r="Q73" s="508"/>
      <c r="S73" s="118"/>
      <c r="T73" s="118"/>
      <c r="U73" s="118"/>
      <c r="V73" s="118"/>
      <c r="W73" s="40"/>
      <c r="X73" s="737"/>
      <c r="Y73" s="737"/>
    </row>
    <row r="74" spans="5:25" ht="15" customHeight="1">
      <c r="E74" s="371"/>
      <c r="F74" s="371"/>
      <c r="G74" s="371"/>
      <c r="H74" s="377"/>
      <c r="I74" s="377"/>
      <c r="J74" s="517"/>
      <c r="K74" s="512"/>
      <c r="L74" s="513" t="str">
        <f>'1.0-Contractblad'!D32</f>
        <v>Selecteer tarief uitvoerend</v>
      </c>
      <c r="M74" s="512"/>
      <c r="N74" s="514">
        <f>'1.0-Contractblad'!H32</f>
        <v>0</v>
      </c>
      <c r="O74" s="515">
        <f>T33</f>
        <v>0.995</v>
      </c>
      <c r="P74" s="515">
        <f t="shared" si="0"/>
        <v>0</v>
      </c>
      <c r="Q74" s="508"/>
      <c r="S74" s="118"/>
      <c r="T74" s="118"/>
      <c r="U74" s="118"/>
      <c r="V74" s="118"/>
      <c r="W74" s="40"/>
      <c r="X74" s="737"/>
      <c r="Y74" s="737"/>
    </row>
    <row r="75" spans="5:25" ht="15" customHeight="1">
      <c r="E75" s="371"/>
      <c r="F75" s="371"/>
      <c r="G75" s="371"/>
      <c r="H75" s="377"/>
      <c r="I75" s="377"/>
      <c r="J75" s="517"/>
      <c r="K75" s="512"/>
      <c r="L75" s="513" t="str">
        <f>'1.0-Contractblad'!D36</f>
        <v>Selecteer tarief uitvoerend</v>
      </c>
      <c r="M75" s="512"/>
      <c r="N75" s="514">
        <f>'1.0-Contractblad'!H36</f>
        <v>0</v>
      </c>
      <c r="O75" s="515">
        <f>U33</f>
        <v>1.99</v>
      </c>
      <c r="P75" s="515">
        <f t="shared" si="0"/>
        <v>0</v>
      </c>
      <c r="Q75" s="508"/>
      <c r="S75" s="118"/>
      <c r="T75" s="118"/>
      <c r="U75" s="118"/>
      <c r="V75" s="118"/>
      <c r="W75" s="40"/>
      <c r="X75" s="737"/>
      <c r="Y75" s="737"/>
    </row>
    <row r="76" spans="5:25" ht="15" customHeight="1">
      <c r="E76" s="371"/>
      <c r="F76" s="371"/>
      <c r="G76" s="371"/>
      <c r="H76" s="377"/>
      <c r="I76" s="377"/>
      <c r="J76" s="517"/>
      <c r="K76" s="512"/>
      <c r="L76" s="513" t="str">
        <f>'1.0-Contractblad'!D38</f>
        <v>Selecteer tarief uitvoerend</v>
      </c>
      <c r="M76" s="512"/>
      <c r="N76" s="514">
        <f>'1.0-Contractblad'!H38</f>
        <v>0</v>
      </c>
      <c r="O76" s="515">
        <f>V33</f>
        <v>2.9849999999999999</v>
      </c>
      <c r="P76" s="515">
        <f t="shared" si="0"/>
        <v>0</v>
      </c>
      <c r="Q76" s="508"/>
      <c r="S76" s="118"/>
      <c r="T76" s="118"/>
      <c r="U76" s="118"/>
      <c r="V76" s="118"/>
      <c r="W76" s="40"/>
      <c r="X76" s="737"/>
      <c r="Y76" s="737"/>
    </row>
    <row r="77" spans="5:25" ht="15" customHeight="1">
      <c r="E77" s="371"/>
      <c r="F77" s="371"/>
      <c r="G77" s="371"/>
      <c r="H77" s="377"/>
      <c r="I77" s="377"/>
      <c r="J77" s="517"/>
      <c r="K77" s="512"/>
      <c r="L77" s="513"/>
      <c r="M77" s="512"/>
      <c r="N77" s="514"/>
      <c r="O77" s="515"/>
      <c r="P77" s="515"/>
      <c r="Q77" s="508"/>
      <c r="S77" s="118"/>
      <c r="T77" s="118"/>
      <c r="U77" s="118"/>
      <c r="V77" s="118"/>
      <c r="W77" s="40"/>
      <c r="X77" s="737"/>
      <c r="Y77" s="737"/>
    </row>
    <row r="78" spans="5:25" ht="15" customHeight="1">
      <c r="E78" s="371"/>
      <c r="F78" s="371"/>
      <c r="G78" s="371"/>
      <c r="H78" s="377"/>
      <c r="I78" s="377"/>
      <c r="J78" s="517"/>
      <c r="K78" s="512"/>
      <c r="L78" s="513">
        <f>'1.0-Contractblad'!D40</f>
        <v>0</v>
      </c>
      <c r="M78" s="512"/>
      <c r="N78" s="518"/>
      <c r="O78" s="512"/>
      <c r="P78" s="512"/>
      <c r="Q78" s="508"/>
      <c r="S78" s="118"/>
      <c r="T78" s="118"/>
      <c r="U78" s="118"/>
      <c r="V78" s="118"/>
      <c r="W78" s="40"/>
      <c r="X78" s="737"/>
      <c r="Y78" s="737"/>
    </row>
    <row r="79" spans="5:25" ht="15" customHeight="1">
      <c r="E79" s="371"/>
      <c r="F79" s="371"/>
      <c r="G79" s="371"/>
      <c r="H79" s="377"/>
      <c r="I79" s="377"/>
      <c r="J79" s="517"/>
      <c r="K79" s="512"/>
      <c r="L79" s="508"/>
      <c r="M79" s="512"/>
      <c r="N79" s="519">
        <f>SUM(N69:N78)</f>
        <v>0</v>
      </c>
      <c r="O79" s="512"/>
      <c r="P79" s="520">
        <f>SUM(P69:P78)</f>
        <v>0</v>
      </c>
      <c r="Q79" s="508"/>
      <c r="S79" s="118"/>
      <c r="T79" s="118"/>
      <c r="U79" s="118"/>
      <c r="V79" s="118"/>
      <c r="W79" s="40"/>
      <c r="X79" s="737"/>
      <c r="Y79" s="737"/>
    </row>
    <row r="80" spans="5:25" ht="15" customHeight="1">
      <c r="E80" s="371"/>
      <c r="F80" s="371"/>
      <c r="G80" s="371"/>
      <c r="H80" s="377"/>
      <c r="I80" s="377"/>
      <c r="J80" s="517"/>
      <c r="K80" s="512"/>
      <c r="L80" s="512"/>
      <c r="M80" s="512"/>
      <c r="N80" s="512"/>
      <c r="O80" s="512"/>
      <c r="P80" s="512"/>
      <c r="Q80" s="508"/>
      <c r="S80" s="118"/>
      <c r="T80" s="118"/>
      <c r="U80" s="118"/>
      <c r="V80" s="118"/>
      <c r="W80" s="40"/>
      <c r="X80" s="737"/>
      <c r="Y80" s="737"/>
    </row>
    <row r="81" spans="5:25" ht="15" customHeight="1">
      <c r="F81" s="451"/>
      <c r="J81" s="508"/>
      <c r="K81" s="512"/>
      <c r="L81" s="512"/>
      <c r="M81" s="521"/>
      <c r="N81" s="522" t="s">
        <v>398</v>
      </c>
      <c r="O81" s="523">
        <f>IF(P79=0,0,P79/N79)</f>
        <v>0</v>
      </c>
      <c r="P81" s="512"/>
      <c r="Q81" s="512"/>
      <c r="R81" s="118"/>
      <c r="S81" s="118"/>
      <c r="T81" s="118"/>
      <c r="U81" s="118"/>
      <c r="V81" s="118"/>
      <c r="W81" s="40"/>
      <c r="X81" s="737"/>
      <c r="Y81" s="737"/>
    </row>
    <row r="82" spans="5:25" ht="15" customHeight="1">
      <c r="F82" s="451"/>
      <c r="J82" s="508"/>
      <c r="K82" s="512"/>
      <c r="L82" s="512"/>
      <c r="M82" s="521"/>
      <c r="N82" s="522"/>
      <c r="O82" s="523"/>
      <c r="P82" s="512"/>
      <c r="Q82" s="512"/>
      <c r="R82" s="118"/>
      <c r="S82" s="118"/>
      <c r="T82" s="118"/>
      <c r="U82" s="118"/>
      <c r="V82" s="118"/>
      <c r="W82" s="40"/>
      <c r="X82" s="737"/>
      <c r="Y82" s="737"/>
    </row>
    <row r="83" spans="5:25" ht="20.100000000000001">
      <c r="F83" s="451"/>
      <c r="U83" s="118"/>
      <c r="V83" s="118"/>
      <c r="W83" s="40"/>
      <c r="X83" s="737"/>
      <c r="Y83" s="737"/>
    </row>
    <row r="84" spans="5:25" ht="20.100000000000001">
      <c r="F84" s="451"/>
      <c r="K84" s="452" t="s">
        <v>327</v>
      </c>
      <c r="L84" s="118"/>
      <c r="M84" s="118"/>
      <c r="N84" s="118"/>
      <c r="O84" s="118"/>
      <c r="P84" s="118"/>
      <c r="Q84" s="118"/>
      <c r="R84" s="118"/>
      <c r="S84" s="118"/>
      <c r="T84" s="118"/>
      <c r="U84" s="118"/>
      <c r="V84" s="118"/>
      <c r="W84" s="40"/>
      <c r="X84" s="737"/>
      <c r="Y84" s="737"/>
    </row>
    <row r="85" spans="5:25" ht="20.100000000000001">
      <c r="F85" s="451"/>
      <c r="K85" s="368"/>
      <c r="L85" s="118"/>
      <c r="M85" s="118"/>
      <c r="N85" s="118"/>
      <c r="O85" s="118"/>
      <c r="P85" s="118"/>
      <c r="Q85" s="118"/>
      <c r="R85" s="118"/>
      <c r="S85" s="118"/>
      <c r="T85" s="118"/>
      <c r="U85" s="118"/>
      <c r="V85" s="118"/>
      <c r="W85" s="40"/>
      <c r="X85" s="737"/>
      <c r="Y85" s="737"/>
    </row>
    <row r="86" spans="5:25" ht="20.100000000000001">
      <c r="E86" s="366" t="s">
        <v>343</v>
      </c>
      <c r="K86" s="452" t="s">
        <v>328</v>
      </c>
      <c r="L86" s="118"/>
      <c r="M86" s="118"/>
      <c r="N86" s="118"/>
      <c r="O86" s="118"/>
      <c r="P86" s="118"/>
      <c r="Q86" s="118"/>
      <c r="R86" s="118"/>
      <c r="S86" s="118"/>
      <c r="T86" s="118"/>
      <c r="U86" s="118"/>
      <c r="V86" s="118"/>
      <c r="W86" s="40"/>
      <c r="X86" s="737"/>
      <c r="Y86" s="737"/>
    </row>
    <row r="87" spans="5:25" ht="20.100000000000001">
      <c r="E87" s="366" t="s">
        <v>399</v>
      </c>
      <c r="F87" s="366">
        <v>1</v>
      </c>
      <c r="G87" s="453">
        <v>5.4899999999999997E-2</v>
      </c>
      <c r="K87" s="452" t="s">
        <v>400</v>
      </c>
      <c r="L87" s="118"/>
      <c r="M87" s="118"/>
      <c r="N87" s="118"/>
      <c r="O87" s="118"/>
      <c r="P87" s="118"/>
      <c r="Q87" s="118"/>
      <c r="R87" s="118"/>
      <c r="S87" s="118"/>
      <c r="T87" s="118"/>
      <c r="U87" s="118"/>
      <c r="V87" s="118"/>
      <c r="W87" s="40"/>
      <c r="X87" s="737"/>
      <c r="Y87" s="737"/>
    </row>
    <row r="88" spans="5:25" ht="20.100000000000001">
      <c r="E88" s="366" t="s">
        <v>401</v>
      </c>
      <c r="F88" s="366">
        <v>2</v>
      </c>
      <c r="G88" s="453">
        <v>7.0499999999999993E-2</v>
      </c>
      <c r="K88" s="452" t="s">
        <v>402</v>
      </c>
      <c r="L88" s="118"/>
      <c r="M88" s="118"/>
      <c r="N88" s="118"/>
      <c r="O88" s="118"/>
      <c r="P88" s="118"/>
      <c r="Q88" s="118"/>
      <c r="R88" s="118"/>
      <c r="S88" s="118"/>
      <c r="T88" s="118"/>
      <c r="U88" s="118"/>
      <c r="V88" s="118"/>
      <c r="W88" s="40"/>
      <c r="X88" s="737"/>
      <c r="Y88" s="737"/>
    </row>
    <row r="89" spans="5:25" ht="20.100000000000001">
      <c r="F89" s="451"/>
      <c r="K89" s="452" t="s">
        <v>403</v>
      </c>
      <c r="L89" s="118"/>
      <c r="M89" s="118"/>
      <c r="N89" s="118"/>
      <c r="O89" s="118"/>
      <c r="P89" s="118"/>
      <c r="Q89" s="118"/>
      <c r="R89" s="118"/>
      <c r="S89" s="118"/>
      <c r="T89" s="118"/>
      <c r="U89" s="118"/>
      <c r="V89" s="118"/>
      <c r="W89" s="40"/>
      <c r="X89" s="737"/>
      <c r="Y89" s="737"/>
    </row>
    <row r="90" spans="5:25" ht="20.100000000000001">
      <c r="F90" s="451"/>
      <c r="K90" s="452" t="s">
        <v>404</v>
      </c>
      <c r="L90" s="118"/>
      <c r="M90" s="118"/>
      <c r="N90" s="118"/>
      <c r="O90" s="118"/>
      <c r="P90" s="118"/>
      <c r="Q90" s="118"/>
      <c r="R90" s="118"/>
      <c r="S90" s="118"/>
      <c r="T90" s="118"/>
      <c r="U90" s="118"/>
      <c r="V90" s="118"/>
      <c r="W90" s="40"/>
      <c r="X90" s="737"/>
      <c r="Y90" s="737"/>
    </row>
    <row r="91" spans="5:25" ht="20.100000000000001">
      <c r="F91" s="451"/>
      <c r="K91" s="452" t="s">
        <v>405</v>
      </c>
      <c r="L91" s="118"/>
      <c r="M91" s="118"/>
      <c r="N91" s="118"/>
      <c r="O91" s="118"/>
      <c r="P91" s="118"/>
      <c r="Q91" s="118"/>
      <c r="R91" s="118"/>
      <c r="S91" s="118"/>
      <c r="T91" s="118"/>
      <c r="U91" s="118"/>
      <c r="V91" s="118"/>
      <c r="W91" s="40"/>
      <c r="X91" s="737"/>
      <c r="Y91" s="737"/>
    </row>
    <row r="92" spans="5:25" ht="20.100000000000001">
      <c r="K92" s="452" t="s">
        <v>406</v>
      </c>
      <c r="L92" s="118"/>
      <c r="M92" s="118"/>
      <c r="N92" s="118"/>
      <c r="O92" s="118"/>
      <c r="P92" s="118"/>
      <c r="Q92" s="118"/>
      <c r="R92" s="118"/>
      <c r="S92" s="118"/>
      <c r="T92" s="118"/>
      <c r="U92" s="118"/>
      <c r="V92" s="118"/>
      <c r="W92" s="40"/>
      <c r="X92" s="737"/>
      <c r="Y92" s="737"/>
    </row>
    <row r="93" spans="5:25" ht="20.100000000000001">
      <c r="K93" s="452" t="s">
        <v>407</v>
      </c>
      <c r="L93" s="118"/>
      <c r="M93" s="118"/>
      <c r="N93" s="118"/>
      <c r="O93" s="118"/>
      <c r="P93" s="118"/>
      <c r="Q93" s="118"/>
      <c r="R93" s="118"/>
      <c r="S93" s="118"/>
      <c r="T93" s="118"/>
      <c r="U93" s="118"/>
      <c r="V93" s="118"/>
      <c r="W93" s="40"/>
      <c r="X93" s="737"/>
      <c r="Y93" s="737"/>
    </row>
    <row r="94" spans="5:25" ht="20.100000000000001">
      <c r="K94" s="452" t="s">
        <v>408</v>
      </c>
      <c r="L94" s="118"/>
      <c r="M94" s="118"/>
      <c r="N94" s="118"/>
      <c r="O94" s="118"/>
      <c r="P94" s="118"/>
      <c r="Q94" s="118"/>
      <c r="R94" s="118"/>
      <c r="S94" s="118"/>
      <c r="T94" s="118"/>
      <c r="U94" s="118"/>
      <c r="V94" s="118"/>
      <c r="W94" s="40"/>
      <c r="X94" s="737"/>
      <c r="Y94" s="737"/>
    </row>
    <row r="95" spans="5:25" ht="20.100000000000001">
      <c r="K95" s="452" t="s">
        <v>409</v>
      </c>
      <c r="L95" s="118"/>
      <c r="M95" s="118"/>
      <c r="N95" s="118"/>
      <c r="O95" s="118"/>
      <c r="P95" s="118"/>
      <c r="Q95" s="118"/>
      <c r="R95" s="118"/>
      <c r="S95" s="118"/>
      <c r="T95" s="118"/>
      <c r="U95" s="118"/>
      <c r="V95" s="118"/>
      <c r="W95" s="40"/>
      <c r="X95" s="737"/>
      <c r="Y95" s="737"/>
    </row>
    <row r="96" spans="5:25" ht="20.100000000000001">
      <c r="K96" s="452" t="s">
        <v>410</v>
      </c>
      <c r="L96" s="118"/>
      <c r="M96" s="118"/>
      <c r="N96" s="118"/>
      <c r="O96" s="118"/>
      <c r="P96" s="118"/>
      <c r="Q96" s="118"/>
      <c r="R96" s="118"/>
      <c r="S96" s="118"/>
      <c r="T96" s="118"/>
      <c r="U96" s="118"/>
      <c r="V96" s="118"/>
      <c r="W96" s="40"/>
      <c r="X96" s="737"/>
      <c r="Y96" s="737"/>
    </row>
    <row r="97" spans="11:25" ht="20.100000000000001">
      <c r="K97" s="452" t="s">
        <v>411</v>
      </c>
      <c r="L97" s="118"/>
      <c r="M97" s="118"/>
      <c r="N97" s="118"/>
      <c r="O97" s="118"/>
      <c r="P97" s="118"/>
      <c r="Q97" s="118"/>
      <c r="R97" s="118"/>
      <c r="S97" s="118"/>
      <c r="T97" s="118"/>
      <c r="U97" s="118"/>
      <c r="V97" s="118"/>
      <c r="W97" s="40"/>
      <c r="X97" s="737"/>
      <c r="Y97" s="737"/>
    </row>
    <row r="98" spans="11:25" ht="20.100000000000001">
      <c r="K98" s="452" t="s">
        <v>412</v>
      </c>
      <c r="L98" s="118"/>
      <c r="M98" s="118"/>
      <c r="N98" s="118"/>
      <c r="O98" s="118"/>
      <c r="P98" s="118"/>
      <c r="Q98" s="118"/>
      <c r="R98" s="118"/>
      <c r="S98" s="118"/>
      <c r="T98" s="118"/>
      <c r="U98" s="118"/>
      <c r="V98" s="118"/>
      <c r="W98" s="40"/>
      <c r="X98" s="737"/>
      <c r="Y98" s="737"/>
    </row>
    <row r="99" spans="11:25" ht="20.100000000000001">
      <c r="K99" s="452" t="s">
        <v>413</v>
      </c>
      <c r="L99" s="118"/>
      <c r="M99" s="118"/>
      <c r="N99" s="118"/>
      <c r="O99" s="118"/>
      <c r="P99" s="118"/>
      <c r="Q99" s="118"/>
      <c r="R99" s="118"/>
      <c r="S99" s="118"/>
      <c r="T99" s="118"/>
      <c r="U99" s="118"/>
      <c r="V99" s="118"/>
      <c r="W99" s="40"/>
      <c r="X99" s="737"/>
      <c r="Y99" s="737"/>
    </row>
    <row r="100" spans="11:25" ht="20.100000000000001">
      <c r="K100" s="452" t="s">
        <v>414</v>
      </c>
      <c r="L100" s="118"/>
      <c r="M100" s="118"/>
      <c r="N100" s="118"/>
      <c r="O100" s="118"/>
      <c r="P100" s="118"/>
      <c r="Q100" s="118"/>
      <c r="R100" s="118"/>
      <c r="S100" s="118"/>
      <c r="T100" s="118"/>
      <c r="U100" s="118"/>
      <c r="V100" s="118"/>
      <c r="W100" s="40"/>
      <c r="X100" s="737"/>
      <c r="Y100" s="737"/>
    </row>
    <row r="101" spans="11:25" ht="20.100000000000001">
      <c r="K101" s="452" t="s">
        <v>415</v>
      </c>
      <c r="L101" s="118"/>
      <c r="M101" s="118"/>
      <c r="N101" s="118"/>
      <c r="O101" s="118"/>
      <c r="P101" s="118"/>
      <c r="Q101" s="118"/>
      <c r="R101" s="118"/>
      <c r="S101" s="118"/>
      <c r="T101" s="118"/>
      <c r="U101" s="118"/>
      <c r="V101" s="118"/>
      <c r="W101" s="40"/>
      <c r="X101" s="737"/>
      <c r="Y101" s="737"/>
    </row>
    <row r="102" spans="11:25" ht="20.100000000000001">
      <c r="K102" s="452" t="s">
        <v>416</v>
      </c>
      <c r="L102" s="118"/>
      <c r="M102" s="118"/>
      <c r="N102" s="118"/>
      <c r="O102" s="118"/>
      <c r="P102" s="118"/>
      <c r="Q102" s="118"/>
      <c r="R102" s="118"/>
      <c r="S102" s="118"/>
      <c r="T102" s="118"/>
      <c r="U102" s="118"/>
      <c r="V102" s="118"/>
      <c r="W102" s="40"/>
      <c r="X102" s="737"/>
      <c r="Y102" s="737"/>
    </row>
    <row r="103" spans="11:25" ht="20.100000000000001">
      <c r="K103" s="452" t="s">
        <v>417</v>
      </c>
      <c r="L103" s="118"/>
      <c r="M103" s="118"/>
      <c r="N103" s="118"/>
      <c r="O103" s="118"/>
      <c r="P103" s="118"/>
      <c r="Q103" s="118"/>
      <c r="R103" s="118"/>
      <c r="S103" s="118"/>
      <c r="T103" s="118"/>
      <c r="U103" s="118"/>
      <c r="V103" s="118"/>
      <c r="W103" s="40"/>
      <c r="X103" s="737"/>
      <c r="Y103" s="737"/>
    </row>
    <row r="104" spans="11:25" ht="20.100000000000001">
      <c r="K104" s="452" t="s">
        <v>418</v>
      </c>
      <c r="L104" s="118"/>
      <c r="M104" s="118"/>
      <c r="N104" s="118"/>
      <c r="O104" s="118"/>
      <c r="P104" s="118"/>
      <c r="Q104" s="118"/>
      <c r="R104" s="118"/>
      <c r="S104" s="118"/>
      <c r="T104" s="118"/>
      <c r="U104" s="118"/>
      <c r="V104" s="118"/>
      <c r="W104" s="40"/>
      <c r="X104" s="737"/>
      <c r="Y104" s="737"/>
    </row>
    <row r="105" spans="11:25" ht="20.100000000000001">
      <c r="K105" s="452" t="s">
        <v>419</v>
      </c>
      <c r="L105" s="118"/>
      <c r="M105" s="118"/>
      <c r="N105" s="118"/>
      <c r="O105" s="118"/>
      <c r="P105" s="118"/>
      <c r="Q105" s="118"/>
      <c r="R105" s="118"/>
      <c r="S105" s="118"/>
      <c r="T105" s="118"/>
      <c r="U105" s="118"/>
      <c r="V105" s="118"/>
      <c r="W105" s="40"/>
      <c r="X105" s="737"/>
      <c r="Y105" s="737"/>
    </row>
    <row r="106" spans="11:25" ht="20.100000000000001">
      <c r="K106" s="452" t="s">
        <v>420</v>
      </c>
      <c r="L106" s="118"/>
      <c r="M106" s="118"/>
      <c r="N106" s="118"/>
      <c r="O106" s="118"/>
      <c r="P106" s="118"/>
      <c r="Q106" s="118"/>
      <c r="R106" s="118"/>
      <c r="S106" s="118"/>
      <c r="T106" s="118"/>
      <c r="U106" s="118"/>
      <c r="V106" s="118"/>
      <c r="W106" s="40"/>
      <c r="X106" s="737"/>
      <c r="Y106" s="737"/>
    </row>
    <row r="107" spans="11:25" ht="20.100000000000001">
      <c r="K107" s="452" t="s">
        <v>421</v>
      </c>
      <c r="L107" s="118"/>
      <c r="M107" s="118"/>
      <c r="N107" s="118"/>
      <c r="O107" s="118"/>
      <c r="P107" s="118"/>
      <c r="Q107" s="118"/>
      <c r="R107" s="118"/>
      <c r="S107" s="118"/>
      <c r="T107" s="118"/>
      <c r="U107" s="118"/>
      <c r="V107" s="118"/>
      <c r="W107" s="40"/>
      <c r="X107" s="737"/>
      <c r="Y107" s="737"/>
    </row>
    <row r="108" spans="11:25" ht="20.100000000000001">
      <c r="K108" s="452" t="s">
        <v>422</v>
      </c>
      <c r="L108" s="118"/>
      <c r="M108" s="118"/>
      <c r="N108" s="118"/>
      <c r="O108" s="118"/>
      <c r="P108" s="118"/>
      <c r="Q108" s="118"/>
      <c r="R108" s="118"/>
      <c r="S108" s="118"/>
      <c r="T108" s="118"/>
      <c r="U108" s="118"/>
      <c r="V108" s="118"/>
      <c r="W108" s="40"/>
      <c r="X108" s="737"/>
      <c r="Y108" s="737"/>
    </row>
    <row r="109" spans="11:25" ht="20.100000000000001">
      <c r="K109" s="452" t="s">
        <v>423</v>
      </c>
      <c r="L109" s="118"/>
      <c r="M109" s="118"/>
      <c r="N109" s="118"/>
      <c r="O109" s="118"/>
      <c r="P109" s="118"/>
      <c r="Q109" s="118"/>
      <c r="R109" s="118"/>
      <c r="S109" s="118"/>
      <c r="T109" s="118"/>
      <c r="U109" s="118"/>
      <c r="V109" s="118"/>
      <c r="W109" s="40"/>
      <c r="X109" s="737"/>
      <c r="Y109" s="737"/>
    </row>
    <row r="110" spans="11:25" ht="20.100000000000001">
      <c r="K110" s="452"/>
      <c r="L110" s="118"/>
      <c r="M110" s="118"/>
      <c r="N110" s="118"/>
      <c r="O110" s="118"/>
      <c r="P110" s="118"/>
      <c r="Q110" s="118"/>
      <c r="R110" s="118"/>
      <c r="S110" s="118"/>
      <c r="T110" s="118"/>
      <c r="U110" s="118"/>
      <c r="V110" s="118"/>
      <c r="W110" s="40"/>
      <c r="X110" s="737"/>
      <c r="Y110" s="737"/>
    </row>
    <row r="111" spans="11:25" ht="20.100000000000001">
      <c r="K111" s="452"/>
      <c r="L111" s="118"/>
      <c r="M111" s="118"/>
      <c r="N111" s="118"/>
      <c r="O111" s="118"/>
      <c r="P111" s="118"/>
      <c r="Q111" s="118"/>
      <c r="R111" s="118"/>
      <c r="S111" s="118"/>
      <c r="T111" s="118"/>
      <c r="U111" s="118"/>
      <c r="V111" s="118"/>
      <c r="W111" s="40"/>
      <c r="X111" s="737"/>
      <c r="Y111" s="737"/>
    </row>
    <row r="112" spans="11:25" ht="20.100000000000001">
      <c r="K112" s="452"/>
      <c r="L112" s="118"/>
      <c r="M112" s="118"/>
      <c r="N112" s="118"/>
      <c r="O112" s="118"/>
      <c r="P112" s="118"/>
      <c r="Q112" s="118"/>
      <c r="R112" s="118"/>
      <c r="S112" s="118"/>
      <c r="T112" s="118"/>
      <c r="U112" s="118"/>
      <c r="V112" s="118"/>
      <c r="W112" s="40"/>
      <c r="X112" s="737"/>
      <c r="Y112" s="737"/>
    </row>
    <row r="113" spans="11:25" ht="20.100000000000001">
      <c r="K113" s="452"/>
      <c r="L113" s="118"/>
      <c r="M113" s="118"/>
      <c r="N113" s="118"/>
      <c r="O113" s="118"/>
      <c r="P113" s="118"/>
      <c r="Q113" s="118"/>
      <c r="R113" s="118"/>
      <c r="S113" s="118"/>
      <c r="T113" s="118"/>
      <c r="U113" s="118"/>
      <c r="V113" s="118"/>
      <c r="W113" s="40"/>
      <c r="X113" s="737"/>
      <c r="Y113" s="737"/>
    </row>
    <row r="114" spans="11:25" ht="20.100000000000001">
      <c r="K114" s="452"/>
      <c r="L114" s="118"/>
      <c r="M114" s="118"/>
      <c r="N114" s="118"/>
      <c r="O114" s="118"/>
      <c r="P114" s="118"/>
      <c r="Q114" s="118"/>
      <c r="R114" s="118"/>
      <c r="S114" s="118"/>
      <c r="T114" s="118"/>
      <c r="U114" s="118"/>
      <c r="V114" s="118"/>
      <c r="W114" s="40"/>
      <c r="X114" s="737"/>
      <c r="Y114" s="737"/>
    </row>
    <row r="115" spans="11:25" ht="20.100000000000001">
      <c r="K115" s="452"/>
      <c r="L115" s="118"/>
      <c r="M115" s="118"/>
      <c r="N115" s="118"/>
      <c r="O115" s="118"/>
      <c r="P115" s="118"/>
      <c r="Q115" s="118"/>
      <c r="R115" s="118"/>
      <c r="S115" s="118"/>
      <c r="T115" s="118"/>
      <c r="U115" s="118"/>
      <c r="V115" s="118"/>
      <c r="W115" s="40"/>
      <c r="X115" s="737"/>
      <c r="Y115" s="737"/>
    </row>
    <row r="116" spans="11:25" ht="20.100000000000001">
      <c r="K116" s="452"/>
      <c r="L116" s="118"/>
      <c r="M116" s="118"/>
      <c r="N116" s="118"/>
      <c r="O116" s="118"/>
      <c r="P116" s="118"/>
      <c r="Q116" s="118"/>
      <c r="R116" s="118"/>
      <c r="S116" s="118"/>
      <c r="T116" s="118"/>
      <c r="U116" s="118"/>
      <c r="V116" s="118"/>
      <c r="W116" s="40"/>
      <c r="X116" s="737"/>
      <c r="Y116" s="737"/>
    </row>
    <row r="117" spans="11:25" ht="20.100000000000001">
      <c r="K117" s="452"/>
      <c r="L117" s="118"/>
      <c r="M117" s="118"/>
      <c r="N117" s="118"/>
      <c r="O117" s="118"/>
      <c r="P117" s="118"/>
      <c r="Q117" s="118"/>
      <c r="R117" s="118"/>
      <c r="S117" s="118"/>
      <c r="T117" s="118"/>
      <c r="U117" s="118"/>
      <c r="V117" s="118"/>
      <c r="W117" s="40"/>
      <c r="X117" s="737"/>
      <c r="Y117" s="737"/>
    </row>
    <row r="118" spans="11:25" ht="20.100000000000001">
      <c r="K118" s="452"/>
      <c r="L118" s="118"/>
      <c r="M118" s="118"/>
      <c r="N118" s="118"/>
      <c r="O118" s="118"/>
      <c r="P118" s="118"/>
      <c r="Q118" s="118"/>
      <c r="R118" s="118"/>
      <c r="S118" s="118"/>
      <c r="T118" s="118"/>
      <c r="U118" s="118"/>
      <c r="V118" s="118"/>
      <c r="W118" s="40"/>
      <c r="X118" s="737"/>
      <c r="Y118" s="737"/>
    </row>
    <row r="119" spans="11:25" ht="20.100000000000001">
      <c r="K119" s="452"/>
      <c r="L119" s="118"/>
      <c r="M119" s="118"/>
      <c r="N119" s="118"/>
      <c r="O119" s="118"/>
      <c r="P119" s="118"/>
      <c r="Q119" s="118"/>
      <c r="R119" s="118"/>
      <c r="S119" s="118"/>
      <c r="T119" s="118"/>
      <c r="U119" s="118"/>
      <c r="V119" s="118"/>
      <c r="W119" s="40"/>
      <c r="X119" s="737"/>
      <c r="Y119" s="737"/>
    </row>
    <row r="120" spans="11:25" ht="20.100000000000001">
      <c r="K120" s="452"/>
      <c r="L120" s="118"/>
      <c r="M120" s="118"/>
      <c r="N120" s="118"/>
      <c r="O120" s="118"/>
      <c r="P120" s="118"/>
      <c r="Q120" s="118"/>
      <c r="R120" s="118"/>
      <c r="S120" s="118"/>
      <c r="T120" s="118"/>
      <c r="U120" s="118"/>
      <c r="V120" s="118"/>
      <c r="W120" s="40"/>
      <c r="X120" s="737"/>
      <c r="Y120" s="737"/>
    </row>
    <row r="121" spans="11:25" ht="20.100000000000001">
      <c r="K121" s="452"/>
      <c r="L121" s="118"/>
      <c r="M121" s="118"/>
      <c r="N121" s="118"/>
      <c r="O121" s="118"/>
      <c r="P121" s="118"/>
      <c r="Q121" s="118"/>
      <c r="R121" s="118"/>
      <c r="S121" s="118"/>
      <c r="T121" s="118"/>
      <c r="U121" s="118"/>
      <c r="V121" s="118"/>
      <c r="W121" s="40"/>
      <c r="X121" s="737"/>
      <c r="Y121" s="737"/>
    </row>
    <row r="122" spans="11:25" ht="20.100000000000001">
      <c r="K122" s="452"/>
      <c r="L122" s="118"/>
      <c r="M122" s="118"/>
      <c r="N122" s="118"/>
      <c r="O122" s="118"/>
      <c r="P122" s="118"/>
      <c r="Q122" s="118"/>
      <c r="R122" s="118"/>
      <c r="S122" s="118"/>
      <c r="T122" s="118"/>
      <c r="U122" s="118"/>
      <c r="V122" s="118"/>
      <c r="W122" s="40"/>
      <c r="X122" s="737"/>
      <c r="Y122" s="737"/>
    </row>
    <row r="123" spans="11:25" ht="20.100000000000001">
      <c r="K123" s="452" t="s">
        <v>329</v>
      </c>
      <c r="L123" s="118"/>
      <c r="M123" s="118"/>
      <c r="N123" s="118"/>
      <c r="O123" s="118"/>
      <c r="P123" s="118"/>
      <c r="Q123" s="118"/>
      <c r="R123" s="118"/>
      <c r="S123" s="118"/>
      <c r="T123" s="118"/>
      <c r="U123" s="118"/>
      <c r="V123" s="118"/>
      <c r="W123" s="40"/>
      <c r="X123" s="737"/>
      <c r="Y123" s="737"/>
    </row>
    <row r="124" spans="11:25" ht="20.100000000000001">
      <c r="K124" s="454">
        <v>1</v>
      </c>
      <c r="L124" s="118"/>
      <c r="M124" s="118"/>
      <c r="N124" s="118"/>
      <c r="O124" s="118"/>
      <c r="P124" s="118"/>
      <c r="Q124" s="118"/>
      <c r="R124" s="118"/>
      <c r="S124" s="118"/>
      <c r="T124" s="118"/>
      <c r="U124" s="118"/>
      <c r="V124" s="118"/>
      <c r="W124" s="40"/>
      <c r="X124" s="737"/>
      <c r="Y124" s="737"/>
    </row>
    <row r="125" spans="11:25" ht="20.100000000000001">
      <c r="K125" s="452">
        <v>2</v>
      </c>
      <c r="L125" s="118"/>
      <c r="M125" s="118"/>
      <c r="N125" s="118"/>
      <c r="O125" s="118"/>
      <c r="P125" s="118"/>
      <c r="Q125" s="118"/>
      <c r="R125" s="118"/>
      <c r="S125" s="118"/>
      <c r="T125" s="118"/>
      <c r="U125" s="118"/>
      <c r="V125" s="118"/>
      <c r="W125" s="40"/>
      <c r="X125" s="737"/>
      <c r="Y125" s="737"/>
    </row>
    <row r="126" spans="11:25" ht="20.100000000000001">
      <c r="K126" s="452">
        <v>3</v>
      </c>
      <c r="L126" s="118"/>
      <c r="M126" s="118"/>
      <c r="N126" s="118"/>
      <c r="O126" s="118"/>
      <c r="P126" s="118"/>
      <c r="Q126" s="118"/>
      <c r="R126" s="118"/>
      <c r="S126" s="118"/>
      <c r="T126" s="118"/>
      <c r="U126" s="118"/>
      <c r="V126" s="118"/>
      <c r="W126" s="40"/>
      <c r="X126" s="737"/>
      <c r="Y126" s="737"/>
    </row>
    <row r="127" spans="11:25" ht="20.100000000000001">
      <c r="K127" s="452">
        <v>4</v>
      </c>
      <c r="L127" s="118"/>
      <c r="M127" s="118"/>
      <c r="N127" s="118"/>
      <c r="O127" s="118"/>
      <c r="P127" s="118"/>
      <c r="Q127" s="118"/>
      <c r="R127" s="118"/>
      <c r="S127" s="118"/>
      <c r="T127" s="118"/>
      <c r="U127" s="118"/>
      <c r="V127" s="118"/>
      <c r="W127" s="40"/>
      <c r="X127" s="737"/>
      <c r="Y127" s="737"/>
    </row>
    <row r="128" spans="11:25" ht="20.100000000000001">
      <c r="K128" s="452"/>
      <c r="L128" s="118"/>
      <c r="M128" s="118"/>
      <c r="N128" s="118"/>
      <c r="O128" s="118"/>
      <c r="P128" s="118"/>
      <c r="Q128" s="118"/>
      <c r="R128" s="118"/>
      <c r="S128" s="118"/>
      <c r="T128" s="118"/>
      <c r="U128" s="118"/>
      <c r="V128" s="118"/>
      <c r="W128" s="40"/>
      <c r="X128" s="737"/>
      <c r="Y128" s="737"/>
    </row>
    <row r="129" spans="11:25" ht="20.100000000000001">
      <c r="K129" s="452"/>
      <c r="L129" s="118"/>
      <c r="M129" s="118"/>
      <c r="N129" s="118"/>
      <c r="O129" s="118"/>
      <c r="P129" s="118"/>
      <c r="Q129" s="118"/>
      <c r="R129" s="118"/>
      <c r="S129" s="118"/>
      <c r="T129" s="118"/>
      <c r="U129" s="118"/>
      <c r="V129" s="118"/>
      <c r="W129" s="40"/>
      <c r="X129" s="737"/>
      <c r="Y129" s="737"/>
    </row>
    <row r="130" spans="11:25" ht="20.100000000000001">
      <c r="K130" s="452"/>
      <c r="L130" s="118"/>
      <c r="M130" s="118"/>
      <c r="N130" s="118"/>
      <c r="O130" s="118"/>
      <c r="P130" s="118"/>
      <c r="Q130" s="118"/>
      <c r="R130" s="118"/>
      <c r="S130" s="118"/>
      <c r="T130" s="118"/>
      <c r="U130" s="118"/>
      <c r="V130" s="118"/>
      <c r="W130" s="40"/>
      <c r="X130" s="737"/>
      <c r="Y130" s="737"/>
    </row>
    <row r="131" spans="11:25" ht="15" customHeight="1">
      <c r="K131" s="452"/>
      <c r="L131" s="118"/>
      <c r="M131" s="118"/>
      <c r="N131" s="118"/>
      <c r="O131" s="118"/>
      <c r="P131" s="118"/>
      <c r="Q131" s="118"/>
      <c r="R131" s="118"/>
      <c r="S131" s="118"/>
      <c r="T131" s="118"/>
      <c r="U131" s="118"/>
      <c r="V131" s="118"/>
      <c r="W131" s="40"/>
      <c r="X131" s="737"/>
      <c r="Y131" s="737"/>
    </row>
    <row r="132" spans="11:25" ht="15" customHeight="1">
      <c r="K132" s="452"/>
      <c r="L132" s="118"/>
      <c r="M132" s="118"/>
      <c r="N132" s="118"/>
      <c r="O132" s="118"/>
      <c r="P132" s="118"/>
      <c r="Q132" s="118"/>
      <c r="R132" s="118"/>
      <c r="S132" s="118"/>
      <c r="T132" s="118"/>
      <c r="U132" s="118"/>
      <c r="V132" s="118"/>
      <c r="W132" s="40"/>
      <c r="X132" s="737"/>
      <c r="Y132" s="737"/>
    </row>
    <row r="133" spans="11:25" ht="15" customHeight="1">
      <c r="K133" s="452"/>
      <c r="L133" s="118"/>
      <c r="M133" s="118"/>
      <c r="N133" s="118"/>
      <c r="O133" s="118"/>
      <c r="P133" s="118"/>
      <c r="Q133" s="118"/>
      <c r="R133" s="118"/>
      <c r="S133" s="118"/>
      <c r="T133" s="118"/>
      <c r="U133" s="118"/>
      <c r="V133" s="118"/>
      <c r="W133" s="40"/>
      <c r="X133" s="737"/>
      <c r="Y133" s="737"/>
    </row>
    <row r="134" spans="11:25" ht="15" customHeight="1">
      <c r="K134" s="452"/>
      <c r="L134" s="118"/>
      <c r="M134" s="118"/>
      <c r="N134" s="118"/>
      <c r="O134" s="118"/>
      <c r="P134" s="118"/>
      <c r="Q134" s="118"/>
      <c r="R134" s="118"/>
      <c r="S134" s="118"/>
      <c r="T134" s="118"/>
      <c r="U134" s="118"/>
      <c r="V134" s="118"/>
      <c r="W134" s="40"/>
      <c r="X134" s="737"/>
      <c r="Y134" s="737"/>
    </row>
    <row r="135" spans="11:25" ht="15" customHeight="1">
      <c r="K135" s="452"/>
      <c r="L135" s="118"/>
      <c r="M135" s="118"/>
      <c r="N135" s="118"/>
      <c r="O135" s="118"/>
      <c r="P135" s="118"/>
      <c r="Q135" s="118"/>
      <c r="R135" s="118"/>
      <c r="S135" s="118"/>
      <c r="T135" s="118"/>
      <c r="U135" s="118"/>
      <c r="V135" s="118"/>
      <c r="W135" s="40"/>
      <c r="X135" s="737"/>
      <c r="Y135" s="737"/>
    </row>
    <row r="136" spans="11:25" ht="15" customHeight="1">
      <c r="L136" s="118"/>
      <c r="M136" s="118"/>
      <c r="N136" s="118"/>
      <c r="O136" s="118"/>
      <c r="P136" s="118"/>
      <c r="Q136" s="118"/>
      <c r="R136" s="118"/>
      <c r="S136" s="118"/>
      <c r="T136" s="118"/>
      <c r="U136" s="118"/>
      <c r="V136" s="118"/>
      <c r="W136" s="40"/>
      <c r="X136" s="737"/>
      <c r="Y136" s="737"/>
    </row>
    <row r="137" spans="11:25" ht="15" customHeight="1">
      <c r="K137" s="452"/>
      <c r="L137" s="118"/>
      <c r="M137" s="118"/>
      <c r="N137" s="118"/>
      <c r="O137" s="118"/>
      <c r="P137" s="118"/>
      <c r="Q137" s="118"/>
      <c r="R137" s="118"/>
      <c r="S137" s="118"/>
      <c r="T137" s="118"/>
      <c r="U137" s="118"/>
      <c r="V137" s="118"/>
      <c r="W137" s="40"/>
      <c r="X137" s="737"/>
      <c r="Y137" s="737"/>
    </row>
    <row r="138" spans="11:25" ht="15" customHeight="1">
      <c r="K138" s="452"/>
      <c r="L138" s="118"/>
      <c r="M138" s="118"/>
      <c r="N138" s="118"/>
      <c r="O138" s="118"/>
      <c r="P138" s="118"/>
      <c r="Q138" s="118"/>
      <c r="R138" s="118"/>
      <c r="S138" s="118"/>
      <c r="T138" s="118"/>
      <c r="U138" s="118"/>
      <c r="V138" s="118"/>
      <c r="W138" s="40"/>
      <c r="X138" s="737"/>
      <c r="Y138" s="737"/>
    </row>
    <row r="139" spans="11:25" ht="15" customHeight="1">
      <c r="K139" s="452"/>
      <c r="L139" s="118"/>
      <c r="M139" s="118"/>
      <c r="N139" s="118"/>
      <c r="O139" s="118"/>
      <c r="P139" s="118"/>
      <c r="Q139" s="118"/>
      <c r="R139" s="118"/>
      <c r="S139" s="118"/>
      <c r="T139" s="118"/>
      <c r="U139" s="118"/>
      <c r="V139" s="118"/>
      <c r="W139" s="40"/>
      <c r="X139" s="737"/>
      <c r="Y139" s="737"/>
    </row>
    <row r="140" spans="11:25" ht="15" customHeight="1">
      <c r="K140" s="452"/>
      <c r="L140" s="446"/>
      <c r="M140" s="118"/>
      <c r="N140" s="118"/>
      <c r="O140" s="118"/>
      <c r="P140" s="118"/>
      <c r="W140" s="40"/>
      <c r="X140" s="737"/>
      <c r="Y140" s="737"/>
    </row>
    <row r="141" spans="11:25" ht="15" customHeight="1">
      <c r="K141" s="452"/>
      <c r="L141" s="446"/>
      <c r="M141" s="118"/>
      <c r="N141" s="118"/>
      <c r="O141" s="118"/>
      <c r="P141" s="118"/>
      <c r="W141" s="40"/>
      <c r="X141" s="737"/>
      <c r="Y141" s="737"/>
    </row>
    <row r="142" spans="11:25" ht="15" customHeight="1">
      <c r="K142" s="452"/>
      <c r="L142" s="446"/>
      <c r="M142" s="118"/>
      <c r="N142" s="118"/>
      <c r="O142" s="118"/>
      <c r="P142" s="118"/>
      <c r="W142" s="40"/>
      <c r="X142" s="737"/>
      <c r="Y142" s="737"/>
    </row>
    <row r="143" spans="11:25" ht="15" customHeight="1">
      <c r="K143" s="452"/>
      <c r="L143" s="446"/>
      <c r="M143" s="118"/>
      <c r="N143" s="118"/>
      <c r="O143" s="118"/>
      <c r="P143" s="118"/>
      <c r="W143" s="40"/>
      <c r="X143" s="737"/>
      <c r="Y143" s="737"/>
    </row>
    <row r="144" spans="11:25" ht="15" customHeight="1">
      <c r="K144" s="452"/>
      <c r="L144" s="446"/>
      <c r="M144" s="118"/>
      <c r="N144" s="118"/>
      <c r="O144" s="118"/>
      <c r="P144" s="118"/>
      <c r="W144" s="40"/>
      <c r="X144" s="737"/>
      <c r="Y144" s="737"/>
    </row>
    <row r="145" spans="11:25" ht="15" customHeight="1">
      <c r="K145" s="452"/>
      <c r="L145" s="446"/>
      <c r="M145" s="118"/>
      <c r="N145" s="118"/>
      <c r="O145" s="118"/>
      <c r="P145" s="118"/>
      <c r="X145" s="737"/>
      <c r="Y145" s="737"/>
    </row>
    <row r="146" spans="11:25" ht="15" customHeight="1">
      <c r="K146" s="452"/>
      <c r="L146" s="446"/>
      <c r="M146" s="118"/>
      <c r="N146" s="118"/>
      <c r="O146" s="118"/>
      <c r="P146" s="118"/>
      <c r="X146" s="737"/>
      <c r="Y146" s="737"/>
    </row>
    <row r="147" spans="11:25" ht="15" customHeight="1">
      <c r="K147" s="452"/>
      <c r="L147" s="446"/>
      <c r="M147" s="118"/>
      <c r="N147" s="118"/>
      <c r="O147" s="118"/>
      <c r="P147" s="118"/>
      <c r="X147" s="737"/>
      <c r="Y147" s="737"/>
    </row>
    <row r="148" spans="11:25" ht="15" customHeight="1">
      <c r="K148" s="452"/>
      <c r="L148" s="446"/>
      <c r="M148" s="118"/>
      <c r="N148" s="118"/>
      <c r="O148" s="118"/>
      <c r="P148" s="118"/>
      <c r="X148" s="737"/>
      <c r="Y148" s="737"/>
    </row>
    <row r="149" spans="11:25" ht="15" customHeight="1">
      <c r="K149" s="452"/>
      <c r="L149" s="446"/>
      <c r="M149" s="118"/>
      <c r="N149" s="118"/>
      <c r="O149" s="118"/>
      <c r="P149" s="118"/>
      <c r="X149" s="737"/>
      <c r="Y149" s="737"/>
    </row>
    <row r="150" spans="11:25" ht="15" customHeight="1">
      <c r="K150" s="452"/>
      <c r="L150" s="446"/>
      <c r="M150" s="118"/>
      <c r="N150" s="118"/>
      <c r="O150" s="118"/>
      <c r="P150" s="118"/>
      <c r="X150" s="737"/>
      <c r="Y150" s="737"/>
    </row>
    <row r="151" spans="11:25" ht="15" customHeight="1">
      <c r="K151" s="452"/>
      <c r="L151" s="446"/>
      <c r="M151" s="118"/>
      <c r="N151" s="118"/>
      <c r="O151" s="118"/>
      <c r="P151" s="118"/>
      <c r="X151" s="737"/>
      <c r="Y151" s="737"/>
    </row>
    <row r="152" spans="11:25" ht="15" customHeight="1">
      <c r="K152" s="452"/>
      <c r="L152" s="446"/>
      <c r="M152" s="118"/>
      <c r="N152" s="118"/>
      <c r="O152" s="118"/>
      <c r="P152" s="118"/>
      <c r="X152" s="737"/>
      <c r="Y152" s="737"/>
    </row>
    <row r="153" spans="11:25" ht="15" customHeight="1">
      <c r="K153" s="452"/>
      <c r="L153" s="446"/>
      <c r="M153" s="118"/>
      <c r="N153" s="118"/>
      <c r="O153" s="118"/>
      <c r="P153" s="118"/>
      <c r="X153" s="737"/>
      <c r="Y153" s="737"/>
    </row>
    <row r="154" spans="11:25" ht="15" customHeight="1">
      <c r="K154" s="452"/>
      <c r="L154" s="446"/>
      <c r="M154" s="118"/>
      <c r="N154" s="118"/>
      <c r="O154" s="118"/>
      <c r="P154" s="118"/>
      <c r="X154" s="737"/>
      <c r="Y154" s="737"/>
    </row>
    <row r="155" spans="11:25" ht="15" customHeight="1">
      <c r="N155" s="452"/>
      <c r="X155" s="737"/>
      <c r="Y155" s="737"/>
    </row>
    <row r="156" spans="11:25" ht="15" customHeight="1">
      <c r="X156" s="737"/>
      <c r="Y156" s="737"/>
    </row>
    <row r="157" spans="11:25" ht="15" customHeight="1">
      <c r="X157" s="737"/>
      <c r="Y157" s="737"/>
    </row>
    <row r="158" spans="11:25" ht="15" customHeight="1">
      <c r="X158" s="737"/>
      <c r="Y158" s="737"/>
    </row>
    <row r="159" spans="11:25" ht="15" customHeight="1">
      <c r="X159" s="737"/>
      <c r="Y159" s="737"/>
    </row>
  </sheetData>
  <dataConsolidate/>
  <mergeCells count="3">
    <mergeCell ref="T11:W11"/>
    <mergeCell ref="F10:G10"/>
    <mergeCell ref="N11:Q11"/>
  </mergeCells>
  <conditionalFormatting sqref="F39">
    <cfRule type="expression" dxfId="86" priority="432">
      <formula>"D40=&gt;0"</formula>
    </cfRule>
  </conditionalFormatting>
  <conditionalFormatting sqref="F49:F50">
    <cfRule type="notContainsBlanks" dxfId="85" priority="70">
      <formula>LEN(TRIM(F49))&gt;0</formula>
    </cfRule>
  </conditionalFormatting>
  <conditionalFormatting sqref="F53:F55">
    <cfRule type="notContainsBlanks" dxfId="84" priority="67">
      <formula>LEN(TRIM(F53))&gt;0</formula>
    </cfRule>
  </conditionalFormatting>
  <conditionalFormatting sqref="F59:F61">
    <cfRule type="cellIs" dxfId="83" priority="419" operator="greaterThan">
      <formula>0</formula>
    </cfRule>
  </conditionalFormatting>
  <conditionalFormatting sqref="G19:G21">
    <cfRule type="notContainsBlanks" dxfId="82" priority="78">
      <formula>LEN(TRIM(G19))&gt;0</formula>
    </cfRule>
  </conditionalFormatting>
  <conditionalFormatting sqref="G26">
    <cfRule type="notContainsBlanks" dxfId="81" priority="77">
      <formula>LEN(TRIM(G26))&gt;0</formula>
    </cfRule>
  </conditionalFormatting>
  <conditionalFormatting sqref="G28">
    <cfRule type="notContainsBlanks" dxfId="80" priority="76">
      <formula>LEN(TRIM(G28))&gt;0</formula>
    </cfRule>
  </conditionalFormatting>
  <conditionalFormatting sqref="G30:G31">
    <cfRule type="notContainsBlanks" dxfId="79" priority="74">
      <formula>LEN(TRIM(G30))&gt;0</formula>
    </cfRule>
  </conditionalFormatting>
  <conditionalFormatting sqref="G39">
    <cfRule type="notContainsBlanks" dxfId="78" priority="72">
      <formula>LEN(TRIM(G39))&gt;0</formula>
    </cfRule>
  </conditionalFormatting>
  <conditionalFormatting sqref="G41">
    <cfRule type="notContainsBlanks" dxfId="77" priority="73">
      <formula>LEN(TRIM(G41))&gt;0</formula>
    </cfRule>
  </conditionalFormatting>
  <conditionalFormatting sqref="G43">
    <cfRule type="cellIs" dxfId="76" priority="431" operator="greaterThan">
      <formula>0</formula>
    </cfRule>
  </conditionalFormatting>
  <conditionalFormatting sqref="G51">
    <cfRule type="cellIs" dxfId="75" priority="424" operator="greaterThan">
      <formula>0</formula>
    </cfRule>
  </conditionalFormatting>
  <conditionalFormatting sqref="G57">
    <cfRule type="cellIs" dxfId="74" priority="423" operator="greaterThan">
      <formula>0</formula>
    </cfRule>
  </conditionalFormatting>
  <conditionalFormatting sqref="G63">
    <cfRule type="cellIs" dxfId="73" priority="426" operator="greaterThan">
      <formula>0</formula>
    </cfRule>
  </conditionalFormatting>
  <conditionalFormatting sqref="M24">
    <cfRule type="cellIs" dxfId="72" priority="100" operator="greaterThan">
      <formula>0</formula>
    </cfRule>
  </conditionalFormatting>
  <conditionalFormatting sqref="M29">
    <cfRule type="cellIs" dxfId="71" priority="99" operator="greaterThan">
      <formula>0</formula>
    </cfRule>
  </conditionalFormatting>
  <conditionalFormatting sqref="M34">
    <cfRule type="cellIs" dxfId="70" priority="412" stopIfTrue="1" operator="greaterThan">
      <formula>0.01</formula>
    </cfRule>
  </conditionalFormatting>
  <conditionalFormatting sqref="M38">
    <cfRule type="cellIs" dxfId="69" priority="98" stopIfTrue="1" operator="greaterThan">
      <formula>0.01</formula>
    </cfRule>
  </conditionalFormatting>
  <conditionalFormatting sqref="M57">
    <cfRule type="cellIs" dxfId="68" priority="82" operator="greaterThan">
      <formula>0</formula>
    </cfRule>
  </conditionalFormatting>
  <conditionalFormatting sqref="M33:O33">
    <cfRule type="cellIs" dxfId="67" priority="345" operator="greaterThan">
      <formula>0</formula>
    </cfRule>
  </conditionalFormatting>
  <conditionalFormatting sqref="M27:Q27">
    <cfRule type="cellIs" dxfId="66" priority="24" operator="greaterThan">
      <formula>0</formula>
    </cfRule>
  </conditionalFormatting>
  <conditionalFormatting sqref="N34:O34">
    <cfRule type="cellIs" dxfId="65" priority="413" operator="greaterThan">
      <formula>0</formula>
    </cfRule>
  </conditionalFormatting>
  <conditionalFormatting sqref="N17:Q17">
    <cfRule type="cellIs" dxfId="64" priority="19" operator="greaterThan">
      <formula>0</formula>
    </cfRule>
  </conditionalFormatting>
  <conditionalFormatting sqref="N21:Q23">
    <cfRule type="cellIs" dxfId="63" priority="22" operator="greaterThan">
      <formula>0</formula>
    </cfRule>
  </conditionalFormatting>
  <conditionalFormatting sqref="N24:Q25">
    <cfRule type="cellIs" dxfId="62" priority="25" operator="greaterThan">
      <formula>0</formula>
    </cfRule>
  </conditionalFormatting>
  <conditionalFormatting sqref="N29:Q29 N31:Q31 N36:Q36 N38:Q39 N44:Q44">
    <cfRule type="cellIs" dxfId="61" priority="29" operator="greaterThan">
      <formula>0</formula>
    </cfRule>
  </conditionalFormatting>
  <conditionalFormatting sqref="N41:Q42">
    <cfRule type="cellIs" dxfId="60" priority="21" operator="greaterThan">
      <formula>0</formula>
    </cfRule>
  </conditionalFormatting>
  <conditionalFormatting sqref="N46:Q53">
    <cfRule type="cellIs" dxfId="59" priority="20" operator="greaterThan">
      <formula>0</formula>
    </cfRule>
  </conditionalFormatting>
  <conditionalFormatting sqref="N55:Q55">
    <cfRule type="cellIs" dxfId="58" priority="2" operator="greaterThan">
      <formula>0</formula>
    </cfRule>
  </conditionalFormatting>
  <conditionalFormatting sqref="N57:Q57">
    <cfRule type="cellIs" dxfId="57" priority="3" operator="greaterThan">
      <formula>0</formula>
    </cfRule>
  </conditionalFormatting>
  <conditionalFormatting sqref="N59:Q65">
    <cfRule type="cellIs" dxfId="56" priority="1" operator="greaterThan">
      <formula>0</formula>
    </cfRule>
  </conditionalFormatting>
  <conditionalFormatting sqref="P33:Q34">
    <cfRule type="cellIs" dxfId="55" priority="27" operator="greaterThan">
      <formula>0</formula>
    </cfRule>
  </conditionalFormatting>
  <conditionalFormatting sqref="S38:S65">
    <cfRule type="cellIs" dxfId="54" priority="231" operator="greaterThan">
      <formula>0</formula>
    </cfRule>
  </conditionalFormatting>
  <conditionalFormatting sqref="S27:W27">
    <cfRule type="cellIs" dxfId="53" priority="14" operator="greaterThan">
      <formula>0</formula>
    </cfRule>
  </conditionalFormatting>
  <conditionalFormatting sqref="S29:W29 S31:W31 S36:W36 T38:W39 T44:W44 T57:W57 T59:W65">
    <cfRule type="cellIs" dxfId="52" priority="18" operator="greaterThan">
      <formula>0</formula>
    </cfRule>
  </conditionalFormatting>
  <conditionalFormatting sqref="S33:W34">
    <cfRule type="cellIs" dxfId="51" priority="16" operator="greaterThan">
      <formula>0</formula>
    </cfRule>
  </conditionalFormatting>
  <conditionalFormatting sqref="T17:W17">
    <cfRule type="cellIs" dxfId="50" priority="13" operator="greaterThan">
      <formula>0</formula>
    </cfRule>
  </conditionalFormatting>
  <conditionalFormatting sqref="T21:W23">
    <cfRule type="cellIs" dxfId="49" priority="10" operator="greaterThan">
      <formula>0</formula>
    </cfRule>
  </conditionalFormatting>
  <conditionalFormatting sqref="T24:W24">
    <cfRule type="cellIs" dxfId="48" priority="15" operator="greaterThan">
      <formula>0</formula>
    </cfRule>
  </conditionalFormatting>
  <conditionalFormatting sqref="T42:W42">
    <cfRule type="cellIs" dxfId="47" priority="11" operator="greaterThan">
      <formula>0</formula>
    </cfRule>
  </conditionalFormatting>
  <conditionalFormatting sqref="T46:W53">
    <cfRule type="cellIs" dxfId="46" priority="12" operator="greaterThan">
      <formula>0</formula>
    </cfRule>
  </conditionalFormatting>
  <conditionalFormatting sqref="T55:W55">
    <cfRule type="cellIs" dxfId="45" priority="17" operator="greaterThan">
      <formula>0</formula>
    </cfRule>
  </conditionalFormatting>
  <dataValidations count="3">
    <dataValidation type="list" allowBlank="1" showInputMessage="1" showErrorMessage="1" promptTitle="Selecteer" prompt="Selecteer uit de lijst een categorie schoonmaak _x000d_medewerker" sqref="N13:Q13 T13:W13" xr:uid="{A8B15222-0217-4C4E-A996-690095EC3972}">
      <formula1>$K$84:$K$121</formula1>
    </dataValidation>
    <dataValidation type="list" allowBlank="1" showInputMessage="1" showErrorMessage="1" sqref="T15:W15 N15:Q15" xr:uid="{302E3468-44AF-7541-9FB9-1A041EE5250D}">
      <formula1>$K$123:$K$127</formula1>
    </dataValidation>
    <dataValidation type="list" allowBlank="1" showInputMessage="1" showErrorMessage="1" sqref="E25" xr:uid="{9944B22C-858C-8B4D-B057-12389A3C855C}">
      <formula1>$E$86:$E$88</formula1>
    </dataValidation>
  </dataValidations>
  <printOptions horizontalCentered="1"/>
  <pageMargins left="0.19685039370078741" right="0.19685039370078741" top="0.39370078740157483" bottom="0.39370078740157483" header="0.39370078740157483" footer="0.19685039370078741"/>
  <pageSetup paperSize="9" scale="51" orientation="landscape" r:id="rId1"/>
  <headerFooter>
    <oddHeader>&amp;L&amp;C&amp;R</oddHeader>
    <oddFooter>&amp;L&amp;"Verdana,Standaard"&amp;K000000&amp;F-&amp;A&amp;R&amp;"Verdana,Standaard"&amp;K000000printversie &amp;D</oddFooter>
  </headerFooter>
  <legacyDrawing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FEE2ECCC7D554DAFF485B6FD2708C3" ma:contentTypeVersion="4" ma:contentTypeDescription="Een nieuw document maken." ma:contentTypeScope="" ma:versionID="1308956e612770650722ae1ce8e0d176">
  <xsd:schema xmlns:xsd="http://www.w3.org/2001/XMLSchema" xmlns:xs="http://www.w3.org/2001/XMLSchema" xmlns:p="http://schemas.microsoft.com/office/2006/metadata/properties" xmlns:ns2="76320986-565d-45c6-94f1-41d556dfd2db" targetNamespace="http://schemas.microsoft.com/office/2006/metadata/properties" ma:root="true" ma:fieldsID="cdc9281c3f81a1f05f87b50224a4004e" ns2:_="">
    <xsd:import namespace="76320986-565d-45c6-94f1-41d556dfd2d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320986-565d-45c6-94f1-41d556dfd2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6794FE-0604-42D9-A22F-325C54AD63B4}"/>
</file>

<file path=customXml/itemProps2.xml><?xml version="1.0" encoding="utf-8"?>
<ds:datastoreItem xmlns:ds="http://schemas.openxmlformats.org/officeDocument/2006/customXml" ds:itemID="{DF13127F-3EC3-4712-B546-F68ACC7DA568}"/>
</file>

<file path=customXml/itemProps3.xml><?xml version="1.0" encoding="utf-8"?>
<ds:datastoreItem xmlns:ds="http://schemas.openxmlformats.org/officeDocument/2006/customXml" ds:itemID="{86B4B9BB-8B1D-4F31-B68A-2C803DE3EF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 van leijen</dc:creator>
  <cp:keywords/>
  <dc:description/>
  <cp:lastModifiedBy>Koelemeijer, Angelique</cp:lastModifiedBy>
  <cp:revision/>
  <dcterms:created xsi:type="dcterms:W3CDTF">1999-10-05T12:28:40Z</dcterms:created>
  <dcterms:modified xsi:type="dcterms:W3CDTF">2024-02-13T09:49:38Z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0x01010054FEE2ECCC7D554DAFF485B6FD2708C3</vt:lpwstr>
  </property>
</Properties>
</file>