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Blosse kindcentra/3. Aanbestedingsdocs/1. Calculatie/"/>
    </mc:Choice>
  </mc:AlternateContent>
  <xr:revisionPtr revIDLastSave="56" documentId="8_{85D2C157-92A0-4000-A25C-D81F8C6C7282}" xr6:coauthVersionLast="47" xr6:coauthVersionMax="47" xr10:uidLastSave="{B9D2F3EB-715B-4777-9B5D-730C88CB0F6B}"/>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froepprijs" sheetId="5" r:id="rId8"/>
    <sheet name="9-Vloeronderhoud" sheetId="39" r:id="rId9"/>
    <sheet name="10-Glasbewassing" sheetId="42" r:id="rId10"/>
  </sheets>
  <externalReferences>
    <externalReference r:id="rId11"/>
    <externalReference r:id="rId12"/>
    <externalReference r:id="rId13"/>
    <externalReference r:id="rId14"/>
    <externalReference r:id="rId15"/>
    <externalReference r:id="rId16"/>
    <externalReference r:id="rId17"/>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localSheetId="9" hidden="1">[1]Psychiatrie!#REF!</definedName>
    <definedName name="_1_________F" hidden="1">[1]Psychiatrie!#REF!</definedName>
    <definedName name="_1F" localSheetId="9" hidden="1">[1]Blad1!#REF!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localSheetId="8" hidden="1">'[2]#REF'!#REF!</definedName>
    <definedName name="_Fill" hidden="1">'[3]#REF'!#REF!</definedName>
    <definedName name="_filll" hidden="1">'[4]#REF'!#REF!</definedName>
    <definedName name="_xlnm._FilterDatabase" localSheetId="9" hidden="1">'10-Glasbewassing'!$A$10:$Z$102</definedName>
    <definedName name="_xlnm._FilterDatabase" localSheetId="1" hidden="1">'2-Kosten per locatie'!$A$13:$N$36</definedName>
    <definedName name="_xlnm._FilterDatabase" localSheetId="3" hidden="1">'4-Basis ruimtestaat'!$B$9:$S$1283</definedName>
    <definedName name="_xlnm._FilterDatabase" localSheetId="8" hidden="1">'9-Vloeronderhoud'!$A$10:$X$33</definedName>
    <definedName name="_Hlk39130726" localSheetId="0">'1-Uitgangspunten'!$A$16</definedName>
    <definedName name="_Key1" localSheetId="9" hidden="1">'[2]#REF'!#REF!</definedName>
    <definedName name="_Key1" localSheetId="1" hidden="1">'[3]#REF'!#REF!</definedName>
    <definedName name="_Key1" localSheetId="8"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locatie'!$A$3:$X$36</definedName>
    <definedName name="_xlnm.Print_Area" localSheetId="3">'4-Basis ruimtestaat'!$B$3:$S$114</definedName>
    <definedName name="_xlnm.Print_Area" localSheetId="4">'5-Premies en opslagen'!$A$3:$E$55</definedName>
    <definedName name="_xlnm.Print_Area" localSheetId="5">'6-Opbouw uurtarief productie'!$A$1:$R$63</definedName>
    <definedName name="_xlnm.Print_Area" localSheetId="7">'8-Afroepprijs'!$A$3:$F$41</definedName>
    <definedName name="_xlnm.Print_Titles" localSheetId="9">'10-Glasbewassing'!$10:$10</definedName>
    <definedName name="_xlnm.Print_Titles" localSheetId="1">'2-Kosten per locatie'!$13:$13</definedName>
    <definedName name="_xlnm.Print_Titles" localSheetId="3">'4-Basis ruimtestaat'!$9:$9</definedName>
    <definedName name="_xlnm.Print_Titles" localSheetId="5">'6-Opbouw uurtarief productie'!$A:$C</definedName>
    <definedName name="_xlnm.Print_Titles" localSheetId="7">'8-Afroepprijs'!$6:$9</definedName>
    <definedName name="_xlnm.Print_Titles" localSheetId="8">'9-Vloeronderhoud'!$10:$10</definedName>
    <definedName name="berichtok" localSheetId="9">#N/A</definedName>
    <definedName name="berichtok" localSheetId="1">'2-Kosten per locatie'!berichtok</definedName>
    <definedName name="berichtok">'2-Kosten per locatie'!berichtok</definedName>
    <definedName name="berichtoke" localSheetId="9">#N/A</definedName>
    <definedName name="berichtoke" localSheetId="1">'2-Kosten per locatie'!berichtoke</definedName>
    <definedName name="berichtoke">'2-Kosten per locatie'!berichtoke</definedName>
    <definedName name="berichtoke1" localSheetId="9">#N/A</definedName>
    <definedName name="berichtoke1" localSheetId="1">'2-Kosten per locatie'!berichtoke1</definedName>
    <definedName name="berichtoke1">'2-Kosten per locatie'!berichtoke1</definedName>
    <definedName name="Berkt" localSheetId="9">#N/A</definedName>
    <definedName name="Berkt" localSheetId="1">'2-Kosten per locatie'!Berkt</definedName>
    <definedName name="Berkt">'2-Kosten per locatie'!Berkt</definedName>
    <definedName name="dffdf" localSheetId="9" hidden="1">'[5]#REF'!#REF!</definedName>
    <definedName name="dffdf" hidden="1">'[5]#REF'!#REF!</definedName>
    <definedName name="einde" localSheetId="9">#N/A</definedName>
    <definedName name="einde" localSheetId="1">'2-Kosten per locatie'!einde</definedName>
    <definedName name="einde">'2-Kosten per locatie'!einde</definedName>
    <definedName name="fghf" localSheetId="9" hidden="1">'[6]#REF'!#REF!</definedName>
    <definedName name="fghf" hidden="1">'[6]#REF'!#REF!</definedName>
    <definedName name="Gan_R" localSheetId="9">#N/A</definedName>
    <definedName name="Gan_R" localSheetId="1">'2-Kosten per locatie'!Gan_R</definedName>
    <definedName name="Gan_R">'2-Kosten per locatie'!Gan_R</definedName>
    <definedName name="gs" localSheetId="9" hidden="1">'[5]#REF'!#REF!</definedName>
    <definedName name="gs" hidden="1">'[5]#REF'!#REF!</definedName>
    <definedName name="han" localSheetId="9" hidden="1">'[2]#REF'!#REF!</definedName>
    <definedName name="han" localSheetId="1" hidden="1">'[3]#REF'!#REF!</definedName>
    <definedName name="han" localSheetId="8" hidden="1">'[2]#REF'!#REF!</definedName>
    <definedName name="han" hidden="1">'[3]#REF'!#REF!</definedName>
    <definedName name="HTML_CodePage" hidden="1">1252</definedName>
    <definedName name="HTML_Control" localSheetId="9"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9" hidden="1">{"'ma_vr'!$A$1:$AA$42"}</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2" l="1"/>
  <c r="O14" i="2"/>
  <c r="O16" i="2"/>
  <c r="O17" i="2"/>
  <c r="O18" i="2"/>
  <c r="O22" i="2"/>
  <c r="O26" i="2"/>
  <c r="O27" i="2"/>
  <c r="O72" i="2"/>
  <c r="O78" i="2"/>
  <c r="O97" i="2"/>
  <c r="O105" i="2"/>
  <c r="O116" i="2"/>
  <c r="O117" i="2"/>
  <c r="O118" i="2"/>
  <c r="O137" i="2"/>
  <c r="O138" i="2"/>
  <c r="O175" i="2"/>
  <c r="O176" i="2"/>
  <c r="O192" i="2"/>
  <c r="O218" i="2"/>
  <c r="O219" i="2"/>
  <c r="O234" i="2"/>
  <c r="O244" i="2"/>
  <c r="O282" i="2"/>
  <c r="O302" i="2"/>
  <c r="O307" i="2"/>
  <c r="O311" i="2"/>
  <c r="O313" i="2"/>
  <c r="O315" i="2"/>
  <c r="O319" i="2"/>
  <c r="O322" i="2"/>
  <c r="O323" i="2"/>
  <c r="O324" i="2"/>
  <c r="O325" i="2"/>
  <c r="O328" i="2"/>
  <c r="O329" i="2"/>
  <c r="O338" i="2"/>
  <c r="O345" i="2"/>
  <c r="O362" i="2"/>
  <c r="O368" i="2"/>
  <c r="O369" i="2"/>
  <c r="O382" i="2"/>
  <c r="O413" i="2"/>
  <c r="O418" i="2"/>
  <c r="O431" i="2"/>
  <c r="O434" i="2"/>
  <c r="O435" i="2"/>
  <c r="O455" i="2"/>
  <c r="O456" i="2"/>
  <c r="O458" i="2"/>
  <c r="O459" i="2"/>
  <c r="O461" i="2"/>
  <c r="O476" i="2"/>
  <c r="O479" i="2"/>
  <c r="O486" i="2"/>
  <c r="O487" i="2"/>
  <c r="O488" i="2"/>
  <c r="O500" i="2"/>
  <c r="O501" i="2"/>
  <c r="O503" i="2"/>
  <c r="O529" i="2"/>
  <c r="O531" i="2"/>
  <c r="O532" i="2"/>
  <c r="O535" i="2"/>
  <c r="O560" i="2"/>
  <c r="O613" i="2"/>
  <c r="O614" i="2"/>
  <c r="O616" i="2"/>
  <c r="O617" i="2"/>
  <c r="O620" i="2"/>
  <c r="O625" i="2"/>
  <c r="O640" i="2"/>
  <c r="O641" i="2"/>
  <c r="O648" i="2"/>
  <c r="O701" i="2"/>
  <c r="O713" i="2"/>
  <c r="O716" i="2"/>
  <c r="O738" i="2"/>
  <c r="O740" i="2"/>
  <c r="O741" i="2"/>
  <c r="O760" i="2"/>
  <c r="O762" i="2"/>
  <c r="O763" i="2"/>
  <c r="O774" i="2"/>
  <c r="O783" i="2"/>
  <c r="O800" i="2"/>
  <c r="O807" i="2"/>
  <c r="O825" i="2"/>
  <c r="O854" i="2"/>
  <c r="O867" i="2"/>
  <c r="O868" i="2"/>
  <c r="O871" i="2"/>
  <c r="O873" i="2"/>
  <c r="O874" i="2"/>
  <c r="O875" i="2"/>
  <c r="O905" i="2"/>
  <c r="O911" i="2"/>
  <c r="O912" i="2"/>
  <c r="O913" i="2"/>
  <c r="O916" i="2"/>
  <c r="O928" i="2"/>
  <c r="O949" i="2"/>
  <c r="O950" i="2"/>
  <c r="O952" i="2"/>
  <c r="O953" i="2"/>
  <c r="O959" i="2"/>
  <c r="O962" i="2"/>
  <c r="O979" i="2"/>
  <c r="O986" i="2"/>
  <c r="O996" i="2"/>
  <c r="O997" i="2"/>
  <c r="O998" i="2"/>
  <c r="O999" i="2"/>
  <c r="O1060" i="2"/>
  <c r="O1091" i="2"/>
  <c r="O1101" i="2"/>
  <c r="O1111" i="2"/>
  <c r="O1131" i="2"/>
  <c r="O1132" i="2"/>
  <c r="O1133" i="2"/>
  <c r="O1134" i="2"/>
  <c r="O1135" i="2"/>
  <c r="O1146" i="2"/>
  <c r="O1148" i="2"/>
  <c r="O1151" i="2"/>
  <c r="O1153" i="2"/>
  <c r="O1159" i="2"/>
  <c r="O1168" i="2"/>
  <c r="O1175" i="2"/>
  <c r="O1177" i="2"/>
  <c r="O1191" i="2"/>
  <c r="O1195" i="2"/>
  <c r="O1207" i="2"/>
  <c r="O1236" i="2"/>
  <c r="O1239" i="2"/>
  <c r="O1240" i="2"/>
  <c r="O1241" i="2"/>
  <c r="O1242" i="2"/>
  <c r="O1243" i="2"/>
  <c r="O1244" i="2"/>
  <c r="O1245" i="2"/>
  <c r="O1246" i="2"/>
  <c r="O1247" i="2"/>
  <c r="O1248" i="2"/>
  <c r="O1249" i="2"/>
  <c r="O1250" i="2"/>
  <c r="O1251" i="2"/>
  <c r="O1252" i="2"/>
  <c r="O1253" i="2"/>
  <c r="O1254" i="2"/>
  <c r="O1255" i="2"/>
  <c r="O1256" i="2"/>
  <c r="O1257" i="2"/>
  <c r="O1258" i="2"/>
  <c r="O1259" i="2"/>
  <c r="O1260" i="2"/>
  <c r="O1261" i="2"/>
  <c r="O1262" i="2"/>
  <c r="O1263" i="2"/>
  <c r="O1264" i="2"/>
  <c r="O1265" i="2"/>
  <c r="O1266" i="2"/>
  <c r="O1267" i="2"/>
  <c r="O1268" i="2"/>
  <c r="O1269" i="2"/>
  <c r="O1270" i="2"/>
  <c r="O1271" i="2"/>
  <c r="O1272" i="2"/>
  <c r="O1273" i="2"/>
  <c r="O1274" i="2"/>
  <c r="O1275" i="2"/>
  <c r="O1276" i="2"/>
  <c r="O1277" i="2"/>
  <c r="O1278" i="2"/>
  <c r="O1279" i="2"/>
  <c r="O1280" i="2"/>
  <c r="O1281" i="2"/>
  <c r="O1282" i="2"/>
  <c r="O1283" i="2"/>
  <c r="D24" i="39" l="1"/>
  <c r="I24" i="39" s="1"/>
  <c r="D23" i="39"/>
  <c r="I23" i="39" s="1"/>
  <c r="K1279" i="2"/>
  <c r="M1279" i="2"/>
  <c r="N1279" i="2"/>
  <c r="S1279" i="2"/>
  <c r="K1280" i="2"/>
  <c r="M1280" i="2"/>
  <c r="N1280" i="2"/>
  <c r="S1280" i="2"/>
  <c r="K1281" i="2"/>
  <c r="M1281" i="2"/>
  <c r="N1281" i="2"/>
  <c r="S1281" i="2"/>
  <c r="K1282" i="2"/>
  <c r="M1282" i="2"/>
  <c r="N1282" i="2"/>
  <c r="S1282" i="2"/>
  <c r="K1283" i="2"/>
  <c r="M1283" i="2"/>
  <c r="N1283" i="2"/>
  <c r="S1283" i="2"/>
  <c r="D19" i="39"/>
  <c r="I19" i="39"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F24" i="39" l="1"/>
  <c r="F23" i="39"/>
  <c r="K571" i="2"/>
  <c r="M575" i="2"/>
  <c r="M576" i="2"/>
  <c r="M577" i="2"/>
  <c r="M578" i="2"/>
  <c r="M579" i="2"/>
  <c r="K572" i="2"/>
  <c r="K573" i="2"/>
  <c r="K574" i="2"/>
  <c r="K575" i="2"/>
  <c r="K576" i="2"/>
  <c r="K577" i="2"/>
  <c r="K578" i="2"/>
  <c r="K579" i="2"/>
  <c r="K23" i="39" l="1"/>
  <c r="K24" i="39"/>
  <c r="K10" i="2" l="1"/>
  <c r="B8" i="42"/>
  <c r="B6" i="42"/>
  <c r="B7" i="42"/>
  <c r="B5" i="42"/>
  <c r="D104" i="42"/>
  <c r="E102" i="42"/>
  <c r="F102" i="42" s="1"/>
  <c r="H102" i="42" s="1"/>
  <c r="E101" i="42"/>
  <c r="F101" i="42" s="1"/>
  <c r="H101" i="42" s="1"/>
  <c r="E100" i="42"/>
  <c r="F100" i="42" s="1"/>
  <c r="H100" i="42" s="1"/>
  <c r="E99" i="42"/>
  <c r="F99" i="42" s="1"/>
  <c r="H99" i="42" s="1"/>
  <c r="E98" i="42"/>
  <c r="F98" i="42" s="1"/>
  <c r="H98" i="42" s="1"/>
  <c r="E97" i="42"/>
  <c r="F97" i="42" s="1"/>
  <c r="H97" i="42" s="1"/>
  <c r="E96" i="42"/>
  <c r="F96" i="42" s="1"/>
  <c r="H96" i="42" s="1"/>
  <c r="E95" i="42"/>
  <c r="F95" i="42" s="1"/>
  <c r="H95" i="42" s="1"/>
  <c r="E94" i="42"/>
  <c r="F94" i="42" s="1"/>
  <c r="H94" i="42" s="1"/>
  <c r="E93" i="42"/>
  <c r="F93" i="42" s="1"/>
  <c r="H93" i="42" s="1"/>
  <c r="E92" i="42"/>
  <c r="F92" i="42" s="1"/>
  <c r="H92" i="42" s="1"/>
  <c r="E91" i="42"/>
  <c r="F91" i="42" s="1"/>
  <c r="H91" i="42" s="1"/>
  <c r="E90" i="42"/>
  <c r="F90" i="42" s="1"/>
  <c r="H90" i="42" s="1"/>
  <c r="E89" i="42"/>
  <c r="F89" i="42" s="1"/>
  <c r="H89" i="42" s="1"/>
  <c r="E88" i="42"/>
  <c r="F88" i="42" s="1"/>
  <c r="H88" i="42" s="1"/>
  <c r="E87" i="42"/>
  <c r="F87" i="42" s="1"/>
  <c r="H87" i="42" s="1"/>
  <c r="E86" i="42"/>
  <c r="F86" i="42" s="1"/>
  <c r="H86" i="42" s="1"/>
  <c r="E85" i="42"/>
  <c r="F85" i="42" s="1"/>
  <c r="H85" i="42" s="1"/>
  <c r="E84" i="42"/>
  <c r="F84" i="42" s="1"/>
  <c r="H84" i="42" s="1"/>
  <c r="E83" i="42"/>
  <c r="F83" i="42" s="1"/>
  <c r="H83" i="42" s="1"/>
  <c r="E82" i="42"/>
  <c r="F82" i="42" s="1"/>
  <c r="H82" i="42" s="1"/>
  <c r="E81" i="42"/>
  <c r="F81" i="42" s="1"/>
  <c r="H81" i="42" s="1"/>
  <c r="E80" i="42"/>
  <c r="F80" i="42" s="1"/>
  <c r="H80" i="42" s="1"/>
  <c r="E79" i="42"/>
  <c r="F79" i="42" s="1"/>
  <c r="H79" i="42" s="1"/>
  <c r="E78" i="42"/>
  <c r="F78" i="42" s="1"/>
  <c r="H78" i="42" s="1"/>
  <c r="E77" i="42"/>
  <c r="F77" i="42" s="1"/>
  <c r="H77" i="42" s="1"/>
  <c r="E76" i="42"/>
  <c r="F76" i="42" s="1"/>
  <c r="H76" i="42" s="1"/>
  <c r="E75" i="42"/>
  <c r="F75" i="42" s="1"/>
  <c r="H75" i="42" s="1"/>
  <c r="E74" i="42"/>
  <c r="F74" i="42" s="1"/>
  <c r="H74" i="42" s="1"/>
  <c r="E73" i="42"/>
  <c r="F73" i="42" s="1"/>
  <c r="H73" i="42" s="1"/>
  <c r="E72" i="42"/>
  <c r="F72" i="42" s="1"/>
  <c r="H72" i="42" s="1"/>
  <c r="E71" i="42"/>
  <c r="F71" i="42" s="1"/>
  <c r="H71" i="42" s="1"/>
  <c r="E70" i="42"/>
  <c r="F70" i="42" s="1"/>
  <c r="H70" i="42" s="1"/>
  <c r="E69" i="42"/>
  <c r="F69" i="42" s="1"/>
  <c r="H69" i="42" s="1"/>
  <c r="E68" i="42"/>
  <c r="F68" i="42" s="1"/>
  <c r="H68" i="42" s="1"/>
  <c r="E67" i="42"/>
  <c r="F67" i="42" s="1"/>
  <c r="H67" i="42" s="1"/>
  <c r="E66" i="42"/>
  <c r="F66" i="42" s="1"/>
  <c r="H66" i="42" s="1"/>
  <c r="E65" i="42"/>
  <c r="F65" i="42" s="1"/>
  <c r="H65" i="42" s="1"/>
  <c r="E64" i="42"/>
  <c r="F64" i="42" s="1"/>
  <c r="H64" i="42" s="1"/>
  <c r="E63" i="42"/>
  <c r="F63" i="42" s="1"/>
  <c r="H63" i="42" s="1"/>
  <c r="E62" i="42"/>
  <c r="F62" i="42" s="1"/>
  <c r="H62" i="42" s="1"/>
  <c r="E61" i="42"/>
  <c r="F61" i="42" s="1"/>
  <c r="H61" i="42" s="1"/>
  <c r="E60" i="42"/>
  <c r="F60" i="42" s="1"/>
  <c r="H60" i="42" s="1"/>
  <c r="E59" i="42"/>
  <c r="F59" i="42" s="1"/>
  <c r="H59" i="42" s="1"/>
  <c r="E58" i="42"/>
  <c r="F58" i="42" s="1"/>
  <c r="H58" i="42" s="1"/>
  <c r="E57" i="42"/>
  <c r="F57" i="42" s="1"/>
  <c r="H57" i="42" s="1"/>
  <c r="E56" i="42"/>
  <c r="F56" i="42" s="1"/>
  <c r="H56" i="42" s="1"/>
  <c r="E55" i="42"/>
  <c r="F55" i="42" s="1"/>
  <c r="H55" i="42" s="1"/>
  <c r="E54" i="42"/>
  <c r="F54" i="42" s="1"/>
  <c r="H54" i="42" s="1"/>
  <c r="E53" i="42"/>
  <c r="F53" i="42" s="1"/>
  <c r="H53" i="42" s="1"/>
  <c r="E52" i="42"/>
  <c r="F52" i="42" s="1"/>
  <c r="H52" i="42" s="1"/>
  <c r="E51" i="42"/>
  <c r="F51" i="42" s="1"/>
  <c r="H51" i="42" s="1"/>
  <c r="E50" i="42"/>
  <c r="F50" i="42" s="1"/>
  <c r="H50" i="42" s="1"/>
  <c r="E49" i="42"/>
  <c r="F49" i="42" s="1"/>
  <c r="H49" i="42" s="1"/>
  <c r="E48" i="42"/>
  <c r="F48" i="42" s="1"/>
  <c r="H48" i="42" s="1"/>
  <c r="E47" i="42"/>
  <c r="F47" i="42" s="1"/>
  <c r="H47" i="42" s="1"/>
  <c r="E46" i="42"/>
  <c r="F46" i="42" s="1"/>
  <c r="H46" i="42" s="1"/>
  <c r="E45" i="42"/>
  <c r="F45" i="42" s="1"/>
  <c r="H45" i="42" s="1"/>
  <c r="E44" i="42"/>
  <c r="F44" i="42" s="1"/>
  <c r="H44" i="42" s="1"/>
  <c r="E43" i="42"/>
  <c r="F43" i="42" s="1"/>
  <c r="H43" i="42" s="1"/>
  <c r="E30" i="42"/>
  <c r="F30" i="42" s="1"/>
  <c r="H30" i="42" s="1"/>
  <c r="E29" i="42"/>
  <c r="F29" i="42" s="1"/>
  <c r="H29" i="42" s="1"/>
  <c r="E28" i="42"/>
  <c r="F28" i="42" s="1"/>
  <c r="H28" i="42" s="1"/>
  <c r="E27" i="42"/>
  <c r="F27" i="42" s="1"/>
  <c r="H27" i="42" s="1"/>
  <c r="E26" i="42"/>
  <c r="F26" i="42" s="1"/>
  <c r="H26" i="42" s="1"/>
  <c r="E25" i="42"/>
  <c r="F25" i="42" s="1"/>
  <c r="H25" i="42" s="1"/>
  <c r="E24" i="42"/>
  <c r="F24" i="42" s="1"/>
  <c r="H24" i="42" s="1"/>
  <c r="E23" i="42"/>
  <c r="F23" i="42" s="1"/>
  <c r="H23" i="42" s="1"/>
  <c r="E22" i="42"/>
  <c r="F22" i="42" s="1"/>
  <c r="H22" i="42" s="1"/>
  <c r="E21" i="42"/>
  <c r="F21" i="42" s="1"/>
  <c r="H21" i="42" s="1"/>
  <c r="E20" i="42"/>
  <c r="F20" i="42" s="1"/>
  <c r="H20" i="42" s="1"/>
  <c r="E19" i="42"/>
  <c r="F19" i="42" s="1"/>
  <c r="H19" i="42" s="1"/>
  <c r="E18" i="42"/>
  <c r="F18" i="42" s="1"/>
  <c r="H18" i="42" s="1"/>
  <c r="E17" i="42"/>
  <c r="F17" i="42" s="1"/>
  <c r="H17" i="42" s="1"/>
  <c r="E16" i="42"/>
  <c r="F16" i="42" s="1"/>
  <c r="H16" i="42" s="1"/>
  <c r="E15" i="42"/>
  <c r="F15" i="42" s="1"/>
  <c r="H15" i="42" s="1"/>
  <c r="E14" i="42"/>
  <c r="F14" i="42" s="1"/>
  <c r="H14" i="42" s="1"/>
  <c r="E13" i="42"/>
  <c r="F13" i="42" s="1"/>
  <c r="H13" i="42" s="1"/>
  <c r="E12" i="42"/>
  <c r="F12" i="42" s="1"/>
  <c r="H12" i="42" s="1"/>
  <c r="E11" i="42"/>
  <c r="F11" i="42" s="1"/>
  <c r="H11" i="42" s="1"/>
  <c r="E42" i="42"/>
  <c r="F42" i="42" s="1"/>
  <c r="H42" i="42" s="1"/>
  <c r="E41" i="42"/>
  <c r="F41" i="42" s="1"/>
  <c r="H41" i="42" s="1"/>
  <c r="E40" i="42"/>
  <c r="F40" i="42" s="1"/>
  <c r="H40" i="42" s="1"/>
  <c r="E39" i="42"/>
  <c r="F39" i="42" s="1"/>
  <c r="H39" i="42" s="1"/>
  <c r="E38" i="42"/>
  <c r="F38" i="42" s="1"/>
  <c r="H38" i="42" s="1"/>
  <c r="E37" i="42"/>
  <c r="F37" i="42" s="1"/>
  <c r="H37" i="42" s="1"/>
  <c r="E36" i="42"/>
  <c r="F36" i="42" s="1"/>
  <c r="H36" i="42" s="1"/>
  <c r="E35" i="42"/>
  <c r="F35" i="42" s="1"/>
  <c r="H35" i="42" s="1"/>
  <c r="E34" i="42"/>
  <c r="F34" i="42" s="1"/>
  <c r="H34" i="42" s="1"/>
  <c r="E33" i="42"/>
  <c r="F33" i="42" s="1"/>
  <c r="H33" i="42" s="1"/>
  <c r="E32" i="42"/>
  <c r="F32" i="42" s="1"/>
  <c r="H32" i="42" s="1"/>
  <c r="E31" i="42"/>
  <c r="F31" i="42" s="1"/>
  <c r="H31" i="42" s="1"/>
  <c r="A8" i="42"/>
  <c r="A7" i="42"/>
  <c r="A6" i="42"/>
  <c r="A5" i="42"/>
  <c r="B4" i="42"/>
  <c r="A4" i="42"/>
  <c r="B3" i="42"/>
  <c r="A3" i="42"/>
  <c r="L27" i="37" l="1"/>
  <c r="L28" i="37"/>
  <c r="L32" i="37"/>
  <c r="L33" i="37"/>
  <c r="L26" i="37"/>
  <c r="L35" i="37"/>
  <c r="L22" i="37"/>
  <c r="L23" i="37"/>
  <c r="L30" i="37"/>
  <c r="L31" i="37"/>
  <c r="L18" i="37"/>
  <c r="L20" i="37"/>
  <c r="L14" i="37"/>
  <c r="L21" i="37"/>
  <c r="L34" i="37"/>
  <c r="L25" i="37"/>
  <c r="L15" i="37"/>
  <c r="L17" i="37"/>
  <c r="L29" i="37"/>
  <c r="L16" i="37"/>
  <c r="L24" i="37"/>
  <c r="L19" i="37"/>
  <c r="H104" i="42"/>
  <c r="S1242" i="2" l="1"/>
  <c r="S1243" i="2"/>
  <c r="S1244" i="2"/>
  <c r="S1245" i="2"/>
  <c r="S1246" i="2"/>
  <c r="S1247" i="2"/>
  <c r="S1248" i="2"/>
  <c r="S1249" i="2"/>
  <c r="S1250" i="2"/>
  <c r="S1251" i="2"/>
  <c r="S1273" i="2"/>
  <c r="S1274" i="2"/>
  <c r="S1276" i="2"/>
  <c r="S1277" i="2"/>
  <c r="S1278"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1221" i="2"/>
  <c r="M1222" i="2"/>
  <c r="M1223" i="2"/>
  <c r="M1224" i="2"/>
  <c r="M1225" i="2"/>
  <c r="M1226" i="2"/>
  <c r="M1227" i="2"/>
  <c r="M1228" i="2"/>
  <c r="M1229" i="2"/>
  <c r="M1230" i="2"/>
  <c r="M1231" i="2"/>
  <c r="M1232" i="2"/>
  <c r="M1233" i="2"/>
  <c r="M1234" i="2"/>
  <c r="M1235" i="2"/>
  <c r="M1236" i="2"/>
  <c r="M1237" i="2"/>
  <c r="M1238" i="2"/>
  <c r="M1239" i="2"/>
  <c r="M1240" i="2"/>
  <c r="M1241" i="2"/>
  <c r="M1242" i="2"/>
  <c r="M1243" i="2"/>
  <c r="M1244" i="2"/>
  <c r="M1245" i="2"/>
  <c r="M1246" i="2"/>
  <c r="M1247" i="2"/>
  <c r="M1248" i="2"/>
  <c r="M1249" i="2"/>
  <c r="M1250" i="2"/>
  <c r="M1251" i="2"/>
  <c r="M1252" i="2"/>
  <c r="M1253" i="2"/>
  <c r="M1254" i="2"/>
  <c r="M1255" i="2"/>
  <c r="M1256" i="2"/>
  <c r="M1257" i="2"/>
  <c r="M1258" i="2"/>
  <c r="M1259" i="2"/>
  <c r="M1260" i="2"/>
  <c r="M1261" i="2"/>
  <c r="M1262" i="2"/>
  <c r="M1263" i="2"/>
  <c r="M1264" i="2"/>
  <c r="M1265" i="2"/>
  <c r="M1266" i="2"/>
  <c r="M1267" i="2"/>
  <c r="M1268" i="2"/>
  <c r="M1269" i="2"/>
  <c r="M1270" i="2"/>
  <c r="M1271" i="2"/>
  <c r="M1272" i="2"/>
  <c r="M1273" i="2"/>
  <c r="M1274" i="2"/>
  <c r="M1275" i="2"/>
  <c r="M1276" i="2"/>
  <c r="M1277" i="2"/>
  <c r="M1278" i="2"/>
  <c r="M15" i="2"/>
  <c r="M14" i="2"/>
  <c r="M13" i="2"/>
  <c r="M12" i="2"/>
  <c r="M11" i="2"/>
  <c r="M10" i="2"/>
  <c r="K11" i="2"/>
  <c r="S11" i="2" s="1"/>
  <c r="K12" i="2"/>
  <c r="S12" i="2" s="1"/>
  <c r="K13" i="2"/>
  <c r="S13" i="2" s="1"/>
  <c r="K14" i="2"/>
  <c r="S14" i="2" s="1"/>
  <c r="K15" i="2"/>
  <c r="S15" i="2" s="1"/>
  <c r="K16" i="2"/>
  <c r="S16" i="2" s="1"/>
  <c r="K17" i="2"/>
  <c r="S17" i="2" s="1"/>
  <c r="K18" i="2"/>
  <c r="S18" i="2" s="1"/>
  <c r="K19" i="2"/>
  <c r="S19" i="2" s="1"/>
  <c r="K20" i="2"/>
  <c r="S20" i="2" s="1"/>
  <c r="K21" i="2"/>
  <c r="S21" i="2" s="1"/>
  <c r="K22" i="2"/>
  <c r="S22" i="2" s="1"/>
  <c r="K23" i="2"/>
  <c r="S23" i="2" s="1"/>
  <c r="K24" i="2"/>
  <c r="S24" i="2" s="1"/>
  <c r="K25" i="2"/>
  <c r="S25" i="2" s="1"/>
  <c r="K26" i="2"/>
  <c r="S26" i="2" s="1"/>
  <c r="K27" i="2"/>
  <c r="S27" i="2" s="1"/>
  <c r="K28" i="2"/>
  <c r="S28" i="2" s="1"/>
  <c r="K29" i="2"/>
  <c r="S29" i="2" s="1"/>
  <c r="K30" i="2"/>
  <c r="S30" i="2" s="1"/>
  <c r="K31" i="2"/>
  <c r="S31" i="2" s="1"/>
  <c r="K32" i="2"/>
  <c r="S32" i="2" s="1"/>
  <c r="K33" i="2"/>
  <c r="S33" i="2" s="1"/>
  <c r="K34" i="2"/>
  <c r="S34" i="2" s="1"/>
  <c r="K35" i="2"/>
  <c r="S35" i="2" s="1"/>
  <c r="K36" i="2"/>
  <c r="S36" i="2" s="1"/>
  <c r="K37" i="2"/>
  <c r="S37" i="2" s="1"/>
  <c r="K38" i="2"/>
  <c r="S38" i="2" s="1"/>
  <c r="K39" i="2"/>
  <c r="S39" i="2" s="1"/>
  <c r="K40" i="2"/>
  <c r="S40" i="2" s="1"/>
  <c r="K41" i="2"/>
  <c r="S41" i="2" s="1"/>
  <c r="K42" i="2"/>
  <c r="S42" i="2" s="1"/>
  <c r="K43" i="2"/>
  <c r="S43" i="2" s="1"/>
  <c r="K44" i="2"/>
  <c r="S44" i="2" s="1"/>
  <c r="K45" i="2"/>
  <c r="S45" i="2" s="1"/>
  <c r="K46" i="2"/>
  <c r="S46" i="2" s="1"/>
  <c r="K47" i="2"/>
  <c r="S47" i="2" s="1"/>
  <c r="K48" i="2"/>
  <c r="S48" i="2" s="1"/>
  <c r="K49" i="2"/>
  <c r="S49" i="2" s="1"/>
  <c r="K50" i="2"/>
  <c r="S50" i="2" s="1"/>
  <c r="K51" i="2"/>
  <c r="S51" i="2" s="1"/>
  <c r="K52" i="2"/>
  <c r="S52" i="2" s="1"/>
  <c r="K53" i="2"/>
  <c r="S53" i="2" s="1"/>
  <c r="K54" i="2"/>
  <c r="S54" i="2" s="1"/>
  <c r="K55" i="2"/>
  <c r="S55" i="2" s="1"/>
  <c r="K56" i="2"/>
  <c r="S56" i="2" s="1"/>
  <c r="K57" i="2"/>
  <c r="S57" i="2" s="1"/>
  <c r="K58" i="2"/>
  <c r="S58" i="2" s="1"/>
  <c r="K59" i="2"/>
  <c r="S59" i="2" s="1"/>
  <c r="K60" i="2"/>
  <c r="S60" i="2" s="1"/>
  <c r="K61" i="2"/>
  <c r="S61" i="2" s="1"/>
  <c r="K62" i="2"/>
  <c r="S62" i="2" s="1"/>
  <c r="K63" i="2"/>
  <c r="S63" i="2" s="1"/>
  <c r="K64" i="2"/>
  <c r="S64" i="2" s="1"/>
  <c r="K65" i="2"/>
  <c r="S65" i="2" s="1"/>
  <c r="K66" i="2"/>
  <c r="S66" i="2" s="1"/>
  <c r="K67" i="2"/>
  <c r="S67" i="2" s="1"/>
  <c r="K68" i="2"/>
  <c r="S68" i="2" s="1"/>
  <c r="K69" i="2"/>
  <c r="S69" i="2" s="1"/>
  <c r="K70" i="2"/>
  <c r="S70" i="2" s="1"/>
  <c r="K71" i="2"/>
  <c r="S71" i="2" s="1"/>
  <c r="K72" i="2"/>
  <c r="S72" i="2" s="1"/>
  <c r="K73" i="2"/>
  <c r="S73" i="2" s="1"/>
  <c r="K74" i="2"/>
  <c r="S74" i="2" s="1"/>
  <c r="K75" i="2"/>
  <c r="S75" i="2" s="1"/>
  <c r="K76" i="2"/>
  <c r="S76" i="2" s="1"/>
  <c r="K77" i="2"/>
  <c r="S77" i="2" s="1"/>
  <c r="K78" i="2"/>
  <c r="S78" i="2" s="1"/>
  <c r="K79" i="2"/>
  <c r="S79" i="2" s="1"/>
  <c r="K80" i="2"/>
  <c r="S80" i="2" s="1"/>
  <c r="K81" i="2"/>
  <c r="S81" i="2" s="1"/>
  <c r="K82" i="2"/>
  <c r="S82" i="2" s="1"/>
  <c r="K83" i="2"/>
  <c r="S83" i="2" s="1"/>
  <c r="K84" i="2"/>
  <c r="S84" i="2" s="1"/>
  <c r="K85" i="2"/>
  <c r="S85" i="2" s="1"/>
  <c r="K86" i="2"/>
  <c r="S86" i="2" s="1"/>
  <c r="K87" i="2"/>
  <c r="S87" i="2" s="1"/>
  <c r="K88" i="2"/>
  <c r="S88" i="2" s="1"/>
  <c r="K89" i="2"/>
  <c r="S89" i="2" s="1"/>
  <c r="K90" i="2"/>
  <c r="S90" i="2" s="1"/>
  <c r="K91" i="2"/>
  <c r="S91" i="2" s="1"/>
  <c r="K92" i="2"/>
  <c r="S92" i="2" s="1"/>
  <c r="K93" i="2"/>
  <c r="S93" i="2" s="1"/>
  <c r="K94" i="2"/>
  <c r="S94" i="2" s="1"/>
  <c r="K95" i="2"/>
  <c r="S95" i="2" s="1"/>
  <c r="K96" i="2"/>
  <c r="S96" i="2" s="1"/>
  <c r="K97" i="2"/>
  <c r="S97" i="2" s="1"/>
  <c r="K98" i="2"/>
  <c r="S98" i="2" s="1"/>
  <c r="K99" i="2"/>
  <c r="S99" i="2" s="1"/>
  <c r="K100" i="2"/>
  <c r="S100" i="2" s="1"/>
  <c r="K101" i="2"/>
  <c r="S101" i="2" s="1"/>
  <c r="K102" i="2"/>
  <c r="S102" i="2" s="1"/>
  <c r="K103" i="2"/>
  <c r="S103" i="2" s="1"/>
  <c r="K104" i="2"/>
  <c r="S104" i="2" s="1"/>
  <c r="K105" i="2"/>
  <c r="S105" i="2" s="1"/>
  <c r="K106" i="2"/>
  <c r="S106" i="2" s="1"/>
  <c r="K107" i="2"/>
  <c r="S107" i="2" s="1"/>
  <c r="K108" i="2"/>
  <c r="S108" i="2" s="1"/>
  <c r="K109" i="2"/>
  <c r="S109" i="2" s="1"/>
  <c r="K110" i="2"/>
  <c r="S110" i="2" s="1"/>
  <c r="K111" i="2"/>
  <c r="S111" i="2" s="1"/>
  <c r="K112" i="2"/>
  <c r="S112" i="2" s="1"/>
  <c r="K113" i="2"/>
  <c r="S113" i="2" s="1"/>
  <c r="K114" i="2"/>
  <c r="S114" i="2" s="1"/>
  <c r="K115" i="2"/>
  <c r="S115" i="2" s="1"/>
  <c r="K116" i="2"/>
  <c r="S116" i="2" s="1"/>
  <c r="K117" i="2"/>
  <c r="S117" i="2" s="1"/>
  <c r="K118" i="2"/>
  <c r="S118" i="2" s="1"/>
  <c r="K119" i="2"/>
  <c r="S119" i="2" s="1"/>
  <c r="K120" i="2"/>
  <c r="S120" i="2" s="1"/>
  <c r="K121" i="2"/>
  <c r="S121" i="2" s="1"/>
  <c r="K122" i="2"/>
  <c r="S122" i="2" s="1"/>
  <c r="K123" i="2"/>
  <c r="S123" i="2" s="1"/>
  <c r="K124" i="2"/>
  <c r="S124" i="2" s="1"/>
  <c r="K125" i="2"/>
  <c r="S125" i="2" s="1"/>
  <c r="K126" i="2"/>
  <c r="S126" i="2" s="1"/>
  <c r="K127" i="2"/>
  <c r="S127" i="2" s="1"/>
  <c r="K128" i="2"/>
  <c r="S128" i="2" s="1"/>
  <c r="K129" i="2"/>
  <c r="S129" i="2" s="1"/>
  <c r="K130" i="2"/>
  <c r="S130" i="2" s="1"/>
  <c r="K131" i="2"/>
  <c r="S131" i="2" s="1"/>
  <c r="K132" i="2"/>
  <c r="S132" i="2" s="1"/>
  <c r="K133" i="2"/>
  <c r="S133" i="2" s="1"/>
  <c r="K134" i="2"/>
  <c r="S134" i="2" s="1"/>
  <c r="K135" i="2"/>
  <c r="S135" i="2" s="1"/>
  <c r="K136" i="2"/>
  <c r="S136" i="2" s="1"/>
  <c r="K137" i="2"/>
  <c r="S137" i="2" s="1"/>
  <c r="K138" i="2"/>
  <c r="S138" i="2" s="1"/>
  <c r="K139" i="2"/>
  <c r="S139" i="2" s="1"/>
  <c r="K140" i="2"/>
  <c r="S140" i="2" s="1"/>
  <c r="K141" i="2"/>
  <c r="S141" i="2" s="1"/>
  <c r="K142" i="2"/>
  <c r="S142" i="2" s="1"/>
  <c r="K143" i="2"/>
  <c r="S143" i="2" s="1"/>
  <c r="K144" i="2"/>
  <c r="S144" i="2" s="1"/>
  <c r="K145" i="2"/>
  <c r="S145" i="2" s="1"/>
  <c r="K146" i="2"/>
  <c r="S146" i="2" s="1"/>
  <c r="K147" i="2"/>
  <c r="S147" i="2" s="1"/>
  <c r="K148" i="2"/>
  <c r="S148" i="2" s="1"/>
  <c r="K149" i="2"/>
  <c r="S149" i="2" s="1"/>
  <c r="K150" i="2"/>
  <c r="S150" i="2" s="1"/>
  <c r="K151" i="2"/>
  <c r="S151" i="2" s="1"/>
  <c r="K152" i="2"/>
  <c r="S152" i="2" s="1"/>
  <c r="K153" i="2"/>
  <c r="S153" i="2" s="1"/>
  <c r="K154" i="2"/>
  <c r="S154" i="2" s="1"/>
  <c r="K155" i="2"/>
  <c r="S155" i="2" s="1"/>
  <c r="K156" i="2"/>
  <c r="S156" i="2" s="1"/>
  <c r="K157" i="2"/>
  <c r="S157" i="2" s="1"/>
  <c r="K158" i="2"/>
  <c r="S158" i="2" s="1"/>
  <c r="K159" i="2"/>
  <c r="S159" i="2" s="1"/>
  <c r="K160" i="2"/>
  <c r="S160" i="2" s="1"/>
  <c r="K161" i="2"/>
  <c r="S161" i="2" s="1"/>
  <c r="K162" i="2"/>
  <c r="S162" i="2" s="1"/>
  <c r="K163" i="2"/>
  <c r="S163" i="2" s="1"/>
  <c r="K164" i="2"/>
  <c r="S164" i="2" s="1"/>
  <c r="K165" i="2"/>
  <c r="S165" i="2" s="1"/>
  <c r="K166" i="2"/>
  <c r="S166" i="2" s="1"/>
  <c r="K167" i="2"/>
  <c r="S167" i="2" s="1"/>
  <c r="K168" i="2"/>
  <c r="S168" i="2" s="1"/>
  <c r="K169" i="2"/>
  <c r="S169" i="2" s="1"/>
  <c r="K170" i="2"/>
  <c r="S170" i="2" s="1"/>
  <c r="K171" i="2"/>
  <c r="S171" i="2" s="1"/>
  <c r="K172" i="2"/>
  <c r="S172" i="2" s="1"/>
  <c r="K173" i="2"/>
  <c r="S173" i="2" s="1"/>
  <c r="K174" i="2"/>
  <c r="S174" i="2" s="1"/>
  <c r="K175" i="2"/>
  <c r="S175" i="2" s="1"/>
  <c r="K176" i="2"/>
  <c r="S176" i="2" s="1"/>
  <c r="K177" i="2"/>
  <c r="S177" i="2" s="1"/>
  <c r="K178" i="2"/>
  <c r="S178" i="2" s="1"/>
  <c r="K179" i="2"/>
  <c r="S179" i="2" s="1"/>
  <c r="K180" i="2"/>
  <c r="S180" i="2" s="1"/>
  <c r="K181" i="2"/>
  <c r="S181" i="2" s="1"/>
  <c r="K182" i="2"/>
  <c r="S182" i="2" s="1"/>
  <c r="K183" i="2"/>
  <c r="S183" i="2" s="1"/>
  <c r="K184" i="2"/>
  <c r="S184" i="2" s="1"/>
  <c r="K185" i="2"/>
  <c r="S185" i="2" s="1"/>
  <c r="K186" i="2"/>
  <c r="S186" i="2" s="1"/>
  <c r="K187" i="2"/>
  <c r="S187" i="2" s="1"/>
  <c r="K188" i="2"/>
  <c r="S188" i="2" s="1"/>
  <c r="K189" i="2"/>
  <c r="S189" i="2" s="1"/>
  <c r="K190" i="2"/>
  <c r="S190" i="2" s="1"/>
  <c r="K191" i="2"/>
  <c r="S191" i="2" s="1"/>
  <c r="K192" i="2"/>
  <c r="S192" i="2" s="1"/>
  <c r="K193" i="2"/>
  <c r="S193" i="2" s="1"/>
  <c r="K194" i="2"/>
  <c r="S194" i="2" s="1"/>
  <c r="K195" i="2"/>
  <c r="S195" i="2" s="1"/>
  <c r="K196" i="2"/>
  <c r="S196" i="2" s="1"/>
  <c r="K197" i="2"/>
  <c r="S197" i="2" s="1"/>
  <c r="K198" i="2"/>
  <c r="S198" i="2" s="1"/>
  <c r="K199" i="2"/>
  <c r="S199" i="2" s="1"/>
  <c r="K200" i="2"/>
  <c r="S200" i="2" s="1"/>
  <c r="K201" i="2"/>
  <c r="S201" i="2" s="1"/>
  <c r="K202" i="2"/>
  <c r="S202" i="2" s="1"/>
  <c r="K203" i="2"/>
  <c r="S203" i="2" s="1"/>
  <c r="K204" i="2"/>
  <c r="S204" i="2" s="1"/>
  <c r="K205" i="2"/>
  <c r="S205" i="2" s="1"/>
  <c r="K206" i="2"/>
  <c r="S206" i="2" s="1"/>
  <c r="K207" i="2"/>
  <c r="S207" i="2" s="1"/>
  <c r="K208" i="2"/>
  <c r="S208" i="2" s="1"/>
  <c r="K209" i="2"/>
  <c r="S209" i="2" s="1"/>
  <c r="K210" i="2"/>
  <c r="S210" i="2" s="1"/>
  <c r="K211" i="2"/>
  <c r="S211" i="2" s="1"/>
  <c r="K212" i="2"/>
  <c r="S212" i="2" s="1"/>
  <c r="K213" i="2"/>
  <c r="S213" i="2" s="1"/>
  <c r="K214" i="2"/>
  <c r="S214" i="2" s="1"/>
  <c r="K215" i="2"/>
  <c r="S215" i="2" s="1"/>
  <c r="K216" i="2"/>
  <c r="S216" i="2" s="1"/>
  <c r="K217" i="2"/>
  <c r="S217" i="2" s="1"/>
  <c r="K218" i="2"/>
  <c r="S218" i="2" s="1"/>
  <c r="K219" i="2"/>
  <c r="S219" i="2" s="1"/>
  <c r="K220" i="2"/>
  <c r="S220" i="2" s="1"/>
  <c r="K221" i="2"/>
  <c r="S221" i="2" s="1"/>
  <c r="K222" i="2"/>
  <c r="S222" i="2" s="1"/>
  <c r="K223" i="2"/>
  <c r="S223" i="2" s="1"/>
  <c r="K224" i="2"/>
  <c r="S224" i="2" s="1"/>
  <c r="K225" i="2"/>
  <c r="S225" i="2" s="1"/>
  <c r="K226" i="2"/>
  <c r="S226" i="2" s="1"/>
  <c r="K227" i="2"/>
  <c r="S227" i="2" s="1"/>
  <c r="K228" i="2"/>
  <c r="S228" i="2" s="1"/>
  <c r="K229" i="2"/>
  <c r="S229" i="2" s="1"/>
  <c r="K230" i="2"/>
  <c r="S230" i="2" s="1"/>
  <c r="K231" i="2"/>
  <c r="S231" i="2" s="1"/>
  <c r="K232" i="2"/>
  <c r="S232" i="2" s="1"/>
  <c r="K233" i="2"/>
  <c r="S233" i="2" s="1"/>
  <c r="K234" i="2"/>
  <c r="S234" i="2" s="1"/>
  <c r="K235" i="2"/>
  <c r="S235" i="2" s="1"/>
  <c r="K236" i="2"/>
  <c r="S236" i="2" s="1"/>
  <c r="K237" i="2"/>
  <c r="S237" i="2" s="1"/>
  <c r="K238" i="2"/>
  <c r="S238" i="2" s="1"/>
  <c r="K239" i="2"/>
  <c r="S239" i="2" s="1"/>
  <c r="K240" i="2"/>
  <c r="S240" i="2" s="1"/>
  <c r="K241" i="2"/>
  <c r="S241" i="2" s="1"/>
  <c r="K242" i="2"/>
  <c r="S242" i="2" s="1"/>
  <c r="K243" i="2"/>
  <c r="S243" i="2" s="1"/>
  <c r="K244" i="2"/>
  <c r="S244" i="2" s="1"/>
  <c r="K245" i="2"/>
  <c r="S245" i="2" s="1"/>
  <c r="K246" i="2"/>
  <c r="S246" i="2" s="1"/>
  <c r="K247" i="2"/>
  <c r="S247" i="2" s="1"/>
  <c r="K248" i="2"/>
  <c r="S248" i="2" s="1"/>
  <c r="K249" i="2"/>
  <c r="S249" i="2" s="1"/>
  <c r="K250" i="2"/>
  <c r="S250" i="2" s="1"/>
  <c r="K251" i="2"/>
  <c r="S251" i="2" s="1"/>
  <c r="K252" i="2"/>
  <c r="S252" i="2" s="1"/>
  <c r="K253" i="2"/>
  <c r="S253" i="2" s="1"/>
  <c r="K254" i="2"/>
  <c r="S254" i="2" s="1"/>
  <c r="K255" i="2"/>
  <c r="S255" i="2" s="1"/>
  <c r="K256" i="2"/>
  <c r="S256" i="2" s="1"/>
  <c r="K257" i="2"/>
  <c r="S257" i="2" s="1"/>
  <c r="K258" i="2"/>
  <c r="S258" i="2" s="1"/>
  <c r="K259" i="2"/>
  <c r="S259" i="2" s="1"/>
  <c r="K260" i="2"/>
  <c r="S260" i="2" s="1"/>
  <c r="K261" i="2"/>
  <c r="S261" i="2" s="1"/>
  <c r="K262" i="2"/>
  <c r="S262" i="2" s="1"/>
  <c r="K263" i="2"/>
  <c r="S263" i="2" s="1"/>
  <c r="K264" i="2"/>
  <c r="S264" i="2" s="1"/>
  <c r="K265" i="2"/>
  <c r="S265" i="2" s="1"/>
  <c r="K266" i="2"/>
  <c r="S266" i="2" s="1"/>
  <c r="K267" i="2"/>
  <c r="S267" i="2" s="1"/>
  <c r="K268" i="2"/>
  <c r="S268" i="2" s="1"/>
  <c r="K269" i="2"/>
  <c r="S269" i="2" s="1"/>
  <c r="K270" i="2"/>
  <c r="S270" i="2" s="1"/>
  <c r="K271" i="2"/>
  <c r="S271" i="2" s="1"/>
  <c r="K272" i="2"/>
  <c r="S272" i="2" s="1"/>
  <c r="K273" i="2"/>
  <c r="S273" i="2" s="1"/>
  <c r="K274" i="2"/>
  <c r="S274" i="2" s="1"/>
  <c r="K275" i="2"/>
  <c r="S275" i="2" s="1"/>
  <c r="K276" i="2"/>
  <c r="S276" i="2" s="1"/>
  <c r="K277" i="2"/>
  <c r="S277" i="2" s="1"/>
  <c r="K278" i="2"/>
  <c r="S278" i="2" s="1"/>
  <c r="K279" i="2"/>
  <c r="S279" i="2" s="1"/>
  <c r="K280" i="2"/>
  <c r="S280" i="2" s="1"/>
  <c r="K281" i="2"/>
  <c r="S281" i="2" s="1"/>
  <c r="K282" i="2"/>
  <c r="S282" i="2" s="1"/>
  <c r="K283" i="2"/>
  <c r="S283" i="2" s="1"/>
  <c r="K284" i="2"/>
  <c r="S284" i="2" s="1"/>
  <c r="K285" i="2"/>
  <c r="S285" i="2" s="1"/>
  <c r="K286" i="2"/>
  <c r="S286" i="2" s="1"/>
  <c r="K287" i="2"/>
  <c r="S287" i="2" s="1"/>
  <c r="K288" i="2"/>
  <c r="S288" i="2" s="1"/>
  <c r="K289" i="2"/>
  <c r="S289" i="2" s="1"/>
  <c r="K290" i="2"/>
  <c r="S290" i="2" s="1"/>
  <c r="K291" i="2"/>
  <c r="S291" i="2" s="1"/>
  <c r="K292" i="2"/>
  <c r="S292" i="2" s="1"/>
  <c r="K293" i="2"/>
  <c r="S293" i="2" s="1"/>
  <c r="K294" i="2"/>
  <c r="S294" i="2" s="1"/>
  <c r="K295" i="2"/>
  <c r="S295" i="2" s="1"/>
  <c r="K296" i="2"/>
  <c r="S296" i="2" s="1"/>
  <c r="K297" i="2"/>
  <c r="S297" i="2" s="1"/>
  <c r="K298" i="2"/>
  <c r="S298" i="2" s="1"/>
  <c r="K299" i="2"/>
  <c r="S299" i="2" s="1"/>
  <c r="K300" i="2"/>
  <c r="S300" i="2" s="1"/>
  <c r="K301" i="2"/>
  <c r="S301" i="2" s="1"/>
  <c r="K302" i="2"/>
  <c r="S302" i="2" s="1"/>
  <c r="K303" i="2"/>
  <c r="S303" i="2" s="1"/>
  <c r="K304" i="2"/>
  <c r="S304" i="2" s="1"/>
  <c r="K305" i="2"/>
  <c r="S305" i="2" s="1"/>
  <c r="K306" i="2"/>
  <c r="S306" i="2" s="1"/>
  <c r="K307" i="2"/>
  <c r="S307" i="2" s="1"/>
  <c r="K308" i="2"/>
  <c r="S308" i="2" s="1"/>
  <c r="K309" i="2"/>
  <c r="S309" i="2" s="1"/>
  <c r="K310" i="2"/>
  <c r="S310" i="2" s="1"/>
  <c r="K311" i="2"/>
  <c r="S311" i="2" s="1"/>
  <c r="K312" i="2"/>
  <c r="S312" i="2" s="1"/>
  <c r="K313" i="2"/>
  <c r="S313" i="2" s="1"/>
  <c r="K314" i="2"/>
  <c r="S314" i="2" s="1"/>
  <c r="K315" i="2"/>
  <c r="S315" i="2" s="1"/>
  <c r="K316" i="2"/>
  <c r="S316" i="2" s="1"/>
  <c r="K317" i="2"/>
  <c r="S317" i="2" s="1"/>
  <c r="K318" i="2"/>
  <c r="S318" i="2" s="1"/>
  <c r="K319" i="2"/>
  <c r="S319" i="2" s="1"/>
  <c r="K320" i="2"/>
  <c r="S320" i="2" s="1"/>
  <c r="K321" i="2"/>
  <c r="S321" i="2" s="1"/>
  <c r="K322" i="2"/>
  <c r="S322" i="2" s="1"/>
  <c r="K323" i="2"/>
  <c r="S323" i="2" s="1"/>
  <c r="K324" i="2"/>
  <c r="S324" i="2" s="1"/>
  <c r="K325" i="2"/>
  <c r="S325" i="2" s="1"/>
  <c r="K326" i="2"/>
  <c r="S326" i="2" s="1"/>
  <c r="K327" i="2"/>
  <c r="S327" i="2" s="1"/>
  <c r="K328" i="2"/>
  <c r="S328" i="2" s="1"/>
  <c r="K329" i="2"/>
  <c r="S329" i="2" s="1"/>
  <c r="K330" i="2"/>
  <c r="S330" i="2" s="1"/>
  <c r="K331" i="2"/>
  <c r="S331" i="2" s="1"/>
  <c r="K332" i="2"/>
  <c r="S332" i="2" s="1"/>
  <c r="K333" i="2"/>
  <c r="S333" i="2" s="1"/>
  <c r="K334" i="2"/>
  <c r="S334" i="2" s="1"/>
  <c r="K335" i="2"/>
  <c r="S335" i="2" s="1"/>
  <c r="K336" i="2"/>
  <c r="S336" i="2" s="1"/>
  <c r="K337" i="2"/>
  <c r="S337" i="2" s="1"/>
  <c r="K338" i="2"/>
  <c r="S338" i="2" s="1"/>
  <c r="K339" i="2"/>
  <c r="S339" i="2" s="1"/>
  <c r="K340" i="2"/>
  <c r="S340" i="2" s="1"/>
  <c r="K341" i="2"/>
  <c r="S341" i="2" s="1"/>
  <c r="K342" i="2"/>
  <c r="S342" i="2" s="1"/>
  <c r="K343" i="2"/>
  <c r="S343" i="2" s="1"/>
  <c r="K344" i="2"/>
  <c r="S344" i="2" s="1"/>
  <c r="K345" i="2"/>
  <c r="S345" i="2" s="1"/>
  <c r="K346" i="2"/>
  <c r="S346" i="2" s="1"/>
  <c r="K347" i="2"/>
  <c r="S347" i="2" s="1"/>
  <c r="K348" i="2"/>
  <c r="S348" i="2" s="1"/>
  <c r="K349" i="2"/>
  <c r="S349" i="2" s="1"/>
  <c r="K350" i="2"/>
  <c r="S350" i="2" s="1"/>
  <c r="K351" i="2"/>
  <c r="S351" i="2" s="1"/>
  <c r="K352" i="2"/>
  <c r="S352" i="2" s="1"/>
  <c r="K353" i="2"/>
  <c r="S353" i="2" s="1"/>
  <c r="K354" i="2"/>
  <c r="S354" i="2" s="1"/>
  <c r="K355" i="2"/>
  <c r="S355" i="2" s="1"/>
  <c r="K356" i="2"/>
  <c r="S356" i="2" s="1"/>
  <c r="K357" i="2"/>
  <c r="S357" i="2" s="1"/>
  <c r="K358" i="2"/>
  <c r="S358" i="2" s="1"/>
  <c r="K359" i="2"/>
  <c r="S359" i="2" s="1"/>
  <c r="K360" i="2"/>
  <c r="S360" i="2" s="1"/>
  <c r="K361" i="2"/>
  <c r="S361" i="2" s="1"/>
  <c r="K362" i="2"/>
  <c r="S362" i="2" s="1"/>
  <c r="K363" i="2"/>
  <c r="S363" i="2" s="1"/>
  <c r="K364" i="2"/>
  <c r="S364" i="2" s="1"/>
  <c r="K365" i="2"/>
  <c r="S365" i="2" s="1"/>
  <c r="K366" i="2"/>
  <c r="S366" i="2" s="1"/>
  <c r="K367" i="2"/>
  <c r="S367" i="2" s="1"/>
  <c r="K368" i="2"/>
  <c r="S368" i="2" s="1"/>
  <c r="K369" i="2"/>
  <c r="S369" i="2" s="1"/>
  <c r="K370" i="2"/>
  <c r="S370" i="2" s="1"/>
  <c r="K371" i="2"/>
  <c r="S371" i="2" s="1"/>
  <c r="K372" i="2"/>
  <c r="S372" i="2" s="1"/>
  <c r="K373" i="2"/>
  <c r="S373" i="2" s="1"/>
  <c r="K374" i="2"/>
  <c r="S374" i="2" s="1"/>
  <c r="K375" i="2"/>
  <c r="S375" i="2" s="1"/>
  <c r="K376" i="2"/>
  <c r="S376" i="2" s="1"/>
  <c r="K377" i="2"/>
  <c r="S377" i="2" s="1"/>
  <c r="K378" i="2"/>
  <c r="S378" i="2" s="1"/>
  <c r="K379" i="2"/>
  <c r="S379" i="2" s="1"/>
  <c r="K380" i="2"/>
  <c r="S380" i="2" s="1"/>
  <c r="K381" i="2"/>
  <c r="S381" i="2" s="1"/>
  <c r="K382" i="2"/>
  <c r="S382" i="2" s="1"/>
  <c r="K383" i="2"/>
  <c r="S383" i="2" s="1"/>
  <c r="K384" i="2"/>
  <c r="S384" i="2" s="1"/>
  <c r="K385" i="2"/>
  <c r="S385" i="2" s="1"/>
  <c r="K386" i="2"/>
  <c r="S386" i="2" s="1"/>
  <c r="K387" i="2"/>
  <c r="S387" i="2" s="1"/>
  <c r="K388" i="2"/>
  <c r="S388" i="2" s="1"/>
  <c r="K389" i="2"/>
  <c r="S389" i="2" s="1"/>
  <c r="K390" i="2"/>
  <c r="S390" i="2" s="1"/>
  <c r="K391" i="2"/>
  <c r="S391" i="2" s="1"/>
  <c r="K392" i="2"/>
  <c r="S392" i="2" s="1"/>
  <c r="K393" i="2"/>
  <c r="S393" i="2" s="1"/>
  <c r="K394" i="2"/>
  <c r="S394" i="2" s="1"/>
  <c r="K395" i="2"/>
  <c r="S395" i="2" s="1"/>
  <c r="K396" i="2"/>
  <c r="S396" i="2" s="1"/>
  <c r="K397" i="2"/>
  <c r="S397" i="2" s="1"/>
  <c r="K398" i="2"/>
  <c r="S398" i="2" s="1"/>
  <c r="K399" i="2"/>
  <c r="S399" i="2" s="1"/>
  <c r="K400" i="2"/>
  <c r="S400" i="2" s="1"/>
  <c r="K401" i="2"/>
  <c r="S401" i="2" s="1"/>
  <c r="K402" i="2"/>
  <c r="S402" i="2" s="1"/>
  <c r="K403" i="2"/>
  <c r="S403" i="2" s="1"/>
  <c r="K404" i="2"/>
  <c r="S404" i="2" s="1"/>
  <c r="K405" i="2"/>
  <c r="S405" i="2" s="1"/>
  <c r="K406" i="2"/>
  <c r="S406" i="2" s="1"/>
  <c r="K407" i="2"/>
  <c r="S407" i="2" s="1"/>
  <c r="K408" i="2"/>
  <c r="S408" i="2" s="1"/>
  <c r="K409" i="2"/>
  <c r="S409" i="2" s="1"/>
  <c r="K410" i="2"/>
  <c r="S410" i="2" s="1"/>
  <c r="K411" i="2"/>
  <c r="S411" i="2" s="1"/>
  <c r="K412" i="2"/>
  <c r="S412" i="2" s="1"/>
  <c r="K413" i="2"/>
  <c r="S413" i="2" s="1"/>
  <c r="K414" i="2"/>
  <c r="S414" i="2" s="1"/>
  <c r="K415" i="2"/>
  <c r="S415" i="2" s="1"/>
  <c r="K416" i="2"/>
  <c r="S416" i="2" s="1"/>
  <c r="K417" i="2"/>
  <c r="S417" i="2" s="1"/>
  <c r="K418" i="2"/>
  <c r="S418" i="2" s="1"/>
  <c r="K419" i="2"/>
  <c r="S419" i="2" s="1"/>
  <c r="K420" i="2"/>
  <c r="S420" i="2" s="1"/>
  <c r="K421" i="2"/>
  <c r="S421" i="2" s="1"/>
  <c r="K422" i="2"/>
  <c r="S422" i="2" s="1"/>
  <c r="K423" i="2"/>
  <c r="S423" i="2" s="1"/>
  <c r="K424" i="2"/>
  <c r="S424" i="2" s="1"/>
  <c r="K425" i="2"/>
  <c r="S425" i="2" s="1"/>
  <c r="K426" i="2"/>
  <c r="S426" i="2" s="1"/>
  <c r="K427" i="2"/>
  <c r="S427" i="2" s="1"/>
  <c r="K428" i="2"/>
  <c r="S428" i="2" s="1"/>
  <c r="K429" i="2"/>
  <c r="S429" i="2" s="1"/>
  <c r="K430" i="2"/>
  <c r="S430" i="2" s="1"/>
  <c r="K431" i="2"/>
  <c r="S431" i="2" s="1"/>
  <c r="K432" i="2"/>
  <c r="S432" i="2" s="1"/>
  <c r="K433" i="2"/>
  <c r="S433" i="2" s="1"/>
  <c r="K434" i="2"/>
  <c r="S434" i="2" s="1"/>
  <c r="K435" i="2"/>
  <c r="S435" i="2" s="1"/>
  <c r="K436" i="2"/>
  <c r="S436" i="2" s="1"/>
  <c r="K437" i="2"/>
  <c r="S437" i="2" s="1"/>
  <c r="K438" i="2"/>
  <c r="S438" i="2" s="1"/>
  <c r="K439" i="2"/>
  <c r="S439" i="2" s="1"/>
  <c r="K440" i="2"/>
  <c r="S440" i="2" s="1"/>
  <c r="K441" i="2"/>
  <c r="S441" i="2" s="1"/>
  <c r="K442" i="2"/>
  <c r="S442" i="2" s="1"/>
  <c r="K443" i="2"/>
  <c r="S443" i="2" s="1"/>
  <c r="K444" i="2"/>
  <c r="S444" i="2" s="1"/>
  <c r="K445" i="2"/>
  <c r="S445" i="2" s="1"/>
  <c r="K446" i="2"/>
  <c r="S446" i="2" s="1"/>
  <c r="K447" i="2"/>
  <c r="S447" i="2" s="1"/>
  <c r="K448" i="2"/>
  <c r="S448" i="2" s="1"/>
  <c r="K449" i="2"/>
  <c r="S449" i="2" s="1"/>
  <c r="K450" i="2"/>
  <c r="S450" i="2" s="1"/>
  <c r="K451" i="2"/>
  <c r="S451" i="2" s="1"/>
  <c r="K452" i="2"/>
  <c r="S452" i="2" s="1"/>
  <c r="K453" i="2"/>
  <c r="S453" i="2" s="1"/>
  <c r="K454" i="2"/>
  <c r="S454" i="2" s="1"/>
  <c r="K455" i="2"/>
  <c r="S455" i="2" s="1"/>
  <c r="K456" i="2"/>
  <c r="S456" i="2" s="1"/>
  <c r="K457" i="2"/>
  <c r="S457" i="2" s="1"/>
  <c r="K458" i="2"/>
  <c r="S458" i="2" s="1"/>
  <c r="K459" i="2"/>
  <c r="S459" i="2" s="1"/>
  <c r="K460" i="2"/>
  <c r="S460" i="2" s="1"/>
  <c r="K461" i="2"/>
  <c r="S461" i="2" s="1"/>
  <c r="K462" i="2"/>
  <c r="S462" i="2" s="1"/>
  <c r="K463" i="2"/>
  <c r="S463" i="2" s="1"/>
  <c r="K464" i="2"/>
  <c r="S464" i="2" s="1"/>
  <c r="K465" i="2"/>
  <c r="S465" i="2" s="1"/>
  <c r="K466" i="2"/>
  <c r="S466" i="2" s="1"/>
  <c r="K467" i="2"/>
  <c r="S467" i="2" s="1"/>
  <c r="K468" i="2"/>
  <c r="S468" i="2" s="1"/>
  <c r="K469" i="2"/>
  <c r="S469" i="2" s="1"/>
  <c r="K470" i="2"/>
  <c r="S470" i="2" s="1"/>
  <c r="K471" i="2"/>
  <c r="S471" i="2" s="1"/>
  <c r="K472" i="2"/>
  <c r="S472" i="2" s="1"/>
  <c r="K473" i="2"/>
  <c r="S473" i="2" s="1"/>
  <c r="K474" i="2"/>
  <c r="S474" i="2" s="1"/>
  <c r="K475" i="2"/>
  <c r="S475" i="2" s="1"/>
  <c r="K476" i="2"/>
  <c r="S476" i="2" s="1"/>
  <c r="K477" i="2"/>
  <c r="S477" i="2" s="1"/>
  <c r="K478" i="2"/>
  <c r="S478" i="2" s="1"/>
  <c r="K479" i="2"/>
  <c r="S479" i="2" s="1"/>
  <c r="K480" i="2"/>
  <c r="S480" i="2" s="1"/>
  <c r="K481" i="2"/>
  <c r="S481" i="2" s="1"/>
  <c r="K482" i="2"/>
  <c r="S482" i="2" s="1"/>
  <c r="K483" i="2"/>
  <c r="S483" i="2" s="1"/>
  <c r="K484" i="2"/>
  <c r="S484" i="2" s="1"/>
  <c r="K485" i="2"/>
  <c r="S485" i="2" s="1"/>
  <c r="K486" i="2"/>
  <c r="S486" i="2" s="1"/>
  <c r="K487" i="2"/>
  <c r="S487" i="2" s="1"/>
  <c r="K488" i="2"/>
  <c r="S488" i="2" s="1"/>
  <c r="K489" i="2"/>
  <c r="S489" i="2" s="1"/>
  <c r="K490" i="2"/>
  <c r="S490" i="2" s="1"/>
  <c r="K491" i="2"/>
  <c r="S491" i="2" s="1"/>
  <c r="K492" i="2"/>
  <c r="S492" i="2" s="1"/>
  <c r="K493" i="2"/>
  <c r="S493" i="2" s="1"/>
  <c r="K494" i="2"/>
  <c r="S494" i="2" s="1"/>
  <c r="K495" i="2"/>
  <c r="S495" i="2" s="1"/>
  <c r="K496" i="2"/>
  <c r="S496" i="2" s="1"/>
  <c r="K497" i="2"/>
  <c r="S497" i="2" s="1"/>
  <c r="K498" i="2"/>
  <c r="S498" i="2" s="1"/>
  <c r="K499" i="2"/>
  <c r="S499" i="2" s="1"/>
  <c r="K500" i="2"/>
  <c r="S500" i="2" s="1"/>
  <c r="K501" i="2"/>
  <c r="S501" i="2" s="1"/>
  <c r="K502" i="2"/>
  <c r="S502" i="2" s="1"/>
  <c r="K503" i="2"/>
  <c r="S503" i="2" s="1"/>
  <c r="K504" i="2"/>
  <c r="S504" i="2" s="1"/>
  <c r="K505" i="2"/>
  <c r="S505" i="2" s="1"/>
  <c r="K506" i="2"/>
  <c r="S506" i="2" s="1"/>
  <c r="K507" i="2"/>
  <c r="S507" i="2" s="1"/>
  <c r="K508" i="2"/>
  <c r="S508" i="2" s="1"/>
  <c r="K509" i="2"/>
  <c r="S509" i="2" s="1"/>
  <c r="K510" i="2"/>
  <c r="S510" i="2" s="1"/>
  <c r="K511" i="2"/>
  <c r="S511" i="2" s="1"/>
  <c r="K512" i="2"/>
  <c r="S512" i="2" s="1"/>
  <c r="K513" i="2"/>
  <c r="S513" i="2" s="1"/>
  <c r="K514" i="2"/>
  <c r="S514" i="2" s="1"/>
  <c r="K515" i="2"/>
  <c r="S515" i="2" s="1"/>
  <c r="K516" i="2"/>
  <c r="S516" i="2" s="1"/>
  <c r="K517" i="2"/>
  <c r="S517" i="2" s="1"/>
  <c r="K518" i="2"/>
  <c r="S518" i="2" s="1"/>
  <c r="K519" i="2"/>
  <c r="S519" i="2" s="1"/>
  <c r="K520" i="2"/>
  <c r="S520" i="2" s="1"/>
  <c r="K521" i="2"/>
  <c r="S521" i="2" s="1"/>
  <c r="K522" i="2"/>
  <c r="S522" i="2" s="1"/>
  <c r="K523" i="2"/>
  <c r="S523" i="2" s="1"/>
  <c r="K524" i="2"/>
  <c r="S524" i="2" s="1"/>
  <c r="K525" i="2"/>
  <c r="S525" i="2" s="1"/>
  <c r="K526" i="2"/>
  <c r="S526" i="2" s="1"/>
  <c r="K527" i="2"/>
  <c r="S527" i="2" s="1"/>
  <c r="K528" i="2"/>
  <c r="S528" i="2" s="1"/>
  <c r="K529" i="2"/>
  <c r="S529" i="2" s="1"/>
  <c r="K530" i="2"/>
  <c r="S530" i="2" s="1"/>
  <c r="K531" i="2"/>
  <c r="S531" i="2" s="1"/>
  <c r="K532" i="2"/>
  <c r="S532" i="2" s="1"/>
  <c r="K533" i="2"/>
  <c r="S533" i="2" s="1"/>
  <c r="K534" i="2"/>
  <c r="S534" i="2" s="1"/>
  <c r="K535" i="2"/>
  <c r="S535" i="2" s="1"/>
  <c r="K536" i="2"/>
  <c r="S536" i="2" s="1"/>
  <c r="K537" i="2"/>
  <c r="S537" i="2" s="1"/>
  <c r="K538" i="2"/>
  <c r="S538" i="2" s="1"/>
  <c r="K539" i="2"/>
  <c r="S539" i="2" s="1"/>
  <c r="K540" i="2"/>
  <c r="S540" i="2" s="1"/>
  <c r="K541" i="2"/>
  <c r="S541" i="2" s="1"/>
  <c r="K542" i="2"/>
  <c r="S542" i="2" s="1"/>
  <c r="K543" i="2"/>
  <c r="S543" i="2" s="1"/>
  <c r="K544" i="2"/>
  <c r="S544" i="2" s="1"/>
  <c r="K545" i="2"/>
  <c r="S545" i="2" s="1"/>
  <c r="K546" i="2"/>
  <c r="S546" i="2" s="1"/>
  <c r="K547" i="2"/>
  <c r="S547" i="2" s="1"/>
  <c r="K548" i="2"/>
  <c r="S548" i="2" s="1"/>
  <c r="K549" i="2"/>
  <c r="S549" i="2" s="1"/>
  <c r="K550" i="2"/>
  <c r="S550" i="2" s="1"/>
  <c r="K551" i="2"/>
  <c r="S551" i="2" s="1"/>
  <c r="K552" i="2"/>
  <c r="S552" i="2" s="1"/>
  <c r="K553" i="2"/>
  <c r="S553" i="2" s="1"/>
  <c r="K554" i="2"/>
  <c r="S554" i="2" s="1"/>
  <c r="K555" i="2"/>
  <c r="S555" i="2" s="1"/>
  <c r="K556" i="2"/>
  <c r="S556" i="2" s="1"/>
  <c r="K557" i="2"/>
  <c r="S557" i="2" s="1"/>
  <c r="K558" i="2"/>
  <c r="S558" i="2" s="1"/>
  <c r="K559" i="2"/>
  <c r="S559" i="2" s="1"/>
  <c r="K560" i="2"/>
  <c r="S560" i="2" s="1"/>
  <c r="K561" i="2"/>
  <c r="S561" i="2" s="1"/>
  <c r="K562" i="2"/>
  <c r="S562" i="2" s="1"/>
  <c r="K563" i="2"/>
  <c r="S563" i="2" s="1"/>
  <c r="K564" i="2"/>
  <c r="S564" i="2" s="1"/>
  <c r="K565" i="2"/>
  <c r="S565" i="2" s="1"/>
  <c r="K566" i="2"/>
  <c r="S566" i="2" s="1"/>
  <c r="K567" i="2"/>
  <c r="S567" i="2" s="1"/>
  <c r="K568" i="2"/>
  <c r="S568" i="2" s="1"/>
  <c r="K569" i="2"/>
  <c r="S569" i="2" s="1"/>
  <c r="K570" i="2"/>
  <c r="S570" i="2" s="1"/>
  <c r="S571" i="2"/>
  <c r="S572" i="2"/>
  <c r="S573" i="2"/>
  <c r="S574" i="2"/>
  <c r="K580" i="2"/>
  <c r="S580" i="2" s="1"/>
  <c r="K581" i="2"/>
  <c r="S581" i="2" s="1"/>
  <c r="K582" i="2"/>
  <c r="S582" i="2" s="1"/>
  <c r="K583" i="2"/>
  <c r="S583" i="2" s="1"/>
  <c r="K584" i="2"/>
  <c r="S584" i="2" s="1"/>
  <c r="K585" i="2"/>
  <c r="S585" i="2" s="1"/>
  <c r="K586" i="2"/>
  <c r="S586" i="2" s="1"/>
  <c r="K587" i="2"/>
  <c r="S587" i="2" s="1"/>
  <c r="K588" i="2"/>
  <c r="S588" i="2" s="1"/>
  <c r="K589" i="2"/>
  <c r="S589" i="2" s="1"/>
  <c r="K590" i="2"/>
  <c r="S590" i="2" s="1"/>
  <c r="K591" i="2"/>
  <c r="S591" i="2" s="1"/>
  <c r="K592" i="2"/>
  <c r="S592" i="2" s="1"/>
  <c r="K593" i="2"/>
  <c r="S593" i="2" s="1"/>
  <c r="K594" i="2"/>
  <c r="S594" i="2" s="1"/>
  <c r="K595" i="2"/>
  <c r="S595" i="2" s="1"/>
  <c r="K596" i="2"/>
  <c r="S596" i="2" s="1"/>
  <c r="K597" i="2"/>
  <c r="S597" i="2" s="1"/>
  <c r="K598" i="2"/>
  <c r="S598" i="2" s="1"/>
  <c r="K599" i="2"/>
  <c r="S599" i="2" s="1"/>
  <c r="K600" i="2"/>
  <c r="S600" i="2" s="1"/>
  <c r="K601" i="2"/>
  <c r="S601" i="2" s="1"/>
  <c r="K602" i="2"/>
  <c r="S602" i="2" s="1"/>
  <c r="K603" i="2"/>
  <c r="S603" i="2" s="1"/>
  <c r="K604" i="2"/>
  <c r="S604" i="2" s="1"/>
  <c r="K605" i="2"/>
  <c r="S605" i="2" s="1"/>
  <c r="K606" i="2"/>
  <c r="S606" i="2" s="1"/>
  <c r="K607" i="2"/>
  <c r="S607" i="2" s="1"/>
  <c r="K608" i="2"/>
  <c r="S608" i="2" s="1"/>
  <c r="K609" i="2"/>
  <c r="S609" i="2" s="1"/>
  <c r="K610" i="2"/>
  <c r="S610" i="2" s="1"/>
  <c r="K611" i="2"/>
  <c r="S611" i="2" s="1"/>
  <c r="K612" i="2"/>
  <c r="S612" i="2" s="1"/>
  <c r="K613" i="2"/>
  <c r="S613" i="2" s="1"/>
  <c r="K614" i="2"/>
  <c r="S614" i="2" s="1"/>
  <c r="K615" i="2"/>
  <c r="S615" i="2" s="1"/>
  <c r="K616" i="2"/>
  <c r="S616" i="2" s="1"/>
  <c r="K617" i="2"/>
  <c r="S617" i="2" s="1"/>
  <c r="K618" i="2"/>
  <c r="S618" i="2" s="1"/>
  <c r="K619" i="2"/>
  <c r="S619" i="2" s="1"/>
  <c r="K620" i="2"/>
  <c r="S620" i="2" s="1"/>
  <c r="K621" i="2"/>
  <c r="S621" i="2" s="1"/>
  <c r="K622" i="2"/>
  <c r="S622" i="2" s="1"/>
  <c r="K623" i="2"/>
  <c r="S623" i="2" s="1"/>
  <c r="K624" i="2"/>
  <c r="S624" i="2" s="1"/>
  <c r="K625" i="2"/>
  <c r="S625" i="2" s="1"/>
  <c r="K626" i="2"/>
  <c r="S626" i="2" s="1"/>
  <c r="K627" i="2"/>
  <c r="S627" i="2" s="1"/>
  <c r="K628" i="2"/>
  <c r="S628" i="2" s="1"/>
  <c r="K629" i="2"/>
  <c r="S629" i="2" s="1"/>
  <c r="K630" i="2"/>
  <c r="S630" i="2" s="1"/>
  <c r="K631" i="2"/>
  <c r="S631" i="2" s="1"/>
  <c r="K632" i="2"/>
  <c r="S632" i="2" s="1"/>
  <c r="K633" i="2"/>
  <c r="S633" i="2" s="1"/>
  <c r="K634" i="2"/>
  <c r="S634" i="2" s="1"/>
  <c r="K635" i="2"/>
  <c r="S635" i="2" s="1"/>
  <c r="K636" i="2"/>
  <c r="S636" i="2" s="1"/>
  <c r="K637" i="2"/>
  <c r="S637" i="2" s="1"/>
  <c r="K638" i="2"/>
  <c r="S638" i="2" s="1"/>
  <c r="K639" i="2"/>
  <c r="S639" i="2" s="1"/>
  <c r="K640" i="2"/>
  <c r="S640" i="2" s="1"/>
  <c r="K641" i="2"/>
  <c r="S641" i="2" s="1"/>
  <c r="K642" i="2"/>
  <c r="S642" i="2" s="1"/>
  <c r="K643" i="2"/>
  <c r="S643" i="2" s="1"/>
  <c r="K644" i="2"/>
  <c r="S644" i="2" s="1"/>
  <c r="K645" i="2"/>
  <c r="S645" i="2" s="1"/>
  <c r="K646" i="2"/>
  <c r="S646" i="2" s="1"/>
  <c r="K647" i="2"/>
  <c r="S647" i="2" s="1"/>
  <c r="K648" i="2"/>
  <c r="S648" i="2" s="1"/>
  <c r="K649" i="2"/>
  <c r="S649" i="2" s="1"/>
  <c r="K650" i="2"/>
  <c r="S650" i="2" s="1"/>
  <c r="K651" i="2"/>
  <c r="S651" i="2" s="1"/>
  <c r="K652" i="2"/>
  <c r="S652" i="2" s="1"/>
  <c r="K653" i="2"/>
  <c r="S653" i="2" s="1"/>
  <c r="K654" i="2"/>
  <c r="S654" i="2" s="1"/>
  <c r="K655" i="2"/>
  <c r="S655" i="2" s="1"/>
  <c r="K656" i="2"/>
  <c r="S656" i="2" s="1"/>
  <c r="K657" i="2"/>
  <c r="S657" i="2" s="1"/>
  <c r="K658" i="2"/>
  <c r="S658" i="2" s="1"/>
  <c r="K659" i="2"/>
  <c r="S659" i="2" s="1"/>
  <c r="K660" i="2"/>
  <c r="S660" i="2" s="1"/>
  <c r="K661" i="2"/>
  <c r="S661" i="2" s="1"/>
  <c r="K662" i="2"/>
  <c r="S662" i="2" s="1"/>
  <c r="K663" i="2"/>
  <c r="S663" i="2" s="1"/>
  <c r="K664" i="2"/>
  <c r="S664" i="2" s="1"/>
  <c r="K665" i="2"/>
  <c r="S665" i="2" s="1"/>
  <c r="K666" i="2"/>
  <c r="S666" i="2" s="1"/>
  <c r="K667" i="2"/>
  <c r="S667" i="2" s="1"/>
  <c r="K668" i="2"/>
  <c r="S668" i="2" s="1"/>
  <c r="K669" i="2"/>
  <c r="S669" i="2" s="1"/>
  <c r="K670" i="2"/>
  <c r="S670" i="2" s="1"/>
  <c r="K671" i="2"/>
  <c r="S671" i="2" s="1"/>
  <c r="K672" i="2"/>
  <c r="S672" i="2" s="1"/>
  <c r="K673" i="2"/>
  <c r="S673" i="2" s="1"/>
  <c r="K674" i="2"/>
  <c r="S674" i="2" s="1"/>
  <c r="K675" i="2"/>
  <c r="S675" i="2" s="1"/>
  <c r="K676" i="2"/>
  <c r="S676" i="2" s="1"/>
  <c r="K677" i="2"/>
  <c r="S677" i="2" s="1"/>
  <c r="K678" i="2"/>
  <c r="S678" i="2" s="1"/>
  <c r="K679" i="2"/>
  <c r="S679" i="2" s="1"/>
  <c r="K680" i="2"/>
  <c r="S680" i="2" s="1"/>
  <c r="K681" i="2"/>
  <c r="S681" i="2" s="1"/>
  <c r="K682" i="2"/>
  <c r="S682" i="2" s="1"/>
  <c r="K683" i="2"/>
  <c r="S683" i="2" s="1"/>
  <c r="K684" i="2"/>
  <c r="S684" i="2" s="1"/>
  <c r="K685" i="2"/>
  <c r="S685" i="2" s="1"/>
  <c r="K686" i="2"/>
  <c r="S686" i="2" s="1"/>
  <c r="K687" i="2"/>
  <c r="S687" i="2" s="1"/>
  <c r="K688" i="2"/>
  <c r="S688" i="2" s="1"/>
  <c r="K689" i="2"/>
  <c r="S689" i="2" s="1"/>
  <c r="K690" i="2"/>
  <c r="S690" i="2" s="1"/>
  <c r="K691" i="2"/>
  <c r="S691" i="2" s="1"/>
  <c r="K692" i="2"/>
  <c r="S692" i="2" s="1"/>
  <c r="K693" i="2"/>
  <c r="S693" i="2" s="1"/>
  <c r="K694" i="2"/>
  <c r="S694" i="2" s="1"/>
  <c r="K695" i="2"/>
  <c r="S695" i="2" s="1"/>
  <c r="K696" i="2"/>
  <c r="S696" i="2" s="1"/>
  <c r="K697" i="2"/>
  <c r="S697" i="2" s="1"/>
  <c r="K698" i="2"/>
  <c r="S698" i="2" s="1"/>
  <c r="K699" i="2"/>
  <c r="S699" i="2" s="1"/>
  <c r="K700" i="2"/>
  <c r="S700" i="2" s="1"/>
  <c r="K701" i="2"/>
  <c r="S701" i="2" s="1"/>
  <c r="K702" i="2"/>
  <c r="S702" i="2" s="1"/>
  <c r="K703" i="2"/>
  <c r="S703" i="2" s="1"/>
  <c r="K704" i="2"/>
  <c r="S704" i="2" s="1"/>
  <c r="K705" i="2"/>
  <c r="S705" i="2" s="1"/>
  <c r="K706" i="2"/>
  <c r="S706" i="2" s="1"/>
  <c r="K707" i="2"/>
  <c r="S707" i="2" s="1"/>
  <c r="K708" i="2"/>
  <c r="S708" i="2" s="1"/>
  <c r="K709" i="2"/>
  <c r="S709" i="2" s="1"/>
  <c r="K710" i="2"/>
  <c r="S710" i="2" s="1"/>
  <c r="K711" i="2"/>
  <c r="S711" i="2" s="1"/>
  <c r="K712" i="2"/>
  <c r="S712" i="2" s="1"/>
  <c r="K713" i="2"/>
  <c r="S713" i="2" s="1"/>
  <c r="K714" i="2"/>
  <c r="S714" i="2" s="1"/>
  <c r="K715" i="2"/>
  <c r="S715" i="2" s="1"/>
  <c r="K716" i="2"/>
  <c r="S716" i="2" s="1"/>
  <c r="K717" i="2"/>
  <c r="S717" i="2" s="1"/>
  <c r="K718" i="2"/>
  <c r="S718" i="2" s="1"/>
  <c r="K719" i="2"/>
  <c r="S719" i="2" s="1"/>
  <c r="K720" i="2"/>
  <c r="S720" i="2" s="1"/>
  <c r="K721" i="2"/>
  <c r="S721" i="2" s="1"/>
  <c r="K722" i="2"/>
  <c r="S722" i="2" s="1"/>
  <c r="K723" i="2"/>
  <c r="S723" i="2" s="1"/>
  <c r="K724" i="2"/>
  <c r="S724" i="2" s="1"/>
  <c r="K725" i="2"/>
  <c r="S725" i="2" s="1"/>
  <c r="K726" i="2"/>
  <c r="S726" i="2" s="1"/>
  <c r="K727" i="2"/>
  <c r="S727" i="2" s="1"/>
  <c r="K728" i="2"/>
  <c r="S728" i="2" s="1"/>
  <c r="K729" i="2"/>
  <c r="S729" i="2" s="1"/>
  <c r="K730" i="2"/>
  <c r="S730" i="2" s="1"/>
  <c r="K731" i="2"/>
  <c r="S731" i="2" s="1"/>
  <c r="K732" i="2"/>
  <c r="S732" i="2" s="1"/>
  <c r="K733" i="2"/>
  <c r="S733" i="2" s="1"/>
  <c r="K734" i="2"/>
  <c r="S734" i="2" s="1"/>
  <c r="K735" i="2"/>
  <c r="S735" i="2" s="1"/>
  <c r="K736" i="2"/>
  <c r="S736" i="2" s="1"/>
  <c r="K737" i="2"/>
  <c r="S737" i="2" s="1"/>
  <c r="K738" i="2"/>
  <c r="S738" i="2" s="1"/>
  <c r="K739" i="2"/>
  <c r="S739" i="2" s="1"/>
  <c r="K740" i="2"/>
  <c r="S740" i="2" s="1"/>
  <c r="K741" i="2"/>
  <c r="S741" i="2" s="1"/>
  <c r="K742" i="2"/>
  <c r="S742" i="2" s="1"/>
  <c r="K743" i="2"/>
  <c r="S743" i="2" s="1"/>
  <c r="K744" i="2"/>
  <c r="S744" i="2" s="1"/>
  <c r="K745" i="2"/>
  <c r="S745" i="2" s="1"/>
  <c r="K746" i="2"/>
  <c r="S746" i="2" s="1"/>
  <c r="K747" i="2"/>
  <c r="S747" i="2" s="1"/>
  <c r="K748" i="2"/>
  <c r="S748" i="2" s="1"/>
  <c r="K749" i="2"/>
  <c r="S749" i="2" s="1"/>
  <c r="K750" i="2"/>
  <c r="S750" i="2" s="1"/>
  <c r="K751" i="2"/>
  <c r="S751" i="2" s="1"/>
  <c r="K752" i="2"/>
  <c r="S752" i="2" s="1"/>
  <c r="K753" i="2"/>
  <c r="S753" i="2" s="1"/>
  <c r="K754" i="2"/>
  <c r="S754" i="2" s="1"/>
  <c r="K755" i="2"/>
  <c r="S755" i="2" s="1"/>
  <c r="K756" i="2"/>
  <c r="S756" i="2" s="1"/>
  <c r="K757" i="2"/>
  <c r="S757" i="2" s="1"/>
  <c r="K758" i="2"/>
  <c r="S758" i="2" s="1"/>
  <c r="K759" i="2"/>
  <c r="S759" i="2" s="1"/>
  <c r="K760" i="2"/>
  <c r="S760" i="2" s="1"/>
  <c r="K761" i="2"/>
  <c r="S761" i="2" s="1"/>
  <c r="K762" i="2"/>
  <c r="S762" i="2" s="1"/>
  <c r="K763" i="2"/>
  <c r="S763" i="2" s="1"/>
  <c r="K764" i="2"/>
  <c r="S764" i="2" s="1"/>
  <c r="K765" i="2"/>
  <c r="S765" i="2" s="1"/>
  <c r="K766" i="2"/>
  <c r="S766" i="2" s="1"/>
  <c r="K767" i="2"/>
  <c r="S767" i="2" s="1"/>
  <c r="K768" i="2"/>
  <c r="S768" i="2" s="1"/>
  <c r="K769" i="2"/>
  <c r="S769" i="2" s="1"/>
  <c r="K770" i="2"/>
  <c r="S770" i="2" s="1"/>
  <c r="K771" i="2"/>
  <c r="S771" i="2" s="1"/>
  <c r="K772" i="2"/>
  <c r="S772" i="2" s="1"/>
  <c r="K773" i="2"/>
  <c r="S773" i="2" s="1"/>
  <c r="K774" i="2"/>
  <c r="S774" i="2" s="1"/>
  <c r="K775" i="2"/>
  <c r="S775" i="2" s="1"/>
  <c r="K776" i="2"/>
  <c r="S776" i="2" s="1"/>
  <c r="K777" i="2"/>
  <c r="S777" i="2" s="1"/>
  <c r="K778" i="2"/>
  <c r="S778" i="2" s="1"/>
  <c r="K779" i="2"/>
  <c r="S779" i="2" s="1"/>
  <c r="K780" i="2"/>
  <c r="S780" i="2" s="1"/>
  <c r="K781" i="2"/>
  <c r="S781" i="2" s="1"/>
  <c r="K782" i="2"/>
  <c r="S782" i="2" s="1"/>
  <c r="K783" i="2"/>
  <c r="S783" i="2" s="1"/>
  <c r="K784" i="2"/>
  <c r="S784" i="2" s="1"/>
  <c r="K785" i="2"/>
  <c r="S785" i="2" s="1"/>
  <c r="K786" i="2"/>
  <c r="S786" i="2" s="1"/>
  <c r="K787" i="2"/>
  <c r="S787" i="2" s="1"/>
  <c r="K788" i="2"/>
  <c r="S788" i="2" s="1"/>
  <c r="K789" i="2"/>
  <c r="S789" i="2" s="1"/>
  <c r="K790" i="2"/>
  <c r="S790" i="2" s="1"/>
  <c r="K791" i="2"/>
  <c r="S791" i="2" s="1"/>
  <c r="K792" i="2"/>
  <c r="S792" i="2" s="1"/>
  <c r="K793" i="2"/>
  <c r="S793" i="2" s="1"/>
  <c r="K794" i="2"/>
  <c r="S794" i="2" s="1"/>
  <c r="K795" i="2"/>
  <c r="S795" i="2" s="1"/>
  <c r="K796" i="2"/>
  <c r="S796" i="2" s="1"/>
  <c r="K797" i="2"/>
  <c r="S797" i="2" s="1"/>
  <c r="K798" i="2"/>
  <c r="S798" i="2" s="1"/>
  <c r="K799" i="2"/>
  <c r="S799" i="2" s="1"/>
  <c r="K800" i="2"/>
  <c r="S800" i="2" s="1"/>
  <c r="K801" i="2"/>
  <c r="S801" i="2" s="1"/>
  <c r="K802" i="2"/>
  <c r="S802" i="2" s="1"/>
  <c r="K803" i="2"/>
  <c r="S803" i="2" s="1"/>
  <c r="K804" i="2"/>
  <c r="S804" i="2" s="1"/>
  <c r="K805" i="2"/>
  <c r="S805" i="2" s="1"/>
  <c r="K806" i="2"/>
  <c r="S806" i="2" s="1"/>
  <c r="K807" i="2"/>
  <c r="S807" i="2" s="1"/>
  <c r="K808" i="2"/>
  <c r="S808" i="2" s="1"/>
  <c r="K809" i="2"/>
  <c r="S809" i="2" s="1"/>
  <c r="K810" i="2"/>
  <c r="S810" i="2" s="1"/>
  <c r="K811" i="2"/>
  <c r="S811" i="2" s="1"/>
  <c r="K812" i="2"/>
  <c r="S812" i="2" s="1"/>
  <c r="K813" i="2"/>
  <c r="S813" i="2" s="1"/>
  <c r="K814" i="2"/>
  <c r="S814" i="2" s="1"/>
  <c r="K815" i="2"/>
  <c r="S815" i="2" s="1"/>
  <c r="K816" i="2"/>
  <c r="S816" i="2" s="1"/>
  <c r="K817" i="2"/>
  <c r="S817" i="2" s="1"/>
  <c r="K818" i="2"/>
  <c r="S818" i="2" s="1"/>
  <c r="K819" i="2"/>
  <c r="S819" i="2" s="1"/>
  <c r="K820" i="2"/>
  <c r="S820" i="2" s="1"/>
  <c r="K821" i="2"/>
  <c r="S821" i="2" s="1"/>
  <c r="K822" i="2"/>
  <c r="S822" i="2" s="1"/>
  <c r="K823" i="2"/>
  <c r="S823" i="2" s="1"/>
  <c r="K824" i="2"/>
  <c r="S824" i="2" s="1"/>
  <c r="K825" i="2"/>
  <c r="S825" i="2" s="1"/>
  <c r="K826" i="2"/>
  <c r="S826" i="2" s="1"/>
  <c r="K827" i="2"/>
  <c r="S827" i="2" s="1"/>
  <c r="K828" i="2"/>
  <c r="S828" i="2" s="1"/>
  <c r="K829" i="2"/>
  <c r="S829" i="2" s="1"/>
  <c r="K830" i="2"/>
  <c r="S830" i="2" s="1"/>
  <c r="K831" i="2"/>
  <c r="S831" i="2" s="1"/>
  <c r="K832" i="2"/>
  <c r="S832" i="2" s="1"/>
  <c r="K833" i="2"/>
  <c r="S833" i="2" s="1"/>
  <c r="K834" i="2"/>
  <c r="S834" i="2" s="1"/>
  <c r="K835" i="2"/>
  <c r="S835" i="2" s="1"/>
  <c r="K836" i="2"/>
  <c r="S836" i="2" s="1"/>
  <c r="K837" i="2"/>
  <c r="S837" i="2" s="1"/>
  <c r="K838" i="2"/>
  <c r="S838" i="2" s="1"/>
  <c r="K839" i="2"/>
  <c r="S839" i="2" s="1"/>
  <c r="K840" i="2"/>
  <c r="S840" i="2" s="1"/>
  <c r="K841" i="2"/>
  <c r="S841" i="2" s="1"/>
  <c r="K842" i="2"/>
  <c r="S842" i="2" s="1"/>
  <c r="K843" i="2"/>
  <c r="S843" i="2" s="1"/>
  <c r="K844" i="2"/>
  <c r="S844" i="2" s="1"/>
  <c r="K845" i="2"/>
  <c r="S845" i="2" s="1"/>
  <c r="K846" i="2"/>
  <c r="S846" i="2" s="1"/>
  <c r="K847" i="2"/>
  <c r="S847" i="2" s="1"/>
  <c r="K848" i="2"/>
  <c r="S848" i="2" s="1"/>
  <c r="K849" i="2"/>
  <c r="S849" i="2" s="1"/>
  <c r="K850" i="2"/>
  <c r="S850" i="2" s="1"/>
  <c r="K851" i="2"/>
  <c r="S851" i="2" s="1"/>
  <c r="K852" i="2"/>
  <c r="S852" i="2" s="1"/>
  <c r="K853" i="2"/>
  <c r="S853" i="2" s="1"/>
  <c r="K854" i="2"/>
  <c r="S854" i="2" s="1"/>
  <c r="K855" i="2"/>
  <c r="S855" i="2" s="1"/>
  <c r="K856" i="2"/>
  <c r="S856" i="2" s="1"/>
  <c r="K857" i="2"/>
  <c r="S857" i="2" s="1"/>
  <c r="K858" i="2"/>
  <c r="S858" i="2" s="1"/>
  <c r="K859" i="2"/>
  <c r="S859" i="2" s="1"/>
  <c r="K860" i="2"/>
  <c r="S860" i="2" s="1"/>
  <c r="K861" i="2"/>
  <c r="S861" i="2" s="1"/>
  <c r="K862" i="2"/>
  <c r="S862" i="2" s="1"/>
  <c r="K863" i="2"/>
  <c r="S863" i="2" s="1"/>
  <c r="K864" i="2"/>
  <c r="S864" i="2" s="1"/>
  <c r="K865" i="2"/>
  <c r="S865" i="2" s="1"/>
  <c r="K866" i="2"/>
  <c r="S866" i="2" s="1"/>
  <c r="K867" i="2"/>
  <c r="S867" i="2" s="1"/>
  <c r="K868" i="2"/>
  <c r="S868" i="2" s="1"/>
  <c r="K869" i="2"/>
  <c r="S869" i="2" s="1"/>
  <c r="K870" i="2"/>
  <c r="S870" i="2" s="1"/>
  <c r="K871" i="2"/>
  <c r="S871" i="2" s="1"/>
  <c r="K872" i="2"/>
  <c r="S872" i="2" s="1"/>
  <c r="K873" i="2"/>
  <c r="S873" i="2" s="1"/>
  <c r="K874" i="2"/>
  <c r="S874" i="2" s="1"/>
  <c r="K875" i="2"/>
  <c r="S875" i="2" s="1"/>
  <c r="K876" i="2"/>
  <c r="S876" i="2" s="1"/>
  <c r="K877" i="2"/>
  <c r="S877" i="2" s="1"/>
  <c r="K878" i="2"/>
  <c r="S878" i="2" s="1"/>
  <c r="K879" i="2"/>
  <c r="S879" i="2" s="1"/>
  <c r="K880" i="2"/>
  <c r="S880" i="2" s="1"/>
  <c r="K881" i="2"/>
  <c r="S881" i="2" s="1"/>
  <c r="K882" i="2"/>
  <c r="S882" i="2" s="1"/>
  <c r="K883" i="2"/>
  <c r="S883" i="2" s="1"/>
  <c r="K884" i="2"/>
  <c r="S884" i="2" s="1"/>
  <c r="K885" i="2"/>
  <c r="S885" i="2" s="1"/>
  <c r="K886" i="2"/>
  <c r="S886" i="2" s="1"/>
  <c r="K887" i="2"/>
  <c r="S887" i="2" s="1"/>
  <c r="K888" i="2"/>
  <c r="S888" i="2" s="1"/>
  <c r="K889" i="2"/>
  <c r="S889" i="2" s="1"/>
  <c r="K890" i="2"/>
  <c r="S890" i="2" s="1"/>
  <c r="K891" i="2"/>
  <c r="S891" i="2" s="1"/>
  <c r="K892" i="2"/>
  <c r="S892" i="2" s="1"/>
  <c r="K893" i="2"/>
  <c r="S893" i="2" s="1"/>
  <c r="K894" i="2"/>
  <c r="S894" i="2" s="1"/>
  <c r="K895" i="2"/>
  <c r="S895" i="2" s="1"/>
  <c r="K896" i="2"/>
  <c r="S896" i="2" s="1"/>
  <c r="K897" i="2"/>
  <c r="S897" i="2" s="1"/>
  <c r="K898" i="2"/>
  <c r="S898" i="2" s="1"/>
  <c r="K899" i="2"/>
  <c r="S899" i="2" s="1"/>
  <c r="K900" i="2"/>
  <c r="S900" i="2" s="1"/>
  <c r="K901" i="2"/>
  <c r="S901" i="2" s="1"/>
  <c r="K902" i="2"/>
  <c r="S902" i="2" s="1"/>
  <c r="K903" i="2"/>
  <c r="S903" i="2" s="1"/>
  <c r="K904" i="2"/>
  <c r="S904" i="2" s="1"/>
  <c r="K905" i="2"/>
  <c r="S905" i="2" s="1"/>
  <c r="K906" i="2"/>
  <c r="S906" i="2" s="1"/>
  <c r="K907" i="2"/>
  <c r="S907" i="2" s="1"/>
  <c r="K908" i="2"/>
  <c r="S908" i="2" s="1"/>
  <c r="K909" i="2"/>
  <c r="S909" i="2" s="1"/>
  <c r="K910" i="2"/>
  <c r="S910" i="2" s="1"/>
  <c r="K911" i="2"/>
  <c r="S911" i="2" s="1"/>
  <c r="K912" i="2"/>
  <c r="S912" i="2" s="1"/>
  <c r="K913" i="2"/>
  <c r="S913" i="2" s="1"/>
  <c r="K914" i="2"/>
  <c r="S914" i="2" s="1"/>
  <c r="K915" i="2"/>
  <c r="S915" i="2" s="1"/>
  <c r="K916" i="2"/>
  <c r="S916" i="2" s="1"/>
  <c r="K917" i="2"/>
  <c r="S917" i="2" s="1"/>
  <c r="K918" i="2"/>
  <c r="S918" i="2" s="1"/>
  <c r="K919" i="2"/>
  <c r="S919" i="2" s="1"/>
  <c r="K920" i="2"/>
  <c r="S920" i="2" s="1"/>
  <c r="K921" i="2"/>
  <c r="S921" i="2" s="1"/>
  <c r="K922" i="2"/>
  <c r="S922" i="2" s="1"/>
  <c r="K923" i="2"/>
  <c r="S923" i="2" s="1"/>
  <c r="K924" i="2"/>
  <c r="S924" i="2" s="1"/>
  <c r="K925" i="2"/>
  <c r="S925" i="2" s="1"/>
  <c r="K926" i="2"/>
  <c r="S926" i="2" s="1"/>
  <c r="K927" i="2"/>
  <c r="S927" i="2" s="1"/>
  <c r="K928" i="2"/>
  <c r="S928" i="2" s="1"/>
  <c r="K929" i="2"/>
  <c r="S929" i="2" s="1"/>
  <c r="K930" i="2"/>
  <c r="S930" i="2" s="1"/>
  <c r="K931" i="2"/>
  <c r="S931" i="2" s="1"/>
  <c r="K932" i="2"/>
  <c r="S932" i="2" s="1"/>
  <c r="K933" i="2"/>
  <c r="S933" i="2" s="1"/>
  <c r="K934" i="2"/>
  <c r="S934" i="2" s="1"/>
  <c r="K935" i="2"/>
  <c r="S935" i="2" s="1"/>
  <c r="K936" i="2"/>
  <c r="S936" i="2" s="1"/>
  <c r="K937" i="2"/>
  <c r="S937" i="2" s="1"/>
  <c r="K938" i="2"/>
  <c r="S938" i="2" s="1"/>
  <c r="K939" i="2"/>
  <c r="S939" i="2" s="1"/>
  <c r="K940" i="2"/>
  <c r="S940" i="2" s="1"/>
  <c r="K941" i="2"/>
  <c r="S941" i="2" s="1"/>
  <c r="K942" i="2"/>
  <c r="S942" i="2" s="1"/>
  <c r="K943" i="2"/>
  <c r="S943" i="2" s="1"/>
  <c r="K944" i="2"/>
  <c r="S944" i="2" s="1"/>
  <c r="K945" i="2"/>
  <c r="S945" i="2" s="1"/>
  <c r="K946" i="2"/>
  <c r="S946" i="2" s="1"/>
  <c r="K947" i="2"/>
  <c r="S947" i="2" s="1"/>
  <c r="K948" i="2"/>
  <c r="S948" i="2" s="1"/>
  <c r="K949" i="2"/>
  <c r="S949" i="2" s="1"/>
  <c r="K950" i="2"/>
  <c r="S950" i="2" s="1"/>
  <c r="K951" i="2"/>
  <c r="S951" i="2" s="1"/>
  <c r="K952" i="2"/>
  <c r="S952" i="2" s="1"/>
  <c r="K953" i="2"/>
  <c r="S953" i="2" s="1"/>
  <c r="K954" i="2"/>
  <c r="S954" i="2" s="1"/>
  <c r="K955" i="2"/>
  <c r="S955" i="2" s="1"/>
  <c r="K956" i="2"/>
  <c r="S956" i="2" s="1"/>
  <c r="K957" i="2"/>
  <c r="S957" i="2" s="1"/>
  <c r="K958" i="2"/>
  <c r="S958" i="2" s="1"/>
  <c r="K959" i="2"/>
  <c r="S959" i="2" s="1"/>
  <c r="K960" i="2"/>
  <c r="S960" i="2" s="1"/>
  <c r="K961" i="2"/>
  <c r="S961" i="2" s="1"/>
  <c r="K962" i="2"/>
  <c r="S962" i="2" s="1"/>
  <c r="K963" i="2"/>
  <c r="S963" i="2" s="1"/>
  <c r="K964" i="2"/>
  <c r="S964" i="2" s="1"/>
  <c r="K965" i="2"/>
  <c r="S965" i="2" s="1"/>
  <c r="K966" i="2"/>
  <c r="S966" i="2" s="1"/>
  <c r="K967" i="2"/>
  <c r="S967" i="2" s="1"/>
  <c r="K968" i="2"/>
  <c r="S968" i="2" s="1"/>
  <c r="K969" i="2"/>
  <c r="S969" i="2" s="1"/>
  <c r="K970" i="2"/>
  <c r="S970" i="2" s="1"/>
  <c r="K971" i="2"/>
  <c r="S971" i="2" s="1"/>
  <c r="K972" i="2"/>
  <c r="S972" i="2" s="1"/>
  <c r="K973" i="2"/>
  <c r="S973" i="2" s="1"/>
  <c r="K974" i="2"/>
  <c r="S974" i="2" s="1"/>
  <c r="K975" i="2"/>
  <c r="S975" i="2" s="1"/>
  <c r="K976" i="2"/>
  <c r="S976" i="2" s="1"/>
  <c r="K977" i="2"/>
  <c r="S977" i="2" s="1"/>
  <c r="K978" i="2"/>
  <c r="S978" i="2" s="1"/>
  <c r="K979" i="2"/>
  <c r="S979" i="2" s="1"/>
  <c r="K980" i="2"/>
  <c r="S980" i="2" s="1"/>
  <c r="K981" i="2"/>
  <c r="S981" i="2" s="1"/>
  <c r="K982" i="2"/>
  <c r="S982" i="2" s="1"/>
  <c r="K983" i="2"/>
  <c r="S983" i="2" s="1"/>
  <c r="K984" i="2"/>
  <c r="S984" i="2" s="1"/>
  <c r="K985" i="2"/>
  <c r="S985" i="2" s="1"/>
  <c r="K986" i="2"/>
  <c r="S986" i="2" s="1"/>
  <c r="K987" i="2"/>
  <c r="S987" i="2" s="1"/>
  <c r="K988" i="2"/>
  <c r="S988" i="2" s="1"/>
  <c r="K989" i="2"/>
  <c r="S989" i="2" s="1"/>
  <c r="K990" i="2"/>
  <c r="S990" i="2" s="1"/>
  <c r="K991" i="2"/>
  <c r="S991" i="2" s="1"/>
  <c r="K992" i="2"/>
  <c r="S992" i="2" s="1"/>
  <c r="K993" i="2"/>
  <c r="S993" i="2" s="1"/>
  <c r="K994" i="2"/>
  <c r="S994" i="2" s="1"/>
  <c r="K995" i="2"/>
  <c r="S995" i="2" s="1"/>
  <c r="K996" i="2"/>
  <c r="S996" i="2" s="1"/>
  <c r="K997" i="2"/>
  <c r="S997" i="2" s="1"/>
  <c r="K998" i="2"/>
  <c r="S998" i="2" s="1"/>
  <c r="K999" i="2"/>
  <c r="S999" i="2" s="1"/>
  <c r="K1000" i="2"/>
  <c r="S1000" i="2" s="1"/>
  <c r="K1001" i="2"/>
  <c r="S1001" i="2" s="1"/>
  <c r="K1002" i="2"/>
  <c r="S1002" i="2" s="1"/>
  <c r="K1003" i="2"/>
  <c r="S1003" i="2" s="1"/>
  <c r="K1004" i="2"/>
  <c r="S1004" i="2" s="1"/>
  <c r="K1005" i="2"/>
  <c r="S1005" i="2" s="1"/>
  <c r="K1006" i="2"/>
  <c r="S1006" i="2" s="1"/>
  <c r="K1007" i="2"/>
  <c r="S1007" i="2" s="1"/>
  <c r="K1008" i="2"/>
  <c r="S1008" i="2" s="1"/>
  <c r="K1009" i="2"/>
  <c r="S1009" i="2" s="1"/>
  <c r="K1010" i="2"/>
  <c r="S1010" i="2" s="1"/>
  <c r="K1011" i="2"/>
  <c r="S1011" i="2" s="1"/>
  <c r="K1012" i="2"/>
  <c r="S1012" i="2" s="1"/>
  <c r="K1013" i="2"/>
  <c r="S1013" i="2" s="1"/>
  <c r="K1014" i="2"/>
  <c r="S1014" i="2" s="1"/>
  <c r="K1015" i="2"/>
  <c r="S1015" i="2" s="1"/>
  <c r="K1016" i="2"/>
  <c r="S1016" i="2" s="1"/>
  <c r="K1017" i="2"/>
  <c r="S1017" i="2" s="1"/>
  <c r="K1018" i="2"/>
  <c r="S1018" i="2" s="1"/>
  <c r="K1019" i="2"/>
  <c r="S1019" i="2" s="1"/>
  <c r="K1020" i="2"/>
  <c r="S1020" i="2" s="1"/>
  <c r="K1021" i="2"/>
  <c r="S1021" i="2" s="1"/>
  <c r="K1022" i="2"/>
  <c r="S1022" i="2" s="1"/>
  <c r="K1023" i="2"/>
  <c r="S1023" i="2" s="1"/>
  <c r="K1024" i="2"/>
  <c r="S1024" i="2" s="1"/>
  <c r="K1025" i="2"/>
  <c r="S1025" i="2" s="1"/>
  <c r="K1026" i="2"/>
  <c r="S1026" i="2" s="1"/>
  <c r="K1027" i="2"/>
  <c r="S1027" i="2" s="1"/>
  <c r="K1028" i="2"/>
  <c r="S1028" i="2" s="1"/>
  <c r="K1029" i="2"/>
  <c r="S1029" i="2" s="1"/>
  <c r="K1030" i="2"/>
  <c r="S1030" i="2" s="1"/>
  <c r="K1031" i="2"/>
  <c r="S1031" i="2" s="1"/>
  <c r="K1032" i="2"/>
  <c r="S1032" i="2" s="1"/>
  <c r="K1033" i="2"/>
  <c r="S1033" i="2" s="1"/>
  <c r="K1034" i="2"/>
  <c r="S1034" i="2" s="1"/>
  <c r="K1035" i="2"/>
  <c r="S1035" i="2" s="1"/>
  <c r="K1036" i="2"/>
  <c r="S1036" i="2" s="1"/>
  <c r="K1037" i="2"/>
  <c r="S1037" i="2" s="1"/>
  <c r="K1038" i="2"/>
  <c r="S1038" i="2" s="1"/>
  <c r="K1039" i="2"/>
  <c r="S1039" i="2" s="1"/>
  <c r="K1040" i="2"/>
  <c r="S1040" i="2" s="1"/>
  <c r="K1041" i="2"/>
  <c r="S1041" i="2" s="1"/>
  <c r="K1042" i="2"/>
  <c r="S1042" i="2" s="1"/>
  <c r="K1043" i="2"/>
  <c r="S1043" i="2" s="1"/>
  <c r="K1044" i="2"/>
  <c r="S1044" i="2" s="1"/>
  <c r="K1045" i="2"/>
  <c r="S1045" i="2" s="1"/>
  <c r="K1046" i="2"/>
  <c r="S1046" i="2" s="1"/>
  <c r="K1047" i="2"/>
  <c r="S1047" i="2" s="1"/>
  <c r="K1048" i="2"/>
  <c r="S1048" i="2" s="1"/>
  <c r="K1049" i="2"/>
  <c r="S1049" i="2" s="1"/>
  <c r="K1050" i="2"/>
  <c r="S1050" i="2" s="1"/>
  <c r="K1051" i="2"/>
  <c r="S1051" i="2" s="1"/>
  <c r="K1052" i="2"/>
  <c r="S1052" i="2" s="1"/>
  <c r="K1053" i="2"/>
  <c r="S1053" i="2" s="1"/>
  <c r="K1054" i="2"/>
  <c r="S1054" i="2" s="1"/>
  <c r="K1055" i="2"/>
  <c r="S1055" i="2" s="1"/>
  <c r="K1056" i="2"/>
  <c r="S1056" i="2" s="1"/>
  <c r="K1057" i="2"/>
  <c r="S1057" i="2" s="1"/>
  <c r="K1058" i="2"/>
  <c r="S1058" i="2" s="1"/>
  <c r="K1059" i="2"/>
  <c r="S1059" i="2" s="1"/>
  <c r="K1060" i="2"/>
  <c r="S1060" i="2" s="1"/>
  <c r="K1061" i="2"/>
  <c r="S1061" i="2" s="1"/>
  <c r="K1062" i="2"/>
  <c r="S1062" i="2" s="1"/>
  <c r="K1063" i="2"/>
  <c r="S1063" i="2" s="1"/>
  <c r="K1064" i="2"/>
  <c r="S1064" i="2" s="1"/>
  <c r="K1065" i="2"/>
  <c r="S1065" i="2" s="1"/>
  <c r="K1066" i="2"/>
  <c r="S1066" i="2" s="1"/>
  <c r="K1067" i="2"/>
  <c r="S1067" i="2" s="1"/>
  <c r="K1068" i="2"/>
  <c r="S1068" i="2" s="1"/>
  <c r="K1069" i="2"/>
  <c r="S1069" i="2" s="1"/>
  <c r="K1070" i="2"/>
  <c r="S1070" i="2" s="1"/>
  <c r="K1071" i="2"/>
  <c r="S1071" i="2" s="1"/>
  <c r="K1072" i="2"/>
  <c r="S1072" i="2" s="1"/>
  <c r="K1073" i="2"/>
  <c r="S1073" i="2" s="1"/>
  <c r="K1074" i="2"/>
  <c r="S1074" i="2" s="1"/>
  <c r="K1075" i="2"/>
  <c r="S1075" i="2" s="1"/>
  <c r="K1076" i="2"/>
  <c r="S1076" i="2" s="1"/>
  <c r="K1077" i="2"/>
  <c r="S1077" i="2" s="1"/>
  <c r="K1078" i="2"/>
  <c r="S1078" i="2" s="1"/>
  <c r="K1079" i="2"/>
  <c r="S1079" i="2" s="1"/>
  <c r="K1080" i="2"/>
  <c r="S1080" i="2" s="1"/>
  <c r="K1081" i="2"/>
  <c r="S1081" i="2" s="1"/>
  <c r="K1082" i="2"/>
  <c r="S1082" i="2" s="1"/>
  <c r="K1083" i="2"/>
  <c r="S1083" i="2" s="1"/>
  <c r="K1084" i="2"/>
  <c r="S1084" i="2" s="1"/>
  <c r="K1085" i="2"/>
  <c r="S1085" i="2" s="1"/>
  <c r="K1086" i="2"/>
  <c r="S1086" i="2" s="1"/>
  <c r="K1087" i="2"/>
  <c r="S1087" i="2" s="1"/>
  <c r="K1088" i="2"/>
  <c r="S1088" i="2" s="1"/>
  <c r="K1089" i="2"/>
  <c r="S1089" i="2" s="1"/>
  <c r="K1090" i="2"/>
  <c r="S1090" i="2" s="1"/>
  <c r="K1091" i="2"/>
  <c r="S1091" i="2" s="1"/>
  <c r="K1092" i="2"/>
  <c r="S1092" i="2" s="1"/>
  <c r="K1093" i="2"/>
  <c r="S1093" i="2" s="1"/>
  <c r="K1094" i="2"/>
  <c r="S1094" i="2" s="1"/>
  <c r="K1095" i="2"/>
  <c r="S1095" i="2" s="1"/>
  <c r="K1096" i="2"/>
  <c r="S1096" i="2" s="1"/>
  <c r="K1097" i="2"/>
  <c r="S1097" i="2" s="1"/>
  <c r="K1098" i="2"/>
  <c r="S1098" i="2" s="1"/>
  <c r="K1099" i="2"/>
  <c r="S1099" i="2" s="1"/>
  <c r="K1100" i="2"/>
  <c r="S1100" i="2" s="1"/>
  <c r="K1101" i="2"/>
  <c r="S1101" i="2" s="1"/>
  <c r="K1102" i="2"/>
  <c r="S1102" i="2" s="1"/>
  <c r="K1103" i="2"/>
  <c r="S1103" i="2" s="1"/>
  <c r="K1104" i="2"/>
  <c r="S1104" i="2" s="1"/>
  <c r="K1105" i="2"/>
  <c r="S1105" i="2" s="1"/>
  <c r="K1106" i="2"/>
  <c r="S1106" i="2" s="1"/>
  <c r="K1107" i="2"/>
  <c r="S1107" i="2" s="1"/>
  <c r="K1108" i="2"/>
  <c r="S1108" i="2" s="1"/>
  <c r="K1109" i="2"/>
  <c r="S1109" i="2" s="1"/>
  <c r="K1110" i="2"/>
  <c r="S1110" i="2" s="1"/>
  <c r="K1111" i="2"/>
  <c r="S1111" i="2" s="1"/>
  <c r="K1112" i="2"/>
  <c r="S1112" i="2" s="1"/>
  <c r="K1113" i="2"/>
  <c r="S1113" i="2" s="1"/>
  <c r="K1114" i="2"/>
  <c r="S1114" i="2" s="1"/>
  <c r="K1115" i="2"/>
  <c r="S1115" i="2" s="1"/>
  <c r="K1116" i="2"/>
  <c r="S1116" i="2" s="1"/>
  <c r="K1117" i="2"/>
  <c r="S1117" i="2" s="1"/>
  <c r="K1118" i="2"/>
  <c r="S1118" i="2" s="1"/>
  <c r="K1119" i="2"/>
  <c r="S1119" i="2" s="1"/>
  <c r="K1120" i="2"/>
  <c r="S1120" i="2" s="1"/>
  <c r="K1121" i="2"/>
  <c r="S1121" i="2" s="1"/>
  <c r="K1122" i="2"/>
  <c r="S1122" i="2" s="1"/>
  <c r="K1123" i="2"/>
  <c r="S1123" i="2" s="1"/>
  <c r="K1124" i="2"/>
  <c r="S1124" i="2" s="1"/>
  <c r="K1125" i="2"/>
  <c r="S1125" i="2" s="1"/>
  <c r="K1126" i="2"/>
  <c r="S1126" i="2" s="1"/>
  <c r="K1127" i="2"/>
  <c r="S1127" i="2" s="1"/>
  <c r="K1128" i="2"/>
  <c r="S1128" i="2" s="1"/>
  <c r="K1129" i="2"/>
  <c r="S1129" i="2" s="1"/>
  <c r="K1130" i="2"/>
  <c r="S1130" i="2" s="1"/>
  <c r="K1131" i="2"/>
  <c r="S1131" i="2" s="1"/>
  <c r="K1132" i="2"/>
  <c r="S1132" i="2" s="1"/>
  <c r="K1133" i="2"/>
  <c r="S1133" i="2" s="1"/>
  <c r="K1134" i="2"/>
  <c r="S1134" i="2" s="1"/>
  <c r="K1135" i="2"/>
  <c r="S1135" i="2" s="1"/>
  <c r="K1136" i="2"/>
  <c r="S1136" i="2" s="1"/>
  <c r="K1137" i="2"/>
  <c r="S1137" i="2" s="1"/>
  <c r="K1138" i="2"/>
  <c r="S1138" i="2" s="1"/>
  <c r="K1139" i="2"/>
  <c r="S1139" i="2" s="1"/>
  <c r="K1140" i="2"/>
  <c r="S1140" i="2" s="1"/>
  <c r="K1141" i="2"/>
  <c r="S1141" i="2" s="1"/>
  <c r="K1142" i="2"/>
  <c r="S1142" i="2" s="1"/>
  <c r="K1143" i="2"/>
  <c r="S1143" i="2" s="1"/>
  <c r="K1144" i="2"/>
  <c r="S1144" i="2" s="1"/>
  <c r="K1145" i="2"/>
  <c r="S1145" i="2" s="1"/>
  <c r="K1146" i="2"/>
  <c r="S1146" i="2" s="1"/>
  <c r="K1147" i="2"/>
  <c r="S1147" i="2" s="1"/>
  <c r="K1148" i="2"/>
  <c r="S1148" i="2" s="1"/>
  <c r="K1149" i="2"/>
  <c r="S1149" i="2" s="1"/>
  <c r="K1150" i="2"/>
  <c r="S1150" i="2" s="1"/>
  <c r="K1151" i="2"/>
  <c r="S1151" i="2" s="1"/>
  <c r="K1152" i="2"/>
  <c r="S1152" i="2" s="1"/>
  <c r="K1153" i="2"/>
  <c r="S1153" i="2" s="1"/>
  <c r="K1154" i="2"/>
  <c r="S1154" i="2" s="1"/>
  <c r="K1155" i="2"/>
  <c r="S1155" i="2" s="1"/>
  <c r="K1156" i="2"/>
  <c r="S1156" i="2" s="1"/>
  <c r="K1157" i="2"/>
  <c r="S1157" i="2" s="1"/>
  <c r="K1158" i="2"/>
  <c r="S1158" i="2" s="1"/>
  <c r="K1159" i="2"/>
  <c r="S1159" i="2" s="1"/>
  <c r="K1160" i="2"/>
  <c r="S1160" i="2" s="1"/>
  <c r="K1161" i="2"/>
  <c r="S1161" i="2" s="1"/>
  <c r="K1162" i="2"/>
  <c r="S1162" i="2" s="1"/>
  <c r="K1163" i="2"/>
  <c r="S1163" i="2" s="1"/>
  <c r="K1164" i="2"/>
  <c r="S1164" i="2" s="1"/>
  <c r="K1165" i="2"/>
  <c r="S1165" i="2" s="1"/>
  <c r="K1166" i="2"/>
  <c r="S1166" i="2" s="1"/>
  <c r="K1167" i="2"/>
  <c r="S1167" i="2" s="1"/>
  <c r="K1168" i="2"/>
  <c r="S1168" i="2" s="1"/>
  <c r="K1169" i="2"/>
  <c r="S1169" i="2" s="1"/>
  <c r="K1170" i="2"/>
  <c r="S1170" i="2" s="1"/>
  <c r="K1171" i="2"/>
  <c r="S1171" i="2" s="1"/>
  <c r="K1172" i="2"/>
  <c r="S1172" i="2" s="1"/>
  <c r="K1173" i="2"/>
  <c r="S1173" i="2" s="1"/>
  <c r="K1174" i="2"/>
  <c r="S1174" i="2" s="1"/>
  <c r="K1175" i="2"/>
  <c r="S1175" i="2" s="1"/>
  <c r="K1176" i="2"/>
  <c r="S1176" i="2" s="1"/>
  <c r="K1177" i="2"/>
  <c r="S1177" i="2" s="1"/>
  <c r="K1178" i="2"/>
  <c r="S1178" i="2" s="1"/>
  <c r="K1179" i="2"/>
  <c r="S1179" i="2" s="1"/>
  <c r="K1180" i="2"/>
  <c r="S1180" i="2" s="1"/>
  <c r="K1181" i="2"/>
  <c r="S1181" i="2" s="1"/>
  <c r="K1182" i="2"/>
  <c r="S1182" i="2" s="1"/>
  <c r="K1183" i="2"/>
  <c r="S1183" i="2" s="1"/>
  <c r="K1184" i="2"/>
  <c r="S1184" i="2" s="1"/>
  <c r="K1185" i="2"/>
  <c r="S1185" i="2" s="1"/>
  <c r="K1186" i="2"/>
  <c r="S1186" i="2" s="1"/>
  <c r="K1187" i="2"/>
  <c r="S1187" i="2" s="1"/>
  <c r="K1188" i="2"/>
  <c r="S1188" i="2" s="1"/>
  <c r="K1189" i="2"/>
  <c r="S1189" i="2" s="1"/>
  <c r="K1190" i="2"/>
  <c r="S1190" i="2" s="1"/>
  <c r="K1191" i="2"/>
  <c r="S1191" i="2" s="1"/>
  <c r="K1192" i="2"/>
  <c r="S1192" i="2" s="1"/>
  <c r="K1193" i="2"/>
  <c r="S1193" i="2" s="1"/>
  <c r="K1194" i="2"/>
  <c r="S1194" i="2" s="1"/>
  <c r="K1195" i="2"/>
  <c r="S1195" i="2" s="1"/>
  <c r="K1196" i="2"/>
  <c r="S1196" i="2" s="1"/>
  <c r="K1197" i="2"/>
  <c r="S1197" i="2" s="1"/>
  <c r="K1198" i="2"/>
  <c r="S1198" i="2" s="1"/>
  <c r="K1199" i="2"/>
  <c r="S1199" i="2" s="1"/>
  <c r="K1200" i="2"/>
  <c r="S1200" i="2" s="1"/>
  <c r="K1201" i="2"/>
  <c r="S1201" i="2" s="1"/>
  <c r="K1202" i="2"/>
  <c r="S1202" i="2" s="1"/>
  <c r="K1203" i="2"/>
  <c r="S1203" i="2" s="1"/>
  <c r="K1204" i="2"/>
  <c r="S1204" i="2" s="1"/>
  <c r="K1205" i="2"/>
  <c r="S1205" i="2" s="1"/>
  <c r="K1206" i="2"/>
  <c r="S1206" i="2" s="1"/>
  <c r="K1207" i="2"/>
  <c r="S1207" i="2" s="1"/>
  <c r="K1208" i="2"/>
  <c r="S1208" i="2" s="1"/>
  <c r="K1209" i="2"/>
  <c r="S1209" i="2" s="1"/>
  <c r="K1210" i="2"/>
  <c r="S1210" i="2" s="1"/>
  <c r="K1211" i="2"/>
  <c r="S1211" i="2" s="1"/>
  <c r="K1212" i="2"/>
  <c r="S1212" i="2" s="1"/>
  <c r="K1213" i="2"/>
  <c r="S1213" i="2" s="1"/>
  <c r="K1214" i="2"/>
  <c r="S1214" i="2" s="1"/>
  <c r="K1215" i="2"/>
  <c r="S1215" i="2" s="1"/>
  <c r="K1216" i="2"/>
  <c r="S1216" i="2" s="1"/>
  <c r="K1217" i="2"/>
  <c r="S1217" i="2" s="1"/>
  <c r="K1218" i="2"/>
  <c r="S1218" i="2" s="1"/>
  <c r="K1219" i="2"/>
  <c r="S1219" i="2" s="1"/>
  <c r="K1220" i="2"/>
  <c r="S1220" i="2" s="1"/>
  <c r="K1221" i="2"/>
  <c r="S1221" i="2" s="1"/>
  <c r="K1222" i="2"/>
  <c r="S1222" i="2" s="1"/>
  <c r="K1223" i="2"/>
  <c r="S1223" i="2" s="1"/>
  <c r="K1224" i="2"/>
  <c r="S1224" i="2" s="1"/>
  <c r="K1225" i="2"/>
  <c r="S1225" i="2" s="1"/>
  <c r="K1226" i="2"/>
  <c r="S1226" i="2" s="1"/>
  <c r="K1227" i="2"/>
  <c r="S1227" i="2" s="1"/>
  <c r="K1228" i="2"/>
  <c r="S1228" i="2" s="1"/>
  <c r="K1229" i="2"/>
  <c r="S1229" i="2" s="1"/>
  <c r="K1230" i="2"/>
  <c r="S1230" i="2" s="1"/>
  <c r="K1231" i="2"/>
  <c r="S1231" i="2" s="1"/>
  <c r="K1232" i="2"/>
  <c r="S1232" i="2" s="1"/>
  <c r="K1233" i="2"/>
  <c r="S1233" i="2" s="1"/>
  <c r="K1234" i="2"/>
  <c r="S1234" i="2" s="1"/>
  <c r="K1235" i="2"/>
  <c r="S1235" i="2" s="1"/>
  <c r="K1236" i="2"/>
  <c r="S1236" i="2" s="1"/>
  <c r="K1237" i="2"/>
  <c r="S1237" i="2" s="1"/>
  <c r="K1238" i="2"/>
  <c r="S1238" i="2" s="1"/>
  <c r="K1239" i="2"/>
  <c r="S1239" i="2" s="1"/>
  <c r="K1240" i="2"/>
  <c r="S1240" i="2" s="1"/>
  <c r="K1241" i="2"/>
  <c r="S1241" i="2" s="1"/>
  <c r="K1242" i="2"/>
  <c r="K1243" i="2"/>
  <c r="K1244" i="2"/>
  <c r="K1245" i="2"/>
  <c r="K1246" i="2"/>
  <c r="K1247" i="2"/>
  <c r="K1248" i="2"/>
  <c r="K1249" i="2"/>
  <c r="K1250" i="2"/>
  <c r="K1251" i="2"/>
  <c r="K1252" i="2"/>
  <c r="S1252" i="2" s="1"/>
  <c r="K1253" i="2"/>
  <c r="S1253" i="2" s="1"/>
  <c r="K1254" i="2"/>
  <c r="S1254" i="2" s="1"/>
  <c r="K1255" i="2"/>
  <c r="S1255" i="2" s="1"/>
  <c r="K1256" i="2"/>
  <c r="S1256" i="2" s="1"/>
  <c r="K1257" i="2"/>
  <c r="S1257" i="2" s="1"/>
  <c r="K1258" i="2"/>
  <c r="S1258" i="2" s="1"/>
  <c r="K1259" i="2"/>
  <c r="S1259" i="2" s="1"/>
  <c r="K1260" i="2"/>
  <c r="S1260" i="2" s="1"/>
  <c r="K1261" i="2"/>
  <c r="S1261" i="2" s="1"/>
  <c r="K1262" i="2"/>
  <c r="S1262" i="2" s="1"/>
  <c r="K1263" i="2"/>
  <c r="S1263" i="2" s="1"/>
  <c r="K1264" i="2"/>
  <c r="S1264" i="2" s="1"/>
  <c r="K1265" i="2"/>
  <c r="S1265" i="2" s="1"/>
  <c r="K1266" i="2"/>
  <c r="S1266" i="2" s="1"/>
  <c r="K1267" i="2"/>
  <c r="S1267" i="2" s="1"/>
  <c r="K1268" i="2"/>
  <c r="S1268" i="2" s="1"/>
  <c r="K1269" i="2"/>
  <c r="S1269" i="2" s="1"/>
  <c r="K1270" i="2"/>
  <c r="S1270" i="2" s="1"/>
  <c r="K1271" i="2"/>
  <c r="S1271" i="2" s="1"/>
  <c r="K1272" i="2"/>
  <c r="S1272" i="2" s="1"/>
  <c r="K1273" i="2"/>
  <c r="K1274" i="2"/>
  <c r="K1275" i="2"/>
  <c r="S1275" i="2" s="1"/>
  <c r="K1276" i="2"/>
  <c r="K1277" i="2"/>
  <c r="K1278" i="2"/>
  <c r="S10" i="2"/>
  <c r="N1242" i="2" l="1"/>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39" i="2"/>
  <c r="N1240" i="2"/>
  <c r="N1241" i="2"/>
  <c r="D12" i="39" l="1"/>
  <c r="I12" i="39" s="1"/>
  <c r="D13" i="39"/>
  <c r="I13" i="39" s="1"/>
  <c r="D14" i="39"/>
  <c r="I14" i="39" s="1"/>
  <c r="D15" i="39"/>
  <c r="I15" i="39" s="1"/>
  <c r="D16" i="39"/>
  <c r="I16" i="39" s="1"/>
  <c r="D17" i="39"/>
  <c r="I17" i="39" s="1"/>
  <c r="D18" i="39"/>
  <c r="I18" i="39" s="1"/>
  <c r="D20" i="39"/>
  <c r="I20" i="39" s="1"/>
  <c r="D21" i="39"/>
  <c r="I21" i="39" s="1"/>
  <c r="D22" i="39"/>
  <c r="I22" i="39" s="1"/>
  <c r="D25" i="39"/>
  <c r="I25" i="39" s="1"/>
  <c r="D26" i="39"/>
  <c r="I26" i="39" s="1"/>
  <c r="D27" i="39"/>
  <c r="I27" i="39" s="1"/>
  <c r="D28" i="39"/>
  <c r="I28" i="39" s="1"/>
  <c r="D29" i="39"/>
  <c r="I29" i="39" s="1"/>
  <c r="D30" i="39"/>
  <c r="I30" i="39" s="1"/>
  <c r="D31" i="39"/>
  <c r="I31" i="39" s="1"/>
  <c r="D11" i="39"/>
  <c r="I11" i="39" l="1"/>
  <c r="I33" i="39" s="1"/>
  <c r="F11" i="39"/>
  <c r="F21" i="39"/>
  <c r="F31" i="39"/>
  <c r="F20" i="39"/>
  <c r="F30" i="39"/>
  <c r="F26" i="39"/>
  <c r="F29" i="39"/>
  <c r="F28" i="39"/>
  <c r="F27" i="39"/>
  <c r="F25" i="39"/>
  <c r="F22" i="39"/>
  <c r="F19" i="39"/>
  <c r="K11" i="39" l="1"/>
  <c r="K21" i="39"/>
  <c r="K29" i="39"/>
  <c r="K26" i="39"/>
  <c r="K25" i="39"/>
  <c r="K27" i="39"/>
  <c r="K30" i="39"/>
  <c r="K20" i="39"/>
  <c r="K28" i="39"/>
  <c r="K22" i="39"/>
  <c r="K31" i="39"/>
  <c r="K19" i="39"/>
  <c r="N218" i="2"/>
  <c r="N322" i="2"/>
  <c r="N323" i="2"/>
  <c r="N324" i="2"/>
  <c r="N328" i="2"/>
  <c r="N368" i="2"/>
  <c r="N434" i="2"/>
  <c r="N455" i="2"/>
  <c r="N458" i="2"/>
  <c r="N486" i="2"/>
  <c r="N487" i="2"/>
  <c r="N500" i="2"/>
  <c r="N531" i="2"/>
  <c r="N535" i="2"/>
  <c r="N613" i="2"/>
  <c r="N616" i="2"/>
  <c r="N640" i="2"/>
  <c r="N701" i="2"/>
  <c r="N740" i="2"/>
  <c r="N760" i="2"/>
  <c r="N762" i="2"/>
  <c r="N867" i="2"/>
  <c r="N873" i="2"/>
  <c r="N874" i="2"/>
  <c r="N911" i="2"/>
  <c r="N912" i="2"/>
  <c r="N949" i="2"/>
  <c r="N952" i="2"/>
  <c r="N959" i="2"/>
  <c r="N962" i="2"/>
  <c r="N986" i="2"/>
  <c r="N996" i="2"/>
  <c r="N997" i="2"/>
  <c r="N998" i="2"/>
  <c r="N999" i="2"/>
  <c r="N1131" i="2"/>
  <c r="N1132" i="2"/>
  <c r="N1133" i="2"/>
  <c r="N1134" i="2"/>
  <c r="N1135" i="2"/>
  <c r="N1148" i="2"/>
  <c r="N1151" i="2"/>
  <c r="N1153" i="2"/>
  <c r="N1159" i="2"/>
  <c r="N1168" i="2"/>
  <c r="N1175" i="2"/>
  <c r="N1177" i="2"/>
  <c r="N1191" i="2"/>
  <c r="N1195" i="2"/>
  <c r="N1207" i="2"/>
  <c r="N1236" i="2"/>
  <c r="N116" i="2"/>
  <c r="N117" i="2"/>
  <c r="N118" i="2"/>
  <c r="N137" i="2"/>
  <c r="N138" i="2"/>
  <c r="N175" i="2"/>
  <c r="N176" i="2"/>
  <c r="B4" i="41"/>
  <c r="B3" i="41"/>
  <c r="N807" i="2" l="1"/>
  <c r="N1146" i="2"/>
  <c r="B1" i="41"/>
  <c r="B2" i="41"/>
  <c r="N27" i="2"/>
  <c r="N72" i="2"/>
  <c r="N78" i="2"/>
  <c r="N97" i="2"/>
  <c r="N105" i="2"/>
  <c r="K52" i="38" l="1"/>
  <c r="K60" i="38" l="1"/>
  <c r="K59" i="38"/>
  <c r="K58" i="38"/>
  <c r="K57" i="38"/>
  <c r="K56" i="38"/>
  <c r="K55" i="38"/>
  <c r="K54" i="38"/>
  <c r="K53" i="38"/>
  <c r="K51" i="38"/>
  <c r="K50" i="38"/>
  <c r="F15" i="39"/>
  <c r="F16" i="39"/>
  <c r="F17" i="39"/>
  <c r="F18" i="39"/>
  <c r="K18" i="39" l="1"/>
  <c r="K16" i="39"/>
  <c r="K17" i="39"/>
  <c r="K15" i="39"/>
  <c r="B5" i="39"/>
  <c r="B6" i="39"/>
  <c r="B7" i="39"/>
  <c r="B8" i="39"/>
  <c r="B4" i="39"/>
  <c r="B3" i="39"/>
  <c r="A4" i="39"/>
  <c r="A5" i="39"/>
  <c r="A6" i="39"/>
  <c r="A7" i="39"/>
  <c r="A8" i="39"/>
  <c r="A3" i="39"/>
  <c r="F14" i="39"/>
  <c r="F13" i="39"/>
  <c r="F12" i="39"/>
  <c r="D33" i="39"/>
  <c r="B5" i="5"/>
  <c r="B6" i="5"/>
  <c r="B7" i="5"/>
  <c r="B8" i="5"/>
  <c r="B3" i="5"/>
  <c r="A4" i="5"/>
  <c r="A5" i="5"/>
  <c r="A6" i="5"/>
  <c r="A7" i="5"/>
  <c r="A8" i="5"/>
  <c r="A3" i="5"/>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P12" i="2" l="1"/>
  <c r="P20" i="2"/>
  <c r="P28" i="2"/>
  <c r="P36" i="2"/>
  <c r="P44" i="2"/>
  <c r="P52" i="2"/>
  <c r="P60" i="2"/>
  <c r="P68" i="2"/>
  <c r="P76" i="2"/>
  <c r="P84" i="2"/>
  <c r="P92" i="2"/>
  <c r="P100" i="2"/>
  <c r="P108" i="2"/>
  <c r="P116" i="2"/>
  <c r="P124" i="2"/>
  <c r="P132" i="2"/>
  <c r="P140" i="2"/>
  <c r="P148" i="2"/>
  <c r="P156" i="2"/>
  <c r="P164" i="2"/>
  <c r="P172" i="2"/>
  <c r="P180" i="2"/>
  <c r="P188" i="2"/>
  <c r="P196" i="2"/>
  <c r="P204" i="2"/>
  <c r="P212" i="2"/>
  <c r="P220" i="2"/>
  <c r="P228" i="2"/>
  <c r="P236" i="2"/>
  <c r="P244" i="2"/>
  <c r="P252" i="2"/>
  <c r="P260" i="2"/>
  <c r="P268" i="2"/>
  <c r="P276" i="2"/>
  <c r="P284" i="2"/>
  <c r="P292" i="2"/>
  <c r="P300" i="2"/>
  <c r="P308" i="2"/>
  <c r="P316" i="2"/>
  <c r="P324" i="2"/>
  <c r="P332" i="2"/>
  <c r="P340" i="2"/>
  <c r="P348" i="2"/>
  <c r="P356" i="2"/>
  <c r="P364" i="2"/>
  <c r="P372" i="2"/>
  <c r="P380" i="2"/>
  <c r="P388" i="2"/>
  <c r="P396" i="2"/>
  <c r="P404" i="2"/>
  <c r="P412" i="2"/>
  <c r="P420" i="2"/>
  <c r="P428" i="2"/>
  <c r="P436" i="2"/>
  <c r="P444" i="2"/>
  <c r="P452" i="2"/>
  <c r="P460" i="2"/>
  <c r="P468" i="2"/>
  <c r="P476" i="2"/>
  <c r="P484" i="2"/>
  <c r="P492" i="2"/>
  <c r="P500" i="2"/>
  <c r="P508" i="2"/>
  <c r="P516" i="2"/>
  <c r="P524" i="2"/>
  <c r="P532" i="2"/>
  <c r="P540" i="2"/>
  <c r="P548" i="2"/>
  <c r="P556" i="2"/>
  <c r="P564" i="2"/>
  <c r="P572" i="2"/>
  <c r="P580" i="2"/>
  <c r="P588" i="2"/>
  <c r="P596" i="2"/>
  <c r="P604" i="2"/>
  <c r="P612" i="2"/>
  <c r="P620" i="2"/>
  <c r="P628" i="2"/>
  <c r="P636" i="2"/>
  <c r="P644" i="2"/>
  <c r="P652" i="2"/>
  <c r="P660" i="2"/>
  <c r="P668" i="2"/>
  <c r="P676" i="2"/>
  <c r="P684" i="2"/>
  <c r="P13" i="2"/>
  <c r="P21" i="2"/>
  <c r="P29" i="2"/>
  <c r="P37" i="2"/>
  <c r="P45" i="2"/>
  <c r="P53" i="2"/>
  <c r="P61" i="2"/>
  <c r="P69" i="2"/>
  <c r="P77" i="2"/>
  <c r="P85" i="2"/>
  <c r="P93" i="2"/>
  <c r="P101" i="2"/>
  <c r="P109" i="2"/>
  <c r="P117" i="2"/>
  <c r="P125" i="2"/>
  <c r="P133" i="2"/>
  <c r="P141" i="2"/>
  <c r="P149" i="2"/>
  <c r="P157" i="2"/>
  <c r="P165" i="2"/>
  <c r="P173" i="2"/>
  <c r="P181" i="2"/>
  <c r="P189" i="2"/>
  <c r="P197" i="2"/>
  <c r="P205" i="2"/>
  <c r="P213" i="2"/>
  <c r="P221" i="2"/>
  <c r="P229" i="2"/>
  <c r="P237" i="2"/>
  <c r="P245" i="2"/>
  <c r="P253" i="2"/>
  <c r="P261" i="2"/>
  <c r="P269" i="2"/>
  <c r="P277" i="2"/>
  <c r="P285" i="2"/>
  <c r="P293" i="2"/>
  <c r="P301" i="2"/>
  <c r="P309" i="2"/>
  <c r="P317" i="2"/>
  <c r="P325" i="2"/>
  <c r="P333" i="2"/>
  <c r="P341" i="2"/>
  <c r="P349" i="2"/>
  <c r="P357" i="2"/>
  <c r="P365" i="2"/>
  <c r="P373" i="2"/>
  <c r="P381" i="2"/>
  <c r="P389" i="2"/>
  <c r="P397" i="2"/>
  <c r="P405" i="2"/>
  <c r="P413" i="2"/>
  <c r="P421" i="2"/>
  <c r="P429" i="2"/>
  <c r="P437" i="2"/>
  <c r="P445" i="2"/>
  <c r="P453" i="2"/>
  <c r="P461" i="2"/>
  <c r="P469" i="2"/>
  <c r="P477" i="2"/>
  <c r="P485" i="2"/>
  <c r="P493" i="2"/>
  <c r="P501" i="2"/>
  <c r="P509" i="2"/>
  <c r="P517" i="2"/>
  <c r="P525" i="2"/>
  <c r="P533" i="2"/>
  <c r="P541" i="2"/>
  <c r="P549" i="2"/>
  <c r="P557" i="2"/>
  <c r="P565" i="2"/>
  <c r="P573" i="2"/>
  <c r="P581" i="2"/>
  <c r="P589" i="2"/>
  <c r="P597" i="2"/>
  <c r="P605" i="2"/>
  <c r="P613" i="2"/>
  <c r="P621" i="2"/>
  <c r="P629" i="2"/>
  <c r="P637" i="2"/>
  <c r="P645" i="2"/>
  <c r="P653" i="2"/>
  <c r="P661" i="2"/>
  <c r="P669" i="2"/>
  <c r="P677" i="2"/>
  <c r="P685" i="2"/>
  <c r="P14" i="2"/>
  <c r="P22" i="2"/>
  <c r="P30" i="2"/>
  <c r="P38" i="2"/>
  <c r="P46" i="2"/>
  <c r="P54" i="2"/>
  <c r="P62" i="2"/>
  <c r="P70" i="2"/>
  <c r="P78" i="2"/>
  <c r="P86" i="2"/>
  <c r="P94" i="2"/>
  <c r="P102" i="2"/>
  <c r="P110" i="2"/>
  <c r="P118" i="2"/>
  <c r="P126" i="2"/>
  <c r="P134" i="2"/>
  <c r="P142" i="2"/>
  <c r="P150" i="2"/>
  <c r="P158" i="2"/>
  <c r="P166" i="2"/>
  <c r="P174" i="2"/>
  <c r="P182" i="2"/>
  <c r="P190" i="2"/>
  <c r="P198" i="2"/>
  <c r="P206" i="2"/>
  <c r="P214" i="2"/>
  <c r="P222" i="2"/>
  <c r="P230" i="2"/>
  <c r="P238" i="2"/>
  <c r="P246" i="2"/>
  <c r="P254" i="2"/>
  <c r="P262" i="2"/>
  <c r="P270" i="2"/>
  <c r="P278" i="2"/>
  <c r="P286" i="2"/>
  <c r="P294" i="2"/>
  <c r="P302" i="2"/>
  <c r="P310" i="2"/>
  <c r="P318" i="2"/>
  <c r="P326" i="2"/>
  <c r="P334" i="2"/>
  <c r="P342" i="2"/>
  <c r="P350" i="2"/>
  <c r="P358" i="2"/>
  <c r="P366" i="2"/>
  <c r="P374" i="2"/>
  <c r="P382" i="2"/>
  <c r="P390" i="2"/>
  <c r="P398" i="2"/>
  <c r="P406" i="2"/>
  <c r="P414" i="2"/>
  <c r="P422" i="2"/>
  <c r="P430" i="2"/>
  <c r="P438" i="2"/>
  <c r="P446" i="2"/>
  <c r="P454" i="2"/>
  <c r="P462" i="2"/>
  <c r="P470" i="2"/>
  <c r="P478" i="2"/>
  <c r="P486" i="2"/>
  <c r="P494" i="2"/>
  <c r="P502" i="2"/>
  <c r="P510" i="2"/>
  <c r="P518" i="2"/>
  <c r="P526" i="2"/>
  <c r="P534" i="2"/>
  <c r="P542" i="2"/>
  <c r="P550" i="2"/>
  <c r="P558" i="2"/>
  <c r="P566" i="2"/>
  <c r="P574" i="2"/>
  <c r="P582" i="2"/>
  <c r="P590" i="2"/>
  <c r="P598" i="2"/>
  <c r="P606" i="2"/>
  <c r="P614" i="2"/>
  <c r="P622" i="2"/>
  <c r="P630" i="2"/>
  <c r="P638" i="2"/>
  <c r="P646" i="2"/>
  <c r="P654" i="2"/>
  <c r="P662" i="2"/>
  <c r="P670" i="2"/>
  <c r="P678" i="2"/>
  <c r="P686" i="2"/>
  <c r="P15" i="2"/>
  <c r="P23" i="2"/>
  <c r="P31" i="2"/>
  <c r="P39" i="2"/>
  <c r="P47" i="2"/>
  <c r="P55" i="2"/>
  <c r="P63" i="2"/>
  <c r="P71" i="2"/>
  <c r="P79" i="2"/>
  <c r="P87" i="2"/>
  <c r="P95" i="2"/>
  <c r="P103" i="2"/>
  <c r="P111" i="2"/>
  <c r="P119" i="2"/>
  <c r="P127" i="2"/>
  <c r="P135" i="2"/>
  <c r="P143" i="2"/>
  <c r="P151" i="2"/>
  <c r="P159" i="2"/>
  <c r="P167" i="2"/>
  <c r="P175" i="2"/>
  <c r="P183" i="2"/>
  <c r="P191" i="2"/>
  <c r="P199" i="2"/>
  <c r="P207" i="2"/>
  <c r="P215" i="2"/>
  <c r="P223" i="2"/>
  <c r="P231" i="2"/>
  <c r="P239" i="2"/>
  <c r="P247" i="2"/>
  <c r="P255" i="2"/>
  <c r="P263" i="2"/>
  <c r="P271" i="2"/>
  <c r="P279" i="2"/>
  <c r="P287" i="2"/>
  <c r="P295" i="2"/>
  <c r="P303" i="2"/>
  <c r="P311" i="2"/>
  <c r="P319" i="2"/>
  <c r="P327" i="2"/>
  <c r="P335" i="2"/>
  <c r="P343" i="2"/>
  <c r="P351" i="2"/>
  <c r="P359" i="2"/>
  <c r="P367" i="2"/>
  <c r="P375" i="2"/>
  <c r="P383" i="2"/>
  <c r="P391" i="2"/>
  <c r="P399" i="2"/>
  <c r="P407" i="2"/>
  <c r="P415" i="2"/>
  <c r="P423" i="2"/>
  <c r="P431" i="2"/>
  <c r="P439" i="2"/>
  <c r="P447" i="2"/>
  <c r="P455" i="2"/>
  <c r="P463" i="2"/>
  <c r="P471" i="2"/>
  <c r="P479" i="2"/>
  <c r="P487" i="2"/>
  <c r="P495" i="2"/>
  <c r="P503" i="2"/>
  <c r="P511" i="2"/>
  <c r="P519" i="2"/>
  <c r="P527" i="2"/>
  <c r="P535" i="2"/>
  <c r="P543" i="2"/>
  <c r="P551" i="2"/>
  <c r="P559" i="2"/>
  <c r="P567" i="2"/>
  <c r="P575" i="2"/>
  <c r="P583" i="2"/>
  <c r="P591" i="2"/>
  <c r="P599" i="2"/>
  <c r="P607" i="2"/>
  <c r="P615" i="2"/>
  <c r="P623" i="2"/>
  <c r="P631" i="2"/>
  <c r="P639" i="2"/>
  <c r="P647" i="2"/>
  <c r="P655" i="2"/>
  <c r="P663" i="2"/>
  <c r="P671" i="2"/>
  <c r="P679" i="2"/>
  <c r="P687" i="2"/>
  <c r="P16" i="2"/>
  <c r="P24" i="2"/>
  <c r="P32" i="2"/>
  <c r="P40" i="2"/>
  <c r="P48" i="2"/>
  <c r="P56" i="2"/>
  <c r="P64" i="2"/>
  <c r="P72" i="2"/>
  <c r="P80" i="2"/>
  <c r="P88" i="2"/>
  <c r="P96" i="2"/>
  <c r="P104" i="2"/>
  <c r="P112" i="2"/>
  <c r="P120" i="2"/>
  <c r="P128" i="2"/>
  <c r="P136" i="2"/>
  <c r="P144" i="2"/>
  <c r="P152" i="2"/>
  <c r="P160" i="2"/>
  <c r="P168" i="2"/>
  <c r="P176" i="2"/>
  <c r="P184" i="2"/>
  <c r="P192" i="2"/>
  <c r="P200" i="2"/>
  <c r="P208" i="2"/>
  <c r="P216" i="2"/>
  <c r="P224" i="2"/>
  <c r="P232" i="2"/>
  <c r="P240" i="2"/>
  <c r="P248" i="2"/>
  <c r="P256" i="2"/>
  <c r="P264" i="2"/>
  <c r="P272" i="2"/>
  <c r="P280" i="2"/>
  <c r="P288" i="2"/>
  <c r="P296" i="2"/>
  <c r="P304" i="2"/>
  <c r="P312" i="2"/>
  <c r="P320" i="2"/>
  <c r="P328" i="2"/>
  <c r="P336" i="2"/>
  <c r="P344" i="2"/>
  <c r="P352" i="2"/>
  <c r="P360" i="2"/>
  <c r="P368" i="2"/>
  <c r="P376" i="2"/>
  <c r="P384" i="2"/>
  <c r="P392" i="2"/>
  <c r="P400" i="2"/>
  <c r="P408" i="2"/>
  <c r="P416" i="2"/>
  <c r="P424" i="2"/>
  <c r="P432" i="2"/>
  <c r="P440" i="2"/>
  <c r="P448" i="2"/>
  <c r="P456" i="2"/>
  <c r="P464" i="2"/>
  <c r="P472" i="2"/>
  <c r="P480" i="2"/>
  <c r="P488" i="2"/>
  <c r="P496" i="2"/>
  <c r="P504" i="2"/>
  <c r="P512" i="2"/>
  <c r="P520" i="2"/>
  <c r="P528" i="2"/>
  <c r="P536" i="2"/>
  <c r="P544" i="2"/>
  <c r="P552" i="2"/>
  <c r="P560" i="2"/>
  <c r="P568" i="2"/>
  <c r="P576" i="2"/>
  <c r="P584" i="2"/>
  <c r="P592" i="2"/>
  <c r="P600" i="2"/>
  <c r="P608" i="2"/>
  <c r="P616" i="2"/>
  <c r="P624" i="2"/>
  <c r="P632" i="2"/>
  <c r="P640" i="2"/>
  <c r="P648" i="2"/>
  <c r="P656" i="2"/>
  <c r="P664" i="2"/>
  <c r="P672" i="2"/>
  <c r="P680" i="2"/>
  <c r="P688" i="2"/>
  <c r="P11" i="2"/>
  <c r="P19" i="2"/>
  <c r="P27" i="2"/>
  <c r="P35" i="2"/>
  <c r="P43" i="2"/>
  <c r="P51" i="2"/>
  <c r="P59" i="2"/>
  <c r="P67" i="2"/>
  <c r="P75" i="2"/>
  <c r="P83" i="2"/>
  <c r="P91" i="2"/>
  <c r="P99" i="2"/>
  <c r="P107" i="2"/>
  <c r="P115" i="2"/>
  <c r="P123" i="2"/>
  <c r="P131" i="2"/>
  <c r="P139" i="2"/>
  <c r="P147" i="2"/>
  <c r="P155" i="2"/>
  <c r="P163" i="2"/>
  <c r="P171" i="2"/>
  <c r="P179" i="2"/>
  <c r="P187" i="2"/>
  <c r="P195" i="2"/>
  <c r="P203" i="2"/>
  <c r="P211" i="2"/>
  <c r="P219" i="2"/>
  <c r="P227" i="2"/>
  <c r="P235" i="2"/>
  <c r="P243" i="2"/>
  <c r="P251" i="2"/>
  <c r="P259" i="2"/>
  <c r="P267" i="2"/>
  <c r="P275" i="2"/>
  <c r="P283" i="2"/>
  <c r="P291" i="2"/>
  <c r="P299" i="2"/>
  <c r="P307" i="2"/>
  <c r="P315" i="2"/>
  <c r="P323" i="2"/>
  <c r="P331" i="2"/>
  <c r="P339" i="2"/>
  <c r="P347" i="2"/>
  <c r="P355" i="2"/>
  <c r="P363" i="2"/>
  <c r="P371" i="2"/>
  <c r="P379" i="2"/>
  <c r="P387" i="2"/>
  <c r="P395" i="2"/>
  <c r="P403" i="2"/>
  <c r="P411" i="2"/>
  <c r="P419" i="2"/>
  <c r="P427" i="2"/>
  <c r="P435" i="2"/>
  <c r="P443" i="2"/>
  <c r="P451" i="2"/>
  <c r="P459" i="2"/>
  <c r="P467" i="2"/>
  <c r="P475" i="2"/>
  <c r="P483" i="2"/>
  <c r="P491" i="2"/>
  <c r="P499" i="2"/>
  <c r="P507" i="2"/>
  <c r="P515" i="2"/>
  <c r="P523" i="2"/>
  <c r="P531" i="2"/>
  <c r="P539" i="2"/>
  <c r="P547" i="2"/>
  <c r="P555" i="2"/>
  <c r="P563" i="2"/>
  <c r="P571" i="2"/>
  <c r="P579" i="2"/>
  <c r="P587" i="2"/>
  <c r="P595" i="2"/>
  <c r="P603" i="2"/>
  <c r="P611" i="2"/>
  <c r="P619" i="2"/>
  <c r="P627" i="2"/>
  <c r="P635" i="2"/>
  <c r="P643" i="2"/>
  <c r="P651" i="2"/>
  <c r="P659" i="2"/>
  <c r="P667" i="2"/>
  <c r="P675" i="2"/>
  <c r="P683" i="2"/>
  <c r="P18" i="2"/>
  <c r="P50" i="2"/>
  <c r="P82" i="2"/>
  <c r="P114" i="2"/>
  <c r="P146" i="2"/>
  <c r="P178" i="2"/>
  <c r="P210" i="2"/>
  <c r="P242" i="2"/>
  <c r="P274" i="2"/>
  <c r="P306" i="2"/>
  <c r="P338" i="2"/>
  <c r="P370" i="2"/>
  <c r="P402" i="2"/>
  <c r="P434" i="2"/>
  <c r="P466" i="2"/>
  <c r="P498" i="2"/>
  <c r="P530" i="2"/>
  <c r="P562" i="2"/>
  <c r="P594" i="2"/>
  <c r="P626" i="2"/>
  <c r="P658" i="2"/>
  <c r="P690" i="2"/>
  <c r="P698" i="2"/>
  <c r="P706" i="2"/>
  <c r="P714" i="2"/>
  <c r="P722" i="2"/>
  <c r="P730" i="2"/>
  <c r="P738" i="2"/>
  <c r="P746" i="2"/>
  <c r="P754" i="2"/>
  <c r="P762" i="2"/>
  <c r="P770" i="2"/>
  <c r="P778" i="2"/>
  <c r="P786" i="2"/>
  <c r="P794" i="2"/>
  <c r="P802" i="2"/>
  <c r="P810" i="2"/>
  <c r="P818" i="2"/>
  <c r="P826" i="2"/>
  <c r="P834" i="2"/>
  <c r="P842" i="2"/>
  <c r="P850" i="2"/>
  <c r="P858" i="2"/>
  <c r="P866" i="2"/>
  <c r="P874" i="2"/>
  <c r="P882" i="2"/>
  <c r="P890" i="2"/>
  <c r="P898" i="2"/>
  <c r="P906" i="2"/>
  <c r="P914" i="2"/>
  <c r="P922" i="2"/>
  <c r="P930" i="2"/>
  <c r="P938" i="2"/>
  <c r="P946" i="2"/>
  <c r="P954" i="2"/>
  <c r="P962" i="2"/>
  <c r="P970" i="2"/>
  <c r="P978" i="2"/>
  <c r="P986" i="2"/>
  <c r="P994" i="2"/>
  <c r="P1002" i="2"/>
  <c r="P1010" i="2"/>
  <c r="P1018" i="2"/>
  <c r="P1026" i="2"/>
  <c r="P1034" i="2"/>
  <c r="P1042" i="2"/>
  <c r="P1050" i="2"/>
  <c r="P1058" i="2"/>
  <c r="P1066" i="2"/>
  <c r="P1074" i="2"/>
  <c r="P1082" i="2"/>
  <c r="P1090" i="2"/>
  <c r="P1098" i="2"/>
  <c r="P1106" i="2"/>
  <c r="P1114" i="2"/>
  <c r="P1122" i="2"/>
  <c r="P1130" i="2"/>
  <c r="P1138" i="2"/>
  <c r="P1146" i="2"/>
  <c r="P1154" i="2"/>
  <c r="P1162" i="2"/>
  <c r="P1170" i="2"/>
  <c r="P1178" i="2"/>
  <c r="P1186" i="2"/>
  <c r="P1194" i="2"/>
  <c r="P1202" i="2"/>
  <c r="P1210" i="2"/>
  <c r="P1218" i="2"/>
  <c r="P1226" i="2"/>
  <c r="P1234" i="2"/>
  <c r="P1242" i="2"/>
  <c r="P1250" i="2"/>
  <c r="P1258" i="2"/>
  <c r="P1266" i="2"/>
  <c r="P1274" i="2"/>
  <c r="P1282" i="2"/>
  <c r="P41" i="2"/>
  <c r="P233" i="2"/>
  <c r="P297" i="2"/>
  <c r="P425" i="2"/>
  <c r="P553" i="2"/>
  <c r="P695" i="2"/>
  <c r="P735" i="2"/>
  <c r="P775" i="2"/>
  <c r="P815" i="2"/>
  <c r="P855" i="2"/>
  <c r="P895" i="2"/>
  <c r="P943" i="2"/>
  <c r="P975" i="2"/>
  <c r="P1015" i="2"/>
  <c r="P1047" i="2"/>
  <c r="P1095" i="2"/>
  <c r="P1127" i="2"/>
  <c r="P1175" i="2"/>
  <c r="P1215" i="2"/>
  <c r="P1263" i="2"/>
  <c r="P74" i="2"/>
  <c r="P202" i="2"/>
  <c r="P362" i="2"/>
  <c r="P522" i="2"/>
  <c r="P618" i="2"/>
  <c r="P712" i="2"/>
  <c r="P760" i="2"/>
  <c r="P808" i="2"/>
  <c r="P848" i="2"/>
  <c r="P888" i="2"/>
  <c r="P928" i="2"/>
  <c r="P960" i="2"/>
  <c r="P1008" i="2"/>
  <c r="P1040" i="2"/>
  <c r="P1088" i="2"/>
  <c r="P1136" i="2"/>
  <c r="P1184" i="2"/>
  <c r="P1232" i="2"/>
  <c r="P1264" i="2"/>
  <c r="P25" i="2"/>
  <c r="P57" i="2"/>
  <c r="P89" i="2"/>
  <c r="P121" i="2"/>
  <c r="P153" i="2"/>
  <c r="P185" i="2"/>
  <c r="P217" i="2"/>
  <c r="P249" i="2"/>
  <c r="P281" i="2"/>
  <c r="P313" i="2"/>
  <c r="P345" i="2"/>
  <c r="P377" i="2"/>
  <c r="P409" i="2"/>
  <c r="P441" i="2"/>
  <c r="P473" i="2"/>
  <c r="P505" i="2"/>
  <c r="P537" i="2"/>
  <c r="P569" i="2"/>
  <c r="P601" i="2"/>
  <c r="P633" i="2"/>
  <c r="P665" i="2"/>
  <c r="P691" i="2"/>
  <c r="P699" i="2"/>
  <c r="P707" i="2"/>
  <c r="P715" i="2"/>
  <c r="P723" i="2"/>
  <c r="P731" i="2"/>
  <c r="P739" i="2"/>
  <c r="P747" i="2"/>
  <c r="P755" i="2"/>
  <c r="P763" i="2"/>
  <c r="P771" i="2"/>
  <c r="P779" i="2"/>
  <c r="P787" i="2"/>
  <c r="P795" i="2"/>
  <c r="P803" i="2"/>
  <c r="P811" i="2"/>
  <c r="P819" i="2"/>
  <c r="P827" i="2"/>
  <c r="P835" i="2"/>
  <c r="P843" i="2"/>
  <c r="P851" i="2"/>
  <c r="P859" i="2"/>
  <c r="P867" i="2"/>
  <c r="P875" i="2"/>
  <c r="P883" i="2"/>
  <c r="P891" i="2"/>
  <c r="P899" i="2"/>
  <c r="P907" i="2"/>
  <c r="P915" i="2"/>
  <c r="P923" i="2"/>
  <c r="P931" i="2"/>
  <c r="P939" i="2"/>
  <c r="P947" i="2"/>
  <c r="P955" i="2"/>
  <c r="P963" i="2"/>
  <c r="P971" i="2"/>
  <c r="P979" i="2"/>
  <c r="P987" i="2"/>
  <c r="P995" i="2"/>
  <c r="P1003" i="2"/>
  <c r="P1011" i="2"/>
  <c r="P1019" i="2"/>
  <c r="P1027" i="2"/>
  <c r="P1035" i="2"/>
  <c r="P1043" i="2"/>
  <c r="P1051" i="2"/>
  <c r="P1059" i="2"/>
  <c r="P1067" i="2"/>
  <c r="P1075" i="2"/>
  <c r="P1083" i="2"/>
  <c r="P1091" i="2"/>
  <c r="P1099" i="2"/>
  <c r="P1107" i="2"/>
  <c r="P1115" i="2"/>
  <c r="P1123" i="2"/>
  <c r="P1131" i="2"/>
  <c r="P1139" i="2"/>
  <c r="P1147" i="2"/>
  <c r="P1155" i="2"/>
  <c r="P1163" i="2"/>
  <c r="P1171" i="2"/>
  <c r="P1179" i="2"/>
  <c r="P1187" i="2"/>
  <c r="P1195" i="2"/>
  <c r="P1203" i="2"/>
  <c r="P1211" i="2"/>
  <c r="P1219" i="2"/>
  <c r="P1227" i="2"/>
  <c r="P1235" i="2"/>
  <c r="P1243" i="2"/>
  <c r="P1251" i="2"/>
  <c r="P1259" i="2"/>
  <c r="P1267" i="2"/>
  <c r="P1275" i="2"/>
  <c r="P1283" i="2"/>
  <c r="P105" i="2"/>
  <c r="P265" i="2"/>
  <c r="P489" i="2"/>
  <c r="P703" i="2"/>
  <c r="P783" i="2"/>
  <c r="P863" i="2"/>
  <c r="P935" i="2"/>
  <c r="P991" i="2"/>
  <c r="P1079" i="2"/>
  <c r="P1159" i="2"/>
  <c r="P1223" i="2"/>
  <c r="P42" i="2"/>
  <c r="P234" i="2"/>
  <c r="P458" i="2"/>
  <c r="P650" i="2"/>
  <c r="P736" i="2"/>
  <c r="P800" i="2"/>
  <c r="P856" i="2"/>
  <c r="P920" i="2"/>
  <c r="P1000" i="2"/>
  <c r="P1064" i="2"/>
  <c r="P1128" i="2"/>
  <c r="P1192" i="2"/>
  <c r="P1256" i="2"/>
  <c r="P26" i="2"/>
  <c r="P58" i="2"/>
  <c r="P90" i="2"/>
  <c r="P122" i="2"/>
  <c r="P154" i="2"/>
  <c r="P186" i="2"/>
  <c r="P218" i="2"/>
  <c r="P250" i="2"/>
  <c r="P282" i="2"/>
  <c r="P314" i="2"/>
  <c r="P346" i="2"/>
  <c r="P378" i="2"/>
  <c r="P410" i="2"/>
  <c r="P442" i="2"/>
  <c r="P474" i="2"/>
  <c r="P506" i="2"/>
  <c r="P538" i="2"/>
  <c r="P570" i="2"/>
  <c r="P602" i="2"/>
  <c r="P634" i="2"/>
  <c r="P666" i="2"/>
  <c r="P692" i="2"/>
  <c r="P700" i="2"/>
  <c r="P708" i="2"/>
  <c r="P716" i="2"/>
  <c r="P724" i="2"/>
  <c r="P732" i="2"/>
  <c r="P740" i="2"/>
  <c r="P748" i="2"/>
  <c r="P756" i="2"/>
  <c r="P764" i="2"/>
  <c r="P772" i="2"/>
  <c r="P780" i="2"/>
  <c r="P788" i="2"/>
  <c r="P796" i="2"/>
  <c r="P804" i="2"/>
  <c r="P812" i="2"/>
  <c r="P820" i="2"/>
  <c r="P828" i="2"/>
  <c r="P836" i="2"/>
  <c r="P844" i="2"/>
  <c r="P852" i="2"/>
  <c r="P860" i="2"/>
  <c r="P868" i="2"/>
  <c r="P876" i="2"/>
  <c r="P884" i="2"/>
  <c r="P892" i="2"/>
  <c r="P900" i="2"/>
  <c r="P908" i="2"/>
  <c r="P916" i="2"/>
  <c r="P924" i="2"/>
  <c r="P932" i="2"/>
  <c r="P940" i="2"/>
  <c r="P948" i="2"/>
  <c r="P956" i="2"/>
  <c r="P964" i="2"/>
  <c r="P972" i="2"/>
  <c r="P980" i="2"/>
  <c r="P988" i="2"/>
  <c r="P996" i="2"/>
  <c r="P1004" i="2"/>
  <c r="P1012" i="2"/>
  <c r="P1020" i="2"/>
  <c r="P1028" i="2"/>
  <c r="P1036" i="2"/>
  <c r="P1044" i="2"/>
  <c r="P1052" i="2"/>
  <c r="P1060" i="2"/>
  <c r="P1068" i="2"/>
  <c r="P1076" i="2"/>
  <c r="P1084" i="2"/>
  <c r="P1092" i="2"/>
  <c r="P1100" i="2"/>
  <c r="P1108" i="2"/>
  <c r="P1116" i="2"/>
  <c r="P1124" i="2"/>
  <c r="P1132" i="2"/>
  <c r="P1140" i="2"/>
  <c r="P1148" i="2"/>
  <c r="P1156" i="2"/>
  <c r="P1164" i="2"/>
  <c r="P1172" i="2"/>
  <c r="P1180" i="2"/>
  <c r="P1188" i="2"/>
  <c r="P1196" i="2"/>
  <c r="P1204" i="2"/>
  <c r="P1212" i="2"/>
  <c r="P1220" i="2"/>
  <c r="P1228" i="2"/>
  <c r="P1236" i="2"/>
  <c r="P1244" i="2"/>
  <c r="P1252" i="2"/>
  <c r="P1260" i="2"/>
  <c r="P1268" i="2"/>
  <c r="P1276" i="2"/>
  <c r="P10" i="2"/>
  <c r="P73" i="2"/>
  <c r="P201" i="2"/>
  <c r="P329" i="2"/>
  <c r="P457" i="2"/>
  <c r="P521" i="2"/>
  <c r="P681" i="2"/>
  <c r="P727" i="2"/>
  <c r="P767" i="2"/>
  <c r="P807" i="2"/>
  <c r="P839" i="2"/>
  <c r="P879" i="2"/>
  <c r="P911" i="2"/>
  <c r="P959" i="2"/>
  <c r="P1007" i="2"/>
  <c r="P1039" i="2"/>
  <c r="P1087" i="2"/>
  <c r="P1135" i="2"/>
  <c r="P1167" i="2"/>
  <c r="P1207" i="2"/>
  <c r="P1255" i="2"/>
  <c r="P138" i="2"/>
  <c r="P330" i="2"/>
  <c r="P490" i="2"/>
  <c r="P682" i="2"/>
  <c r="P720" i="2"/>
  <c r="P768" i="2"/>
  <c r="P792" i="2"/>
  <c r="P832" i="2"/>
  <c r="P880" i="2"/>
  <c r="P936" i="2"/>
  <c r="P968" i="2"/>
  <c r="P1016" i="2"/>
  <c r="P1048" i="2"/>
  <c r="P1096" i="2"/>
  <c r="P1144" i="2"/>
  <c r="P1176" i="2"/>
  <c r="P1224" i="2"/>
  <c r="P1272" i="2"/>
  <c r="P33" i="2"/>
  <c r="P65" i="2"/>
  <c r="P97" i="2"/>
  <c r="P129" i="2"/>
  <c r="P161" i="2"/>
  <c r="P193" i="2"/>
  <c r="P225" i="2"/>
  <c r="P257" i="2"/>
  <c r="P289" i="2"/>
  <c r="P321" i="2"/>
  <c r="P353" i="2"/>
  <c r="P385" i="2"/>
  <c r="P417" i="2"/>
  <c r="P449" i="2"/>
  <c r="P481" i="2"/>
  <c r="P513" i="2"/>
  <c r="P545" i="2"/>
  <c r="P577" i="2"/>
  <c r="P609" i="2"/>
  <c r="P641" i="2"/>
  <c r="P673" i="2"/>
  <c r="P693" i="2"/>
  <c r="P701" i="2"/>
  <c r="P709" i="2"/>
  <c r="P717" i="2"/>
  <c r="P725" i="2"/>
  <c r="P733" i="2"/>
  <c r="P741" i="2"/>
  <c r="P749" i="2"/>
  <c r="P757" i="2"/>
  <c r="P765" i="2"/>
  <c r="P773" i="2"/>
  <c r="P781" i="2"/>
  <c r="P789" i="2"/>
  <c r="P797" i="2"/>
  <c r="P805" i="2"/>
  <c r="P813" i="2"/>
  <c r="P821" i="2"/>
  <c r="P829" i="2"/>
  <c r="P837" i="2"/>
  <c r="P845" i="2"/>
  <c r="P853" i="2"/>
  <c r="P861" i="2"/>
  <c r="P869" i="2"/>
  <c r="P877" i="2"/>
  <c r="P885" i="2"/>
  <c r="P893" i="2"/>
  <c r="P901" i="2"/>
  <c r="P909" i="2"/>
  <c r="P917" i="2"/>
  <c r="P925" i="2"/>
  <c r="P933" i="2"/>
  <c r="P941" i="2"/>
  <c r="P949" i="2"/>
  <c r="P957" i="2"/>
  <c r="P965" i="2"/>
  <c r="P973" i="2"/>
  <c r="P981" i="2"/>
  <c r="P989" i="2"/>
  <c r="P997" i="2"/>
  <c r="P1005" i="2"/>
  <c r="P1013" i="2"/>
  <c r="P1021" i="2"/>
  <c r="P1029" i="2"/>
  <c r="P1037" i="2"/>
  <c r="P1045" i="2"/>
  <c r="P1053" i="2"/>
  <c r="P1061" i="2"/>
  <c r="P1069" i="2"/>
  <c r="P1077" i="2"/>
  <c r="P1085" i="2"/>
  <c r="P1093" i="2"/>
  <c r="P1101" i="2"/>
  <c r="P1109" i="2"/>
  <c r="P1117" i="2"/>
  <c r="P1125" i="2"/>
  <c r="P1133" i="2"/>
  <c r="P1141" i="2"/>
  <c r="P1149" i="2"/>
  <c r="P1157" i="2"/>
  <c r="P1165" i="2"/>
  <c r="P1173" i="2"/>
  <c r="P1181" i="2"/>
  <c r="P1189" i="2"/>
  <c r="P1197" i="2"/>
  <c r="P1205" i="2"/>
  <c r="P1213" i="2"/>
  <c r="P1221" i="2"/>
  <c r="P1229" i="2"/>
  <c r="P1237" i="2"/>
  <c r="P1245" i="2"/>
  <c r="P1253" i="2"/>
  <c r="P1261" i="2"/>
  <c r="P1269" i="2"/>
  <c r="P1277" i="2"/>
  <c r="P169" i="2"/>
  <c r="P585" i="2"/>
  <c r="P743" i="2"/>
  <c r="P831" i="2"/>
  <c r="P927" i="2"/>
  <c r="P999" i="2"/>
  <c r="P1055" i="2"/>
  <c r="P1119" i="2"/>
  <c r="P1183" i="2"/>
  <c r="P1247" i="2"/>
  <c r="P298" i="2"/>
  <c r="P728" i="2"/>
  <c r="P840" i="2"/>
  <c r="P912" i="2"/>
  <c r="P976" i="2"/>
  <c r="P1056" i="2"/>
  <c r="P1120" i="2"/>
  <c r="P1168" i="2"/>
  <c r="P1216" i="2"/>
  <c r="P34" i="2"/>
  <c r="P66" i="2"/>
  <c r="P98" i="2"/>
  <c r="P130" i="2"/>
  <c r="P162" i="2"/>
  <c r="P194" i="2"/>
  <c r="P226" i="2"/>
  <c r="P258" i="2"/>
  <c r="P290" i="2"/>
  <c r="P322" i="2"/>
  <c r="P354" i="2"/>
  <c r="P386" i="2"/>
  <c r="P418" i="2"/>
  <c r="P450" i="2"/>
  <c r="P482" i="2"/>
  <c r="P514" i="2"/>
  <c r="P546" i="2"/>
  <c r="P578" i="2"/>
  <c r="P610" i="2"/>
  <c r="P642" i="2"/>
  <c r="P674" i="2"/>
  <c r="P694" i="2"/>
  <c r="P702" i="2"/>
  <c r="P710" i="2"/>
  <c r="P718" i="2"/>
  <c r="P726" i="2"/>
  <c r="P734" i="2"/>
  <c r="P742" i="2"/>
  <c r="P750" i="2"/>
  <c r="P758" i="2"/>
  <c r="P766" i="2"/>
  <c r="P774" i="2"/>
  <c r="P782" i="2"/>
  <c r="P790" i="2"/>
  <c r="P798" i="2"/>
  <c r="P806" i="2"/>
  <c r="P814" i="2"/>
  <c r="P822" i="2"/>
  <c r="P830" i="2"/>
  <c r="P838" i="2"/>
  <c r="P846" i="2"/>
  <c r="P854" i="2"/>
  <c r="P862" i="2"/>
  <c r="P870" i="2"/>
  <c r="P878" i="2"/>
  <c r="P886" i="2"/>
  <c r="P894" i="2"/>
  <c r="P902" i="2"/>
  <c r="P910" i="2"/>
  <c r="P918" i="2"/>
  <c r="P926" i="2"/>
  <c r="P934" i="2"/>
  <c r="P942" i="2"/>
  <c r="P950" i="2"/>
  <c r="P958" i="2"/>
  <c r="P966" i="2"/>
  <c r="P974" i="2"/>
  <c r="P982" i="2"/>
  <c r="P990" i="2"/>
  <c r="P998" i="2"/>
  <c r="P1006" i="2"/>
  <c r="P1014" i="2"/>
  <c r="P1022" i="2"/>
  <c r="P1030" i="2"/>
  <c r="P1038" i="2"/>
  <c r="P1046" i="2"/>
  <c r="P1054" i="2"/>
  <c r="P1062" i="2"/>
  <c r="P1070" i="2"/>
  <c r="P1078" i="2"/>
  <c r="P1086" i="2"/>
  <c r="P1094" i="2"/>
  <c r="P1102" i="2"/>
  <c r="P1110" i="2"/>
  <c r="P1118" i="2"/>
  <c r="P1126" i="2"/>
  <c r="P1134" i="2"/>
  <c r="P1142" i="2"/>
  <c r="P1150" i="2"/>
  <c r="P1158" i="2"/>
  <c r="P1166" i="2"/>
  <c r="P1174" i="2"/>
  <c r="P1182" i="2"/>
  <c r="P1190" i="2"/>
  <c r="P1198" i="2"/>
  <c r="P1206" i="2"/>
  <c r="P1214" i="2"/>
  <c r="P1222" i="2"/>
  <c r="P1230" i="2"/>
  <c r="P1238" i="2"/>
  <c r="P1246" i="2"/>
  <c r="P1254" i="2"/>
  <c r="P1262" i="2"/>
  <c r="P1270" i="2"/>
  <c r="P1278" i="2"/>
  <c r="P137" i="2"/>
  <c r="P393" i="2"/>
  <c r="P617" i="2"/>
  <c r="P711" i="2"/>
  <c r="P759" i="2"/>
  <c r="P799" i="2"/>
  <c r="P847" i="2"/>
  <c r="P887" i="2"/>
  <c r="P919" i="2"/>
  <c r="P967" i="2"/>
  <c r="P1023" i="2"/>
  <c r="P1071" i="2"/>
  <c r="P1111" i="2"/>
  <c r="P1151" i="2"/>
  <c r="P1199" i="2"/>
  <c r="P1239" i="2"/>
  <c r="P1279" i="2"/>
  <c r="P170" i="2"/>
  <c r="P394" i="2"/>
  <c r="P586" i="2"/>
  <c r="P704" i="2"/>
  <c r="P752" i="2"/>
  <c r="P784" i="2"/>
  <c r="P816" i="2"/>
  <c r="P864" i="2"/>
  <c r="P904" i="2"/>
  <c r="P952" i="2"/>
  <c r="P992" i="2"/>
  <c r="P1032" i="2"/>
  <c r="P1080" i="2"/>
  <c r="P1112" i="2"/>
  <c r="P1160" i="2"/>
  <c r="P1208" i="2"/>
  <c r="P1248" i="2"/>
  <c r="P17" i="2"/>
  <c r="P49" i="2"/>
  <c r="P81" i="2"/>
  <c r="P113" i="2"/>
  <c r="P145" i="2"/>
  <c r="P177" i="2"/>
  <c r="P209" i="2"/>
  <c r="P241" i="2"/>
  <c r="P273" i="2"/>
  <c r="P305" i="2"/>
  <c r="P337" i="2"/>
  <c r="P369" i="2"/>
  <c r="P401" i="2"/>
  <c r="P433" i="2"/>
  <c r="P465" i="2"/>
  <c r="P497" i="2"/>
  <c r="P529" i="2"/>
  <c r="P561" i="2"/>
  <c r="P593" i="2"/>
  <c r="P625" i="2"/>
  <c r="P657" i="2"/>
  <c r="P689" i="2"/>
  <c r="P697" i="2"/>
  <c r="P705" i="2"/>
  <c r="P713" i="2"/>
  <c r="P721" i="2"/>
  <c r="P729" i="2"/>
  <c r="P737" i="2"/>
  <c r="P745" i="2"/>
  <c r="P753" i="2"/>
  <c r="P761" i="2"/>
  <c r="P769" i="2"/>
  <c r="P777" i="2"/>
  <c r="P785" i="2"/>
  <c r="P793" i="2"/>
  <c r="P801" i="2"/>
  <c r="P809" i="2"/>
  <c r="P817" i="2"/>
  <c r="P825" i="2"/>
  <c r="P833" i="2"/>
  <c r="P841" i="2"/>
  <c r="P849" i="2"/>
  <c r="P857" i="2"/>
  <c r="P865" i="2"/>
  <c r="P873" i="2"/>
  <c r="P881" i="2"/>
  <c r="P889" i="2"/>
  <c r="P897" i="2"/>
  <c r="P905" i="2"/>
  <c r="P913" i="2"/>
  <c r="P921" i="2"/>
  <c r="P929" i="2"/>
  <c r="P937" i="2"/>
  <c r="P945" i="2"/>
  <c r="P953" i="2"/>
  <c r="P961" i="2"/>
  <c r="P969" i="2"/>
  <c r="P977" i="2"/>
  <c r="P985" i="2"/>
  <c r="P993" i="2"/>
  <c r="P1001" i="2"/>
  <c r="P1009" i="2"/>
  <c r="P1017" i="2"/>
  <c r="P1025" i="2"/>
  <c r="P1033" i="2"/>
  <c r="P1041" i="2"/>
  <c r="P1049" i="2"/>
  <c r="P1057" i="2"/>
  <c r="P1065" i="2"/>
  <c r="P1073" i="2"/>
  <c r="P1081" i="2"/>
  <c r="P1089" i="2"/>
  <c r="P1097" i="2"/>
  <c r="P1105" i="2"/>
  <c r="P1113" i="2"/>
  <c r="P1121" i="2"/>
  <c r="P1129" i="2"/>
  <c r="P1137" i="2"/>
  <c r="P1145" i="2"/>
  <c r="P1153" i="2"/>
  <c r="P1161" i="2"/>
  <c r="P1169" i="2"/>
  <c r="P1177" i="2"/>
  <c r="P1185" i="2"/>
  <c r="P1193" i="2"/>
  <c r="P1201" i="2"/>
  <c r="P1209" i="2"/>
  <c r="P1217" i="2"/>
  <c r="P1225" i="2"/>
  <c r="P1233" i="2"/>
  <c r="P1241" i="2"/>
  <c r="P1249" i="2"/>
  <c r="P1257" i="2"/>
  <c r="P1265" i="2"/>
  <c r="P1273" i="2"/>
  <c r="P1281" i="2"/>
  <c r="P361" i="2"/>
  <c r="P649" i="2"/>
  <c r="P719" i="2"/>
  <c r="P751" i="2"/>
  <c r="P791" i="2"/>
  <c r="P823" i="2"/>
  <c r="P871" i="2"/>
  <c r="P903" i="2"/>
  <c r="P951" i="2"/>
  <c r="P983" i="2"/>
  <c r="P1031" i="2"/>
  <c r="P1063" i="2"/>
  <c r="P1103" i="2"/>
  <c r="P1143" i="2"/>
  <c r="P1191" i="2"/>
  <c r="P1231" i="2"/>
  <c r="P1271" i="2"/>
  <c r="P106" i="2"/>
  <c r="P266" i="2"/>
  <c r="P426" i="2"/>
  <c r="P554" i="2"/>
  <c r="P696" i="2"/>
  <c r="P744" i="2"/>
  <c r="P776" i="2"/>
  <c r="P824" i="2"/>
  <c r="P872" i="2"/>
  <c r="P896" i="2"/>
  <c r="P944" i="2"/>
  <c r="P984" i="2"/>
  <c r="P1024" i="2"/>
  <c r="P1072" i="2"/>
  <c r="P1104" i="2"/>
  <c r="P1152" i="2"/>
  <c r="P1200" i="2"/>
  <c r="P1240" i="2"/>
  <c r="P1280" i="2"/>
  <c r="O34" i="2"/>
  <c r="O42" i="2"/>
  <c r="O50" i="2"/>
  <c r="O58" i="2"/>
  <c r="O66" i="2"/>
  <c r="O74" i="2"/>
  <c r="O82" i="2"/>
  <c r="O90" i="2"/>
  <c r="O98" i="2"/>
  <c r="O106" i="2"/>
  <c r="O114" i="2"/>
  <c r="O122" i="2"/>
  <c r="O130" i="2"/>
  <c r="O146" i="2"/>
  <c r="O154" i="2"/>
  <c r="O162" i="2"/>
  <c r="O170" i="2"/>
  <c r="O11" i="2"/>
  <c r="O19" i="2"/>
  <c r="O35" i="2"/>
  <c r="O43" i="2"/>
  <c r="O51" i="2"/>
  <c r="O59" i="2"/>
  <c r="O67" i="2"/>
  <c r="O75" i="2"/>
  <c r="O83" i="2"/>
  <c r="O91" i="2"/>
  <c r="O99" i="2"/>
  <c r="O107" i="2"/>
  <c r="O115" i="2"/>
  <c r="O123" i="2"/>
  <c r="O131" i="2"/>
  <c r="O139" i="2"/>
  <c r="O147" i="2"/>
  <c r="O155" i="2"/>
  <c r="O163" i="2"/>
  <c r="O171" i="2"/>
  <c r="O12" i="2"/>
  <c r="O20" i="2"/>
  <c r="O28" i="2"/>
  <c r="O36" i="2"/>
  <c r="O44" i="2"/>
  <c r="O52" i="2"/>
  <c r="O60" i="2"/>
  <c r="O68" i="2"/>
  <c r="O76" i="2"/>
  <c r="O84" i="2"/>
  <c r="O92" i="2"/>
  <c r="O100" i="2"/>
  <c r="O108" i="2"/>
  <c r="O124" i="2"/>
  <c r="O132" i="2"/>
  <c r="O140" i="2"/>
  <c r="O148" i="2"/>
  <c r="O156" i="2"/>
  <c r="O164" i="2"/>
  <c r="O172" i="2"/>
  <c r="O15" i="2"/>
  <c r="O23" i="2"/>
  <c r="O31" i="2"/>
  <c r="O39" i="2"/>
  <c r="O47" i="2"/>
  <c r="O55" i="2"/>
  <c r="O63" i="2"/>
  <c r="O71" i="2"/>
  <c r="O79" i="2"/>
  <c r="O87" i="2"/>
  <c r="O95" i="2"/>
  <c r="O103" i="2"/>
  <c r="O111" i="2"/>
  <c r="O119" i="2"/>
  <c r="O127" i="2"/>
  <c r="O135" i="2"/>
  <c r="O143" i="2"/>
  <c r="O151" i="2"/>
  <c r="O159" i="2"/>
  <c r="O167" i="2"/>
  <c r="O25" i="2"/>
  <c r="O38" i="2"/>
  <c r="O54" i="2"/>
  <c r="O70" i="2"/>
  <c r="O86" i="2"/>
  <c r="O102" i="2"/>
  <c r="O120" i="2"/>
  <c r="O136" i="2"/>
  <c r="O150" i="2"/>
  <c r="O166" i="2"/>
  <c r="O180" i="2"/>
  <c r="O188" i="2"/>
  <c r="O196" i="2"/>
  <c r="O204" i="2"/>
  <c r="O212" i="2"/>
  <c r="O220" i="2"/>
  <c r="O228" i="2"/>
  <c r="O236" i="2"/>
  <c r="O252" i="2"/>
  <c r="O260" i="2"/>
  <c r="O268" i="2"/>
  <c r="O276" i="2"/>
  <c r="O284" i="2"/>
  <c r="O292" i="2"/>
  <c r="O300" i="2"/>
  <c r="O308" i="2"/>
  <c r="O316" i="2"/>
  <c r="O332" i="2"/>
  <c r="O40" i="2"/>
  <c r="O56" i="2"/>
  <c r="O88" i="2"/>
  <c r="O104" i="2"/>
  <c r="O121" i="2"/>
  <c r="O152" i="2"/>
  <c r="O168" i="2"/>
  <c r="O181" i="2"/>
  <c r="O189" i="2"/>
  <c r="O197" i="2"/>
  <c r="O205" i="2"/>
  <c r="O213" i="2"/>
  <c r="O221" i="2"/>
  <c r="O229" i="2"/>
  <c r="O237" i="2"/>
  <c r="O245" i="2"/>
  <c r="O253" i="2"/>
  <c r="O261" i="2"/>
  <c r="O269" i="2"/>
  <c r="O277" i="2"/>
  <c r="O285" i="2"/>
  <c r="O293" i="2"/>
  <c r="O301" i="2"/>
  <c r="O309" i="2"/>
  <c r="O317" i="2"/>
  <c r="O41" i="2"/>
  <c r="O57" i="2"/>
  <c r="O73" i="2"/>
  <c r="O89" i="2"/>
  <c r="O125" i="2"/>
  <c r="O153" i="2"/>
  <c r="O169" i="2"/>
  <c r="O182" i="2"/>
  <c r="O190" i="2"/>
  <c r="O198" i="2"/>
  <c r="O206" i="2"/>
  <c r="O214" i="2"/>
  <c r="O222" i="2"/>
  <c r="O230" i="2"/>
  <c r="O238" i="2"/>
  <c r="O246" i="2"/>
  <c r="O254" i="2"/>
  <c r="O262" i="2"/>
  <c r="O270" i="2"/>
  <c r="O278" i="2"/>
  <c r="O286" i="2"/>
  <c r="O294" i="2"/>
  <c r="O310" i="2"/>
  <c r="O318" i="2"/>
  <c r="O326" i="2"/>
  <c r="O340" i="2"/>
  <c r="O348" i="2"/>
  <c r="O356" i="2"/>
  <c r="O29" i="2"/>
  <c r="O45" i="2"/>
  <c r="O61" i="2"/>
  <c r="O77" i="2"/>
  <c r="O93" i="2"/>
  <c r="O109" i="2"/>
  <c r="O126" i="2"/>
  <c r="O141" i="2"/>
  <c r="O157" i="2"/>
  <c r="O173" i="2"/>
  <c r="O183" i="2"/>
  <c r="O191" i="2"/>
  <c r="O199" i="2"/>
  <c r="O207" i="2"/>
  <c r="O215" i="2"/>
  <c r="O223" i="2"/>
  <c r="O231" i="2"/>
  <c r="O239" i="2"/>
  <c r="O247" i="2"/>
  <c r="O255" i="2"/>
  <c r="O263" i="2"/>
  <c r="O271" i="2"/>
  <c r="O279" i="2"/>
  <c r="O287" i="2"/>
  <c r="O295" i="2"/>
  <c r="O303" i="2"/>
  <c r="O327" i="2"/>
  <c r="O30" i="2"/>
  <c r="O46" i="2"/>
  <c r="O62" i="2"/>
  <c r="O94" i="2"/>
  <c r="O110" i="2"/>
  <c r="O128" i="2"/>
  <c r="O142" i="2"/>
  <c r="O158" i="2"/>
  <c r="O174" i="2"/>
  <c r="O184" i="2"/>
  <c r="O200" i="2"/>
  <c r="O208" i="2"/>
  <c r="O216" i="2"/>
  <c r="O224" i="2"/>
  <c r="O232" i="2"/>
  <c r="O240" i="2"/>
  <c r="O248" i="2"/>
  <c r="O256" i="2"/>
  <c r="O264" i="2"/>
  <c r="O272" i="2"/>
  <c r="O280" i="2"/>
  <c r="O288" i="2"/>
  <c r="O296" i="2"/>
  <c r="O304" i="2"/>
  <c r="O312" i="2"/>
  <c r="O320" i="2"/>
  <c r="O334" i="2"/>
  <c r="O21" i="2"/>
  <c r="O32" i="2"/>
  <c r="O48" i="2"/>
  <c r="O64" i="2"/>
  <c r="O80" i="2"/>
  <c r="O96" i="2"/>
  <c r="O112" i="2"/>
  <c r="O129" i="2"/>
  <c r="O144" i="2"/>
  <c r="O160" i="2"/>
  <c r="O177" i="2"/>
  <c r="O185" i="2"/>
  <c r="O193" i="2"/>
  <c r="O201" i="2"/>
  <c r="O209" i="2"/>
  <c r="O217" i="2"/>
  <c r="O225" i="2"/>
  <c r="O233" i="2"/>
  <c r="O241" i="2"/>
  <c r="O249" i="2"/>
  <c r="O257" i="2"/>
  <c r="O265" i="2"/>
  <c r="O273" i="2"/>
  <c r="O281" i="2"/>
  <c r="O289" i="2"/>
  <c r="O297" i="2"/>
  <c r="O305" i="2"/>
  <c r="O321" i="2"/>
  <c r="O335" i="2"/>
  <c r="O343" i="2"/>
  <c r="O351" i="2"/>
  <c r="O145" i="2"/>
  <c r="O194" i="2"/>
  <c r="O226" i="2"/>
  <c r="O251" i="2"/>
  <c r="O283" i="2"/>
  <c r="O341" i="2"/>
  <c r="O352" i="2"/>
  <c r="O361" i="2"/>
  <c r="O377" i="2"/>
  <c r="O385" i="2"/>
  <c r="O393" i="2"/>
  <c r="O401" i="2"/>
  <c r="O409" i="2"/>
  <c r="O417" i="2"/>
  <c r="O425" i="2"/>
  <c r="O443" i="2"/>
  <c r="O451" i="2"/>
  <c r="O467" i="2"/>
  <c r="O475" i="2"/>
  <c r="O483" i="2"/>
  <c r="O491" i="2"/>
  <c r="O499" i="2"/>
  <c r="O507" i="2"/>
  <c r="O515" i="2"/>
  <c r="O523" i="2"/>
  <c r="O539" i="2"/>
  <c r="O547" i="2"/>
  <c r="O555" i="2"/>
  <c r="O563" i="2"/>
  <c r="O571" i="2"/>
  <c r="O579" i="2"/>
  <c r="O581" i="2"/>
  <c r="O589" i="2"/>
  <c r="O597" i="2"/>
  <c r="O605" i="2"/>
  <c r="O621" i="2"/>
  <c r="O629" i="2"/>
  <c r="O637" i="2"/>
  <c r="O645" i="2"/>
  <c r="O653" i="2"/>
  <c r="O661" i="2"/>
  <c r="O669" i="2"/>
  <c r="O677" i="2"/>
  <c r="O685" i="2"/>
  <c r="O693" i="2"/>
  <c r="O709" i="2"/>
  <c r="O717" i="2"/>
  <c r="O725" i="2"/>
  <c r="O33" i="2"/>
  <c r="O81" i="2"/>
  <c r="O149" i="2"/>
  <c r="O195" i="2"/>
  <c r="O227" i="2"/>
  <c r="O258" i="2"/>
  <c r="O290" i="2"/>
  <c r="O342" i="2"/>
  <c r="O353" i="2"/>
  <c r="O370" i="2"/>
  <c r="O378" i="2"/>
  <c r="O386" i="2"/>
  <c r="O394" i="2"/>
  <c r="O402" i="2"/>
  <c r="O410" i="2"/>
  <c r="O426" i="2"/>
  <c r="O436" i="2"/>
  <c r="O444" i="2"/>
  <c r="O452" i="2"/>
  <c r="O460" i="2"/>
  <c r="O468" i="2"/>
  <c r="O484" i="2"/>
  <c r="O492" i="2"/>
  <c r="O508" i="2"/>
  <c r="O516" i="2"/>
  <c r="O524" i="2"/>
  <c r="O540" i="2"/>
  <c r="O548" i="2"/>
  <c r="O556" i="2"/>
  <c r="O564" i="2"/>
  <c r="O572" i="2"/>
  <c r="O582" i="2"/>
  <c r="O590" i="2"/>
  <c r="O598" i="2"/>
  <c r="O606" i="2"/>
  <c r="O622" i="2"/>
  <c r="O630" i="2"/>
  <c r="O638" i="2"/>
  <c r="O646" i="2"/>
  <c r="O654" i="2"/>
  <c r="O662" i="2"/>
  <c r="O670" i="2"/>
  <c r="O678" i="2"/>
  <c r="O686" i="2"/>
  <c r="O694" i="2"/>
  <c r="O702" i="2"/>
  <c r="O710" i="2"/>
  <c r="O718" i="2"/>
  <c r="O726" i="2"/>
  <c r="O734" i="2"/>
  <c r="O742" i="2"/>
  <c r="O750" i="2"/>
  <c r="O758" i="2"/>
  <c r="O766" i="2"/>
  <c r="O37" i="2"/>
  <c r="O85" i="2"/>
  <c r="O161" i="2"/>
  <c r="O202" i="2"/>
  <c r="O259" i="2"/>
  <c r="O291" i="2"/>
  <c r="O314" i="2"/>
  <c r="O344" i="2"/>
  <c r="O354" i="2"/>
  <c r="O363" i="2"/>
  <c r="O371" i="2"/>
  <c r="O379" i="2"/>
  <c r="O387" i="2"/>
  <c r="O395" i="2"/>
  <c r="O403" i="2"/>
  <c r="O411" i="2"/>
  <c r="O419" i="2"/>
  <c r="O427" i="2"/>
  <c r="O437" i="2"/>
  <c r="O445" i="2"/>
  <c r="O453" i="2"/>
  <c r="O469" i="2"/>
  <c r="O477" i="2"/>
  <c r="O485" i="2"/>
  <c r="O493" i="2"/>
  <c r="O509" i="2"/>
  <c r="O517" i="2"/>
  <c r="O525" i="2"/>
  <c r="O533" i="2"/>
  <c r="O541" i="2"/>
  <c r="O549" i="2"/>
  <c r="O557" i="2"/>
  <c r="O565" i="2"/>
  <c r="O573" i="2"/>
  <c r="O583" i="2"/>
  <c r="O591" i="2"/>
  <c r="O599" i="2"/>
  <c r="O607" i="2"/>
  <c r="O615" i="2"/>
  <c r="O623" i="2"/>
  <c r="O631" i="2"/>
  <c r="O639" i="2"/>
  <c r="O647" i="2"/>
  <c r="O655" i="2"/>
  <c r="O663" i="2"/>
  <c r="O671" i="2"/>
  <c r="O679" i="2"/>
  <c r="O687" i="2"/>
  <c r="O695" i="2"/>
  <c r="O703" i="2"/>
  <c r="O711" i="2"/>
  <c r="O719" i="2"/>
  <c r="O727" i="2"/>
  <c r="O735" i="2"/>
  <c r="O743" i="2"/>
  <c r="O751" i="2"/>
  <c r="O759" i="2"/>
  <c r="O767" i="2"/>
  <c r="O775" i="2"/>
  <c r="O791" i="2"/>
  <c r="O799" i="2"/>
  <c r="O815" i="2"/>
  <c r="O823" i="2"/>
  <c r="O831" i="2"/>
  <c r="O839" i="2"/>
  <c r="O847" i="2"/>
  <c r="O855" i="2"/>
  <c r="O863" i="2"/>
  <c r="O49" i="2"/>
  <c r="O165" i="2"/>
  <c r="O178" i="2"/>
  <c r="O203" i="2"/>
  <c r="O235" i="2"/>
  <c r="O266" i="2"/>
  <c r="O298" i="2"/>
  <c r="O330" i="2"/>
  <c r="O333" i="2"/>
  <c r="O355" i="2"/>
  <c r="O364" i="2"/>
  <c r="O372" i="2"/>
  <c r="O380" i="2"/>
  <c r="O388" i="2"/>
  <c r="O396" i="2"/>
  <c r="O404" i="2"/>
  <c r="O412" i="2"/>
  <c r="O420" i="2"/>
  <c r="O428" i="2"/>
  <c r="O438" i="2"/>
  <c r="O446" i="2"/>
  <c r="O454" i="2"/>
  <c r="O462" i="2"/>
  <c r="O470" i="2"/>
  <c r="O478" i="2"/>
  <c r="O494" i="2"/>
  <c r="O502" i="2"/>
  <c r="O510" i="2"/>
  <c r="O518" i="2"/>
  <c r="O526" i="2"/>
  <c r="O534" i="2"/>
  <c r="O542" i="2"/>
  <c r="O550" i="2"/>
  <c r="O558" i="2"/>
  <c r="O566" i="2"/>
  <c r="O574" i="2"/>
  <c r="O584" i="2"/>
  <c r="O592" i="2"/>
  <c r="O600" i="2"/>
  <c r="O608" i="2"/>
  <c r="O624" i="2"/>
  <c r="O632" i="2"/>
  <c r="O656" i="2"/>
  <c r="O664" i="2"/>
  <c r="O672" i="2"/>
  <c r="O680" i="2"/>
  <c r="O688" i="2"/>
  <c r="O696" i="2"/>
  <c r="O704" i="2"/>
  <c r="O712" i="2"/>
  <c r="O720" i="2"/>
  <c r="O728" i="2"/>
  <c r="O736" i="2"/>
  <c r="O744" i="2"/>
  <c r="O752" i="2"/>
  <c r="O768" i="2"/>
  <c r="O776" i="2"/>
  <c r="O784" i="2"/>
  <c r="O53" i="2"/>
  <c r="O101" i="2"/>
  <c r="O133" i="2"/>
  <c r="O179" i="2"/>
  <c r="O210" i="2"/>
  <c r="O242" i="2"/>
  <c r="O267" i="2"/>
  <c r="O299" i="2"/>
  <c r="O331" i="2"/>
  <c r="O336" i="2"/>
  <c r="O346" i="2"/>
  <c r="O357" i="2"/>
  <c r="O365" i="2"/>
  <c r="O373" i="2"/>
  <c r="O381" i="2"/>
  <c r="O389" i="2"/>
  <c r="O397" i="2"/>
  <c r="O405" i="2"/>
  <c r="O421" i="2"/>
  <c r="O429" i="2"/>
  <c r="O439" i="2"/>
  <c r="O447" i="2"/>
  <c r="O463" i="2"/>
  <c r="O471" i="2"/>
  <c r="O495" i="2"/>
  <c r="O511" i="2"/>
  <c r="O519" i="2"/>
  <c r="O527" i="2"/>
  <c r="O543" i="2"/>
  <c r="O551" i="2"/>
  <c r="O559" i="2"/>
  <c r="O567" i="2"/>
  <c r="O575" i="2"/>
  <c r="O585" i="2"/>
  <c r="O593" i="2"/>
  <c r="O601" i="2"/>
  <c r="O609" i="2"/>
  <c r="O633" i="2"/>
  <c r="O649" i="2"/>
  <c r="O657" i="2"/>
  <c r="O665" i="2"/>
  <c r="O673" i="2"/>
  <c r="O681" i="2"/>
  <c r="O689" i="2"/>
  <c r="O697" i="2"/>
  <c r="O705" i="2"/>
  <c r="O65" i="2"/>
  <c r="O134" i="2"/>
  <c r="O186" i="2"/>
  <c r="O211" i="2"/>
  <c r="O243" i="2"/>
  <c r="O274" i="2"/>
  <c r="O337" i="2"/>
  <c r="O347" i="2"/>
  <c r="O358" i="2"/>
  <c r="O366" i="2"/>
  <c r="O374" i="2"/>
  <c r="O390" i="2"/>
  <c r="O398" i="2"/>
  <c r="O406" i="2"/>
  <c r="O414" i="2"/>
  <c r="O422" i="2"/>
  <c r="O430" i="2"/>
  <c r="O432" i="2"/>
  <c r="O440" i="2"/>
  <c r="O448" i="2"/>
  <c r="O464" i="2"/>
  <c r="O472" i="2"/>
  <c r="O480" i="2"/>
  <c r="O496" i="2"/>
  <c r="O504" i="2"/>
  <c r="O512" i="2"/>
  <c r="O520" i="2"/>
  <c r="O528" i="2"/>
  <c r="O536" i="2"/>
  <c r="O544" i="2"/>
  <c r="O552" i="2"/>
  <c r="O568" i="2"/>
  <c r="O576" i="2"/>
  <c r="O586" i="2"/>
  <c r="O594" i="2"/>
  <c r="O602" i="2"/>
  <c r="O610" i="2"/>
  <c r="O618" i="2"/>
  <c r="O626" i="2"/>
  <c r="O634" i="2"/>
  <c r="O642" i="2"/>
  <c r="O650" i="2"/>
  <c r="O658" i="2"/>
  <c r="O666" i="2"/>
  <c r="O674" i="2"/>
  <c r="O682" i="2"/>
  <c r="O690" i="2"/>
  <c r="O698" i="2"/>
  <c r="O706" i="2"/>
  <c r="O714" i="2"/>
  <c r="O722" i="2"/>
  <c r="O730" i="2"/>
  <c r="O746" i="2"/>
  <c r="O754" i="2"/>
  <c r="O770" i="2"/>
  <c r="O778" i="2"/>
  <c r="O786" i="2"/>
  <c r="O794" i="2"/>
  <c r="O187" i="2"/>
  <c r="O350" i="2"/>
  <c r="O376" i="2"/>
  <c r="O407" i="2"/>
  <c r="O457" i="2"/>
  <c r="O490" i="2"/>
  <c r="O513" i="2"/>
  <c r="O561" i="2"/>
  <c r="O580" i="2"/>
  <c r="O612" i="2"/>
  <c r="O627" i="2"/>
  <c r="O676" i="2"/>
  <c r="O707" i="2"/>
  <c r="O729" i="2"/>
  <c r="O757" i="2"/>
  <c r="O771" i="2"/>
  <c r="O782" i="2"/>
  <c r="O793" i="2"/>
  <c r="O803" i="2"/>
  <c r="O811" i="2"/>
  <c r="O820" i="2"/>
  <c r="O829" i="2"/>
  <c r="O838" i="2"/>
  <c r="O848" i="2"/>
  <c r="O857" i="2"/>
  <c r="O866" i="2"/>
  <c r="O872" i="2"/>
  <c r="O880" i="2"/>
  <c r="O888" i="2"/>
  <c r="O896" i="2"/>
  <c r="O904" i="2"/>
  <c r="O920" i="2"/>
  <c r="O936" i="2"/>
  <c r="O944" i="2"/>
  <c r="O960" i="2"/>
  <c r="O968" i="2"/>
  <c r="O976" i="2"/>
  <c r="O984" i="2"/>
  <c r="O992" i="2"/>
  <c r="O1000" i="2"/>
  <c r="O1008" i="2"/>
  <c r="O1016" i="2"/>
  <c r="O1024" i="2"/>
  <c r="O1032" i="2"/>
  <c r="O1040" i="2"/>
  <c r="O1048" i="2"/>
  <c r="O1056" i="2"/>
  <c r="O1064" i="2"/>
  <c r="O1072" i="2"/>
  <c r="O1080" i="2"/>
  <c r="O1088" i="2"/>
  <c r="O1096" i="2"/>
  <c r="O1104" i="2"/>
  <c r="O1112" i="2"/>
  <c r="O1120" i="2"/>
  <c r="O1128" i="2"/>
  <c r="O1136" i="2"/>
  <c r="O1144" i="2"/>
  <c r="O1152" i="2"/>
  <c r="O1160" i="2"/>
  <c r="O69" i="2"/>
  <c r="O359" i="2"/>
  <c r="O408" i="2"/>
  <c r="O497" i="2"/>
  <c r="O514" i="2"/>
  <c r="O537" i="2"/>
  <c r="O562" i="2"/>
  <c r="O587" i="2"/>
  <c r="O628" i="2"/>
  <c r="O651" i="2"/>
  <c r="O683" i="2"/>
  <c r="O708" i="2"/>
  <c r="O731" i="2"/>
  <c r="O745" i="2"/>
  <c r="O772" i="2"/>
  <c r="O795" i="2"/>
  <c r="O804" i="2"/>
  <c r="O812" i="2"/>
  <c r="O821" i="2"/>
  <c r="O830" i="2"/>
  <c r="O840" i="2"/>
  <c r="O849" i="2"/>
  <c r="O858" i="2"/>
  <c r="O881" i="2"/>
  <c r="O889" i="2"/>
  <c r="O897" i="2"/>
  <c r="O921" i="2"/>
  <c r="O929" i="2"/>
  <c r="O937" i="2"/>
  <c r="O945" i="2"/>
  <c r="O961" i="2"/>
  <c r="O969" i="2"/>
  <c r="O977" i="2"/>
  <c r="O985" i="2"/>
  <c r="O993" i="2"/>
  <c r="O1001" i="2"/>
  <c r="O1009" i="2"/>
  <c r="O1017" i="2"/>
  <c r="O1025" i="2"/>
  <c r="O1033" i="2"/>
  <c r="O1041" i="2"/>
  <c r="O1049" i="2"/>
  <c r="O1057" i="2"/>
  <c r="O1065" i="2"/>
  <c r="O1073" i="2"/>
  <c r="O1081" i="2"/>
  <c r="O1089" i="2"/>
  <c r="O1097" i="2"/>
  <c r="O1105" i="2"/>
  <c r="O1113" i="2"/>
  <c r="O1121" i="2"/>
  <c r="O1129" i="2"/>
  <c r="O1137" i="2"/>
  <c r="O1145" i="2"/>
  <c r="O1161" i="2"/>
  <c r="O1169" i="2"/>
  <c r="O306" i="2"/>
  <c r="O360" i="2"/>
  <c r="O383" i="2"/>
  <c r="O441" i="2"/>
  <c r="O481" i="2"/>
  <c r="O498" i="2"/>
  <c r="O521" i="2"/>
  <c r="O538" i="2"/>
  <c r="O569" i="2"/>
  <c r="O588" i="2"/>
  <c r="O635" i="2"/>
  <c r="O652" i="2"/>
  <c r="O684" i="2"/>
  <c r="O732" i="2"/>
  <c r="O747" i="2"/>
  <c r="O761" i="2"/>
  <c r="O773" i="2"/>
  <c r="O785" i="2"/>
  <c r="O796" i="2"/>
  <c r="O805" i="2"/>
  <c r="O813" i="2"/>
  <c r="O822" i="2"/>
  <c r="O832" i="2"/>
  <c r="O841" i="2"/>
  <c r="O850" i="2"/>
  <c r="O859" i="2"/>
  <c r="O882" i="2"/>
  <c r="O890" i="2"/>
  <c r="O898" i="2"/>
  <c r="O906" i="2"/>
  <c r="O914" i="2"/>
  <c r="O922" i="2"/>
  <c r="O930" i="2"/>
  <c r="O938" i="2"/>
  <c r="O946" i="2"/>
  <c r="O954" i="2"/>
  <c r="O970" i="2"/>
  <c r="O978" i="2"/>
  <c r="O994" i="2"/>
  <c r="O1002" i="2"/>
  <c r="O1010" i="2"/>
  <c r="O1018" i="2"/>
  <c r="O1026" i="2"/>
  <c r="O1034" i="2"/>
  <c r="O1042" i="2"/>
  <c r="O1050" i="2"/>
  <c r="O1058" i="2"/>
  <c r="O1066" i="2"/>
  <c r="O1074" i="2"/>
  <c r="O1082" i="2"/>
  <c r="O1090" i="2"/>
  <c r="O1098" i="2"/>
  <c r="O1106" i="2"/>
  <c r="O1114" i="2"/>
  <c r="O1122" i="2"/>
  <c r="O1130" i="2"/>
  <c r="O1138" i="2"/>
  <c r="O1154" i="2"/>
  <c r="O1162" i="2"/>
  <c r="O1170" i="2"/>
  <c r="O384" i="2"/>
  <c r="O415" i="2"/>
  <c r="O442" i="2"/>
  <c r="O482" i="2"/>
  <c r="O522" i="2"/>
  <c r="O545" i="2"/>
  <c r="O570" i="2"/>
  <c r="O595" i="2"/>
  <c r="O636" i="2"/>
  <c r="O659" i="2"/>
  <c r="O691" i="2"/>
  <c r="O715" i="2"/>
  <c r="O733" i="2"/>
  <c r="O748" i="2"/>
  <c r="O787" i="2"/>
  <c r="O797" i="2"/>
  <c r="O806" i="2"/>
  <c r="O814" i="2"/>
  <c r="O824" i="2"/>
  <c r="O833" i="2"/>
  <c r="O842" i="2"/>
  <c r="O851" i="2"/>
  <c r="O860" i="2"/>
  <c r="O883" i="2"/>
  <c r="O891" i="2"/>
  <c r="O899" i="2"/>
  <c r="O907" i="2"/>
  <c r="O915" i="2"/>
  <c r="O923" i="2"/>
  <c r="O931" i="2"/>
  <c r="O939" i="2"/>
  <c r="O947" i="2"/>
  <c r="O955" i="2"/>
  <c r="O963" i="2"/>
  <c r="O971" i="2"/>
  <c r="O987" i="2"/>
  <c r="O995" i="2"/>
  <c r="O1003" i="2"/>
  <c r="O1011" i="2"/>
  <c r="O1019" i="2"/>
  <c r="O1027" i="2"/>
  <c r="O1035" i="2"/>
  <c r="O1043" i="2"/>
  <c r="O1051" i="2"/>
  <c r="O1059" i="2"/>
  <c r="O1067" i="2"/>
  <c r="O1075" i="2"/>
  <c r="O1083" i="2"/>
  <c r="O1099" i="2"/>
  <c r="O1107" i="2"/>
  <c r="O1115" i="2"/>
  <c r="O1123" i="2"/>
  <c r="O1139" i="2"/>
  <c r="O1147" i="2"/>
  <c r="O1155" i="2"/>
  <c r="O1163" i="2"/>
  <c r="O367" i="2"/>
  <c r="O391" i="2"/>
  <c r="O416" i="2"/>
  <c r="O449" i="2"/>
  <c r="O465" i="2"/>
  <c r="O546" i="2"/>
  <c r="O577" i="2"/>
  <c r="O596" i="2"/>
  <c r="O660" i="2"/>
  <c r="O692" i="2"/>
  <c r="O737" i="2"/>
  <c r="O749" i="2"/>
  <c r="O777" i="2"/>
  <c r="O788" i="2"/>
  <c r="O798" i="2"/>
  <c r="O816" i="2"/>
  <c r="O834" i="2"/>
  <c r="O843" i="2"/>
  <c r="O852" i="2"/>
  <c r="O861" i="2"/>
  <c r="O876" i="2"/>
  <c r="O884" i="2"/>
  <c r="O892" i="2"/>
  <c r="O900" i="2"/>
  <c r="O908" i="2"/>
  <c r="O924" i="2"/>
  <c r="O932" i="2"/>
  <c r="O940" i="2"/>
  <c r="O948" i="2"/>
  <c r="O956" i="2"/>
  <c r="O964" i="2"/>
  <c r="O972" i="2"/>
  <c r="O980" i="2"/>
  <c r="O988" i="2"/>
  <c r="O1004" i="2"/>
  <c r="O1012" i="2"/>
  <c r="O1020" i="2"/>
  <c r="O1028" i="2"/>
  <c r="O1036" i="2"/>
  <c r="O1044" i="2"/>
  <c r="O1052" i="2"/>
  <c r="O1068" i="2"/>
  <c r="O1076" i="2"/>
  <c r="O1084" i="2"/>
  <c r="O1092" i="2"/>
  <c r="O1100" i="2"/>
  <c r="O1108" i="2"/>
  <c r="O1116" i="2"/>
  <c r="O1124" i="2"/>
  <c r="O1140" i="2"/>
  <c r="O1156" i="2"/>
  <c r="O1164" i="2"/>
  <c r="O1173" i="2"/>
  <c r="O339" i="2"/>
  <c r="O392" i="2"/>
  <c r="O450" i="2"/>
  <c r="O466" i="2"/>
  <c r="O530" i="2"/>
  <c r="O553" i="2"/>
  <c r="O578" i="2"/>
  <c r="O603" i="2"/>
  <c r="O619" i="2"/>
  <c r="O667" i="2"/>
  <c r="O699" i="2"/>
  <c r="O721" i="2"/>
  <c r="O753" i="2"/>
  <c r="O764" i="2"/>
  <c r="O779" i="2"/>
  <c r="O789" i="2"/>
  <c r="O808" i="2"/>
  <c r="O817" i="2"/>
  <c r="O826" i="2"/>
  <c r="O835" i="2"/>
  <c r="O844" i="2"/>
  <c r="O853" i="2"/>
  <c r="O862" i="2"/>
  <c r="O869" i="2"/>
  <c r="O877" i="2"/>
  <c r="O885" i="2"/>
  <c r="O893" i="2"/>
  <c r="O901" i="2"/>
  <c r="O909" i="2"/>
  <c r="O917" i="2"/>
  <c r="O925" i="2"/>
  <c r="O933" i="2"/>
  <c r="O941" i="2"/>
  <c r="O957" i="2"/>
  <c r="O965" i="2"/>
  <c r="O973" i="2"/>
  <c r="O981" i="2"/>
  <c r="O989" i="2"/>
  <c r="O1005" i="2"/>
  <c r="O1013" i="2"/>
  <c r="O1021" i="2"/>
  <c r="O1029" i="2"/>
  <c r="O1037" i="2"/>
  <c r="O1045" i="2"/>
  <c r="O1053" i="2"/>
  <c r="O1061" i="2"/>
  <c r="O1069" i="2"/>
  <c r="O1077" i="2"/>
  <c r="O1085" i="2"/>
  <c r="O1093" i="2"/>
  <c r="O1109" i="2"/>
  <c r="O1117" i="2"/>
  <c r="O1125" i="2"/>
  <c r="O1141" i="2"/>
  <c r="O1149" i="2"/>
  <c r="O1157" i="2"/>
  <c r="O1165" i="2"/>
  <c r="O643" i="2"/>
  <c r="O756" i="2"/>
  <c r="O781" i="2"/>
  <c r="O809" i="2"/>
  <c r="O837" i="2"/>
  <c r="O886" i="2"/>
  <c r="O975" i="2"/>
  <c r="O1023" i="2"/>
  <c r="O1055" i="2"/>
  <c r="O1086" i="2"/>
  <c r="O1110" i="2"/>
  <c r="O1174" i="2"/>
  <c r="O1182" i="2"/>
  <c r="O1190" i="2"/>
  <c r="O1198" i="2"/>
  <c r="O1206" i="2"/>
  <c r="O1214" i="2"/>
  <c r="O1222" i="2"/>
  <c r="O1230" i="2"/>
  <c r="O1238" i="2"/>
  <c r="O755" i="2"/>
  <c r="O927" i="2"/>
  <c r="O1103" i="2"/>
  <c r="O1213" i="2"/>
  <c r="O399" i="2"/>
  <c r="O489" i="2"/>
  <c r="O644" i="2"/>
  <c r="O723" i="2"/>
  <c r="O810" i="2"/>
  <c r="O845" i="2"/>
  <c r="O870" i="2"/>
  <c r="O887" i="2"/>
  <c r="O934" i="2"/>
  <c r="O1030" i="2"/>
  <c r="O1087" i="2"/>
  <c r="O1183" i="2"/>
  <c r="O1199" i="2"/>
  <c r="O1215" i="2"/>
  <c r="O1223" i="2"/>
  <c r="O1231" i="2"/>
  <c r="O10" i="2"/>
  <c r="O1205" i="2"/>
  <c r="O400" i="2"/>
  <c r="O433" i="2"/>
  <c r="O473" i="2"/>
  <c r="O724" i="2"/>
  <c r="O790" i="2"/>
  <c r="O818" i="2"/>
  <c r="O846" i="2"/>
  <c r="O894" i="2"/>
  <c r="O935" i="2"/>
  <c r="O958" i="2"/>
  <c r="O982" i="2"/>
  <c r="O1031" i="2"/>
  <c r="O1062" i="2"/>
  <c r="O1118" i="2"/>
  <c r="O1158" i="2"/>
  <c r="O1176" i="2"/>
  <c r="O1184" i="2"/>
  <c r="O1192" i="2"/>
  <c r="O1200" i="2"/>
  <c r="O1208" i="2"/>
  <c r="O1216" i="2"/>
  <c r="O1224" i="2"/>
  <c r="O1232" i="2"/>
  <c r="O780" i="2"/>
  <c r="O951" i="2"/>
  <c r="O1079" i="2"/>
  <c r="O1197" i="2"/>
  <c r="O250" i="2"/>
  <c r="O349" i="2"/>
  <c r="O474" i="2"/>
  <c r="O554" i="2"/>
  <c r="O668" i="2"/>
  <c r="O792" i="2"/>
  <c r="O819" i="2"/>
  <c r="O895" i="2"/>
  <c r="O942" i="2"/>
  <c r="O983" i="2"/>
  <c r="O1006" i="2"/>
  <c r="O1038" i="2"/>
  <c r="O1063" i="2"/>
  <c r="O1094" i="2"/>
  <c r="O1119" i="2"/>
  <c r="O1142" i="2"/>
  <c r="O1185" i="2"/>
  <c r="O1193" i="2"/>
  <c r="O1201" i="2"/>
  <c r="O1209" i="2"/>
  <c r="O1217" i="2"/>
  <c r="O1225" i="2"/>
  <c r="O1233" i="2"/>
  <c r="O836" i="2"/>
  <c r="O1054" i="2"/>
  <c r="O1189" i="2"/>
  <c r="O1237" i="2"/>
  <c r="O275" i="2"/>
  <c r="O675" i="2"/>
  <c r="O739" i="2"/>
  <c r="O765" i="2"/>
  <c r="O856" i="2"/>
  <c r="O902" i="2"/>
  <c r="O918" i="2"/>
  <c r="O943" i="2"/>
  <c r="O1007" i="2"/>
  <c r="O1039" i="2"/>
  <c r="O1070" i="2"/>
  <c r="O1095" i="2"/>
  <c r="O1126" i="2"/>
  <c r="O1143" i="2"/>
  <c r="O1166" i="2"/>
  <c r="O1178" i="2"/>
  <c r="O1186" i="2"/>
  <c r="O1194" i="2"/>
  <c r="O1202" i="2"/>
  <c r="O1210" i="2"/>
  <c r="O1218" i="2"/>
  <c r="O1226" i="2"/>
  <c r="O1234" i="2"/>
  <c r="O113" i="2"/>
  <c r="O423" i="2"/>
  <c r="O505" i="2"/>
  <c r="O700" i="2"/>
  <c r="O769" i="2"/>
  <c r="O801" i="2"/>
  <c r="O827" i="2"/>
  <c r="O864" i="2"/>
  <c r="O903" i="2"/>
  <c r="O919" i="2"/>
  <c r="O966" i="2"/>
  <c r="O990" i="2"/>
  <c r="O1014" i="2"/>
  <c r="O1046" i="2"/>
  <c r="O1071" i="2"/>
  <c r="O1127" i="2"/>
  <c r="O1167" i="2"/>
  <c r="O1179" i="2"/>
  <c r="O1187" i="2"/>
  <c r="O1203" i="2"/>
  <c r="O1211" i="2"/>
  <c r="O1219" i="2"/>
  <c r="O1227" i="2"/>
  <c r="O1235" i="2"/>
  <c r="O611" i="2"/>
  <c r="O910" i="2"/>
  <c r="O1022" i="2"/>
  <c r="O1172" i="2"/>
  <c r="O1221" i="2"/>
  <c r="O24" i="2"/>
  <c r="O424" i="2"/>
  <c r="O506" i="2"/>
  <c r="O604" i="2"/>
  <c r="O802" i="2"/>
  <c r="O828" i="2"/>
  <c r="O865" i="2"/>
  <c r="O878" i="2"/>
  <c r="O926" i="2"/>
  <c r="O967" i="2"/>
  <c r="O991" i="2"/>
  <c r="O1015" i="2"/>
  <c r="O1047" i="2"/>
  <c r="O1078" i="2"/>
  <c r="O1102" i="2"/>
  <c r="O1171" i="2"/>
  <c r="O1180" i="2"/>
  <c r="O1188" i="2"/>
  <c r="O1196" i="2"/>
  <c r="O1204" i="2"/>
  <c r="O1212" i="2"/>
  <c r="O1220" i="2"/>
  <c r="O1228" i="2"/>
  <c r="O375" i="2"/>
  <c r="O879" i="2"/>
  <c r="O974" i="2"/>
  <c r="O1150" i="2"/>
  <c r="O1181" i="2"/>
  <c r="O1229" i="2"/>
  <c r="F33" i="39"/>
  <c r="K14" i="39"/>
  <c r="K17" i="37" s="1"/>
  <c r="K12" i="39"/>
  <c r="K13" i="39"/>
  <c r="K16" i="37" s="1"/>
  <c r="K14" i="37"/>
  <c r="K20" i="37"/>
  <c r="K22" i="37"/>
  <c r="K18" i="37"/>
  <c r="K27" i="37"/>
  <c r="K28" i="37"/>
  <c r="K31" i="37"/>
  <c r="K25" i="37"/>
  <c r="K34" i="37"/>
  <c r="K26" i="37"/>
  <c r="K32" i="37"/>
  <c r="K30" i="37"/>
  <c r="K33" i="37"/>
  <c r="K35" i="37"/>
  <c r="K24" i="37"/>
  <c r="K29" i="37"/>
  <c r="K23" i="37"/>
  <c r="K19" i="37"/>
  <c r="K21" i="37"/>
  <c r="E28" i="37"/>
  <c r="E27" i="37"/>
  <c r="C27" i="37"/>
  <c r="C28" i="37"/>
  <c r="C34" i="37"/>
  <c r="E35" i="37"/>
  <c r="E34" i="37"/>
  <c r="C35" i="37"/>
  <c r="E26" i="37"/>
  <c r="E30" i="37"/>
  <c r="C33" i="37"/>
  <c r="C32" i="37"/>
  <c r="E33" i="37"/>
  <c r="C29" i="37"/>
  <c r="C31" i="37"/>
  <c r="E32" i="37"/>
  <c r="C30" i="37"/>
  <c r="C26" i="37"/>
  <c r="E29" i="37"/>
  <c r="E31" i="37"/>
  <c r="C19" i="37"/>
  <c r="E20" i="37"/>
  <c r="E21" i="37"/>
  <c r="E19" i="37"/>
  <c r="C23" i="37"/>
  <c r="E24" i="37"/>
  <c r="C20" i="37"/>
  <c r="C22" i="37"/>
  <c r="E23" i="37"/>
  <c r="C25" i="37"/>
  <c r="E22" i="37"/>
  <c r="C24" i="37"/>
  <c r="E25" i="37"/>
  <c r="C21" i="37"/>
  <c r="C17" i="37"/>
  <c r="C18" i="37"/>
  <c r="E17" i="37"/>
  <c r="E18" i="37"/>
  <c r="E14" i="37"/>
  <c r="E15" i="37"/>
  <c r="E16"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K15" i="37" l="1"/>
  <c r="K33" i="39"/>
  <c r="N154" i="2"/>
  <c r="N228" i="2"/>
  <c r="N1105" i="2"/>
  <c r="N283" i="2"/>
  <c r="N1110" i="2"/>
  <c r="N240" i="2"/>
  <c r="N224" i="2"/>
  <c r="N1114" i="2"/>
  <c r="N293" i="2"/>
  <c r="N317" i="2"/>
  <c r="N1098" i="2"/>
  <c r="N316" i="2"/>
  <c r="N233" i="2"/>
  <c r="N295" i="2"/>
  <c r="N242" i="2"/>
  <c r="N277" i="2"/>
  <c r="N300" i="2"/>
  <c r="N226" i="2"/>
  <c r="N926" i="2"/>
  <c r="N275" i="2"/>
  <c r="N268" i="2"/>
  <c r="N1113" i="2"/>
  <c r="N215" i="2"/>
  <c r="N946" i="2"/>
  <c r="N895" i="2"/>
  <c r="N216" i="2"/>
  <c r="N306" i="2"/>
  <c r="N380" i="2"/>
  <c r="N123" i="2"/>
  <c r="N170" i="2"/>
  <c r="N1084" i="2"/>
  <c r="N977" i="2"/>
  <c r="N973" i="2"/>
  <c r="N391" i="2"/>
  <c r="N343" i="2"/>
  <c r="N1121" i="2"/>
  <c r="N1115" i="2"/>
  <c r="N1081" i="2"/>
  <c r="N1052" i="2"/>
  <c r="N377" i="2"/>
  <c r="N1065" i="2"/>
  <c r="N1061" i="2"/>
  <c r="N1068" i="2"/>
  <c r="N1046" i="2"/>
  <c r="N399" i="2"/>
  <c r="N385" i="2"/>
  <c r="N355" i="2"/>
  <c r="N397" i="2"/>
  <c r="N336" i="2"/>
  <c r="N1096" i="2"/>
  <c r="N1071" i="2"/>
  <c r="N1026" i="2"/>
  <c r="N1066" i="2"/>
  <c r="N356" i="2"/>
  <c r="N426" i="2"/>
  <c r="N1123" i="2"/>
  <c r="N1119" i="2"/>
  <c r="N1097" i="2"/>
  <c r="N378" i="2"/>
  <c r="N173" i="2"/>
  <c r="N134" i="2"/>
  <c r="N1064" i="2"/>
  <c r="N416" i="2"/>
  <c r="N171" i="2"/>
  <c r="N132" i="2"/>
  <c r="N342" i="2"/>
  <c r="N261" i="2"/>
  <c r="N1124" i="2"/>
  <c r="N168" i="2"/>
  <c r="N792" i="2"/>
  <c r="N125" i="2"/>
  <c r="N199" i="2"/>
  <c r="N163" i="2"/>
  <c r="N200" i="2"/>
  <c r="N1120" i="2"/>
  <c r="N314" i="2"/>
  <c r="N801" i="2"/>
  <c r="N227" i="2"/>
  <c r="N205" i="2"/>
  <c r="N684" i="2"/>
  <c r="N206" i="2"/>
  <c r="N229" i="2"/>
  <c r="N236" i="2"/>
  <c r="N303" i="2"/>
  <c r="N318" i="2"/>
  <c r="N670" i="2"/>
  <c r="N777" i="2"/>
  <c r="N797" i="2"/>
  <c r="N789" i="2"/>
  <c r="N784" i="2"/>
  <c r="N334" i="2"/>
  <c r="N898" i="2"/>
  <c r="N394" i="2"/>
  <c r="N179" i="2"/>
  <c r="N223" i="2"/>
  <c r="N249" i="2"/>
  <c r="N177" i="2"/>
  <c r="N299" i="2"/>
  <c r="N270" i="2"/>
  <c r="N266" i="2"/>
  <c r="N297" i="2"/>
  <c r="N703" i="2"/>
  <c r="N776" i="2"/>
  <c r="N631" i="2"/>
  <c r="N263" i="2"/>
  <c r="N330" i="2"/>
  <c r="N882" i="2"/>
  <c r="N1070" i="2"/>
  <c r="N285" i="2"/>
  <c r="N288" i="2"/>
  <c r="N237" i="2"/>
  <c r="N182" i="2"/>
  <c r="N239" i="2"/>
  <c r="N231" i="2"/>
  <c r="N308" i="2"/>
  <c r="N778" i="2"/>
  <c r="N720" i="2"/>
  <c r="N331" i="2"/>
  <c r="N241" i="2"/>
  <c r="N401" i="2"/>
  <c r="N309" i="2"/>
  <c r="N267" i="2"/>
  <c r="N908" i="2"/>
  <c r="N310" i="2"/>
  <c r="N243" i="2"/>
  <c r="N695" i="2"/>
  <c r="N725" i="2"/>
  <c r="N889" i="2"/>
  <c r="N430" i="2"/>
  <c r="N254" i="2"/>
  <c r="N291" i="2"/>
  <c r="N250" i="2"/>
  <c r="N294" i="2"/>
  <c r="N225" i="2"/>
  <c r="N220" i="2"/>
  <c r="N245" i="2"/>
  <c r="N289" i="2"/>
  <c r="N269" i="2"/>
  <c r="N580" i="2"/>
  <c r="N445" i="2"/>
  <c r="N454" i="2"/>
  <c r="N443" i="2"/>
  <c r="N485" i="2"/>
  <c r="N490" i="2"/>
  <c r="N482" i="2"/>
  <c r="N475" i="2"/>
  <c r="N457" i="2"/>
  <c r="N478" i="2"/>
  <c r="N450" i="2"/>
  <c r="N471" i="2"/>
  <c r="N433" i="2"/>
  <c r="N484" i="2"/>
  <c r="N477" i="2"/>
  <c r="N483" i="2"/>
  <c r="N449" i="2"/>
  <c r="N489" i="2"/>
  <c r="N469" i="2"/>
  <c r="N474" i="2"/>
  <c r="N451" i="2"/>
  <c r="N481" i="2"/>
  <c r="N446" i="2"/>
  <c r="N470" i="2"/>
  <c r="N460" i="2"/>
  <c r="N465" i="2"/>
  <c r="N467" i="2"/>
  <c r="N444" i="2"/>
  <c r="N480" i="2"/>
  <c r="N439" i="2"/>
  <c r="N438" i="2"/>
  <c r="N432" i="2"/>
  <c r="N442" i="2"/>
  <c r="N440" i="2"/>
  <c r="N447" i="2"/>
  <c r="N600" i="2"/>
  <c r="N473" i="2"/>
  <c r="N578" i="2"/>
  <c r="N579" i="2"/>
  <c r="N577" i="2"/>
  <c r="N773" i="2"/>
  <c r="N799" i="2"/>
  <c r="N755" i="2"/>
  <c r="N782" i="2"/>
  <c r="N715" i="2"/>
  <c r="N748" i="2"/>
  <c r="N747" i="2"/>
  <c r="N788" i="2"/>
  <c r="N693" i="2"/>
  <c r="N719" i="2"/>
  <c r="N756" i="2"/>
  <c r="N712" i="2"/>
  <c r="N700" i="2"/>
  <c r="N704" i="2"/>
  <c r="N711" i="2"/>
  <c r="N744" i="2"/>
  <c r="N734" i="2"/>
  <c r="N676" i="2"/>
  <c r="N682" i="2"/>
  <c r="N677" i="2"/>
  <c r="N705" i="2"/>
  <c r="N714" i="2"/>
  <c r="N798" i="2"/>
  <c r="N781" i="2"/>
  <c r="N706" i="2"/>
  <c r="N710" i="2"/>
  <c r="N698" i="2"/>
  <c r="N697" i="2"/>
  <c r="N745" i="2"/>
  <c r="N672" i="2"/>
  <c r="N679" i="2"/>
  <c r="N692" i="2"/>
  <c r="N787" i="2"/>
  <c r="N772" i="2"/>
  <c r="N675" i="2"/>
  <c r="N696" i="2"/>
  <c r="N739" i="2"/>
  <c r="N742" i="2"/>
  <c r="N733" i="2"/>
  <c r="N729" i="2"/>
  <c r="N681" i="2"/>
  <c r="N688" i="2"/>
  <c r="N791" i="2"/>
  <c r="N796" i="2"/>
  <c r="N726" i="2"/>
  <c r="N743" i="2"/>
  <c r="N709" i="2"/>
  <c r="N768" i="2"/>
  <c r="N699" i="2"/>
  <c r="N685" i="2"/>
  <c r="N764" i="2"/>
  <c r="N723" i="2"/>
  <c r="N780" i="2"/>
  <c r="N687" i="2"/>
  <c r="N790" i="2"/>
  <c r="N722" i="2"/>
  <c r="N708" i="2"/>
  <c r="N766" i="2"/>
  <c r="N779" i="2"/>
  <c r="N731" i="2"/>
  <c r="N694" i="2"/>
  <c r="N727" i="2"/>
  <c r="N691" i="2"/>
  <c r="N680" i="2"/>
  <c r="N771" i="2"/>
  <c r="N736" i="2"/>
  <c r="N737" i="2"/>
  <c r="N724" i="2"/>
  <c r="N770" i="2"/>
  <c r="N674" i="2"/>
  <c r="N775" i="2"/>
  <c r="N721" i="2"/>
  <c r="N690" i="2"/>
  <c r="N717" i="2"/>
  <c r="N746" i="2"/>
  <c r="N795" i="2"/>
  <c r="N671" i="2"/>
  <c r="N463" i="2"/>
  <c r="N441" i="2"/>
  <c r="N659" i="2"/>
  <c r="N702" i="2"/>
  <c r="N786" i="2"/>
  <c r="N626" i="2"/>
  <c r="N646" i="2"/>
  <c r="N765" i="2"/>
  <c r="N683" i="2"/>
  <c r="N584" i="2"/>
  <c r="N589" i="2"/>
  <c r="N598" i="2"/>
  <c r="N612" i="2"/>
  <c r="N615" i="2"/>
  <c r="N611" i="2"/>
  <c r="N596" i="2"/>
  <c r="N609" i="2"/>
  <c r="N597" i="2"/>
  <c r="N608" i="2"/>
  <c r="N593" i="2"/>
  <c r="N588" i="2"/>
  <c r="N610" i="2"/>
  <c r="N581" i="2"/>
  <c r="N606" i="2"/>
  <c r="N595" i="2"/>
  <c r="N583" i="2"/>
  <c r="N591" i="2"/>
  <c r="N607" i="2"/>
  <c r="N592" i="2"/>
  <c r="N590" i="2"/>
  <c r="N587" i="2"/>
  <c r="N605" i="2"/>
  <c r="N582" i="2"/>
  <c r="N586" i="2"/>
  <c r="N602" i="2"/>
  <c r="N603" i="2"/>
  <c r="N732" i="2"/>
  <c r="N599" i="2"/>
  <c r="N639" i="2"/>
  <c r="N622" i="2"/>
  <c r="N654" i="2"/>
  <c r="N637" i="2"/>
  <c r="N655" i="2"/>
  <c r="N650" i="2"/>
  <c r="N634" i="2"/>
  <c r="N666" i="2"/>
  <c r="N656" i="2"/>
  <c r="N645" i="2"/>
  <c r="N647" i="2"/>
  <c r="N649" i="2"/>
  <c r="N664" i="2"/>
  <c r="N658" i="2"/>
  <c r="N662" i="2"/>
  <c r="N621" i="2"/>
  <c r="N651" i="2"/>
  <c r="N661" i="2"/>
  <c r="N663" i="2"/>
  <c r="N652" i="2"/>
  <c r="N668" i="2"/>
  <c r="N643" i="2"/>
  <c r="N665" i="2"/>
  <c r="N628" i="2"/>
  <c r="N653" i="2"/>
  <c r="N660" i="2"/>
  <c r="N623" i="2"/>
  <c r="N627" i="2"/>
  <c r="N667" i="2"/>
  <c r="N636" i="2"/>
  <c r="N638" i="2"/>
  <c r="N794" i="2"/>
  <c r="N468" i="2"/>
  <c r="N156" i="2"/>
  <c r="N158" i="2"/>
  <c r="N164" i="2"/>
  <c r="N169" i="2"/>
  <c r="N148" i="2"/>
  <c r="N119" i="2"/>
  <c r="N155" i="2"/>
  <c r="N128" i="2"/>
  <c r="N151" i="2"/>
  <c r="N144" i="2"/>
  <c r="N141" i="2"/>
  <c r="N147" i="2"/>
  <c r="N149" i="2"/>
  <c r="N115" i="2"/>
  <c r="N153" i="2"/>
  <c r="N129" i="2"/>
  <c r="N140" i="2"/>
  <c r="N127" i="2"/>
  <c r="N160" i="2"/>
  <c r="N165" i="2"/>
  <c r="N159" i="2"/>
  <c r="N146" i="2"/>
  <c r="N120" i="2"/>
  <c r="N131" i="2"/>
  <c r="N126" i="2"/>
  <c r="N166" i="2"/>
  <c r="N139" i="2"/>
  <c r="N152" i="2"/>
  <c r="N161" i="2"/>
  <c r="N136" i="2"/>
  <c r="N167" i="2"/>
  <c r="N124" i="2"/>
  <c r="N145" i="2"/>
  <c r="N122" i="2"/>
  <c r="N135" i="2"/>
  <c r="N985" i="2"/>
  <c r="N1010" i="2"/>
  <c r="N1059" i="2"/>
  <c r="N984" i="2"/>
  <c r="N1088" i="2"/>
  <c r="N1072" i="2"/>
  <c r="N1015" i="2"/>
  <c r="N1037" i="2"/>
  <c r="N1034" i="2"/>
  <c r="N1080" i="2"/>
  <c r="N1008" i="2"/>
  <c r="N1031" i="2"/>
  <c r="N1053" i="2"/>
  <c r="N1009" i="2"/>
  <c r="N1016" i="2"/>
  <c r="N1039" i="2"/>
  <c r="N1038" i="2"/>
  <c r="N1075" i="2"/>
  <c r="N1014" i="2"/>
  <c r="N1027" i="2"/>
  <c r="N1085" i="2"/>
  <c r="N1025" i="2"/>
  <c r="N1076" i="2"/>
  <c r="N1063" i="2"/>
  <c r="N1040" i="2"/>
  <c r="N1041" i="2"/>
  <c r="N1058" i="2"/>
  <c r="N1043" i="2"/>
  <c r="N1082" i="2"/>
  <c r="N1029" i="2"/>
  <c r="N1047" i="2"/>
  <c r="N1018" i="2"/>
  <c r="N1054" i="2"/>
  <c r="N1079" i="2"/>
  <c r="N1032" i="2"/>
  <c r="N1050" i="2"/>
  <c r="N1074" i="2"/>
  <c r="N1033" i="2"/>
  <c r="N983" i="2"/>
  <c r="N1057" i="2"/>
  <c r="N1083" i="2"/>
  <c r="N1073" i="2"/>
  <c r="N1020" i="2"/>
  <c r="N1069" i="2"/>
  <c r="N1036" i="2"/>
  <c r="N1077" i="2"/>
  <c r="N1019" i="2"/>
  <c r="N917" i="2"/>
  <c r="N1056" i="2"/>
  <c r="N924" i="2"/>
  <c r="N352" i="2"/>
  <c r="N403" i="2"/>
  <c r="N341" i="2"/>
  <c r="N1022" i="2"/>
  <c r="N420" i="2"/>
  <c r="N1013" i="2"/>
  <c r="N1166" i="2"/>
  <c r="N1152" i="2"/>
  <c r="N1143" i="2"/>
  <c r="N927" i="2"/>
  <c r="N968" i="2"/>
  <c r="N969" i="2"/>
  <c r="N971" i="2"/>
  <c r="N970" i="2"/>
  <c r="N930" i="2"/>
  <c r="N943" i="2"/>
  <c r="N948" i="2"/>
  <c r="N938" i="2"/>
  <c r="N932" i="2"/>
  <c r="N918" i="2"/>
  <c r="N915" i="2"/>
  <c r="N951" i="2"/>
  <c r="N914" i="2"/>
  <c r="N960" i="2"/>
  <c r="N919" i="2"/>
  <c r="N972" i="2"/>
  <c r="N939" i="2"/>
  <c r="N954" i="2"/>
  <c r="N921" i="2"/>
  <c r="N925" i="2"/>
  <c r="N931" i="2"/>
  <c r="N967" i="2"/>
  <c r="N935" i="2"/>
  <c r="N957" i="2"/>
  <c r="N956" i="2"/>
  <c r="N942" i="2"/>
  <c r="N872" i="2"/>
  <c r="N897" i="2"/>
  <c r="N896" i="2"/>
  <c r="N904" i="2"/>
  <c r="N886" i="2"/>
  <c r="N887" i="2"/>
  <c r="N870" i="2"/>
  <c r="N894" i="2"/>
  <c r="N879" i="2"/>
  <c r="N878" i="2"/>
  <c r="N900" i="2"/>
  <c r="N883" i="2"/>
  <c r="N909" i="2"/>
  <c r="N885" i="2"/>
  <c r="N910" i="2"/>
  <c r="N893" i="2"/>
  <c r="N359" i="2"/>
  <c r="N945" i="2"/>
  <c r="N936" i="2"/>
  <c r="N901" i="2"/>
  <c r="N398" i="2"/>
  <c r="N346" i="2"/>
  <c r="N1023" i="2"/>
  <c r="N1028" i="2"/>
  <c r="N427" i="2"/>
  <c r="N162" i="2"/>
  <c r="N370" i="2"/>
  <c r="N876" i="2"/>
  <c r="N899" i="2"/>
  <c r="N189" i="2"/>
  <c r="N892" i="2"/>
  <c r="N982" i="2"/>
  <c r="N906" i="2"/>
  <c r="N922" i="2"/>
  <c r="N415" i="2"/>
  <c r="N193" i="2"/>
  <c r="N208" i="2"/>
  <c r="N933" i="2"/>
  <c r="N1048" i="2"/>
  <c r="N421" i="2"/>
  <c r="N388" i="2"/>
  <c r="N272" i="2"/>
  <c r="N143" i="2"/>
  <c r="N1234" i="2"/>
  <c r="N1238" i="2"/>
  <c r="N1216" i="2"/>
  <c r="N1215" i="2"/>
  <c r="N493" i="2"/>
  <c r="N498" i="2"/>
  <c r="N499" i="2"/>
  <c r="N492" i="2"/>
  <c r="N1051" i="2"/>
  <c r="N1086" i="2"/>
  <c r="N423" i="2"/>
  <c r="N941" i="2"/>
  <c r="N937" i="2"/>
  <c r="N422" i="2"/>
  <c r="N408" i="2"/>
  <c r="N354" i="2"/>
  <c r="N130" i="2"/>
  <c r="N198" i="2"/>
  <c r="N201" i="2"/>
  <c r="N209" i="2"/>
  <c r="N257" i="2"/>
  <c r="N197" i="2"/>
  <c r="N235" i="2"/>
  <c r="N258" i="2"/>
  <c r="N191" i="2"/>
  <c r="N903" i="2"/>
  <c r="N877" i="2"/>
  <c r="N1042" i="2"/>
  <c r="N881" i="2"/>
  <c r="N1062" i="2"/>
  <c r="N929" i="2"/>
  <c r="N367" i="2"/>
  <c r="N393" i="2"/>
  <c r="N417" i="2"/>
  <c r="N361" i="2"/>
  <c r="N365" i="2"/>
  <c r="N347" i="2"/>
  <c r="N337" i="2"/>
  <c r="N344" i="2"/>
  <c r="N339" i="2"/>
  <c r="N374" i="2"/>
  <c r="N351" i="2"/>
  <c r="N402" i="2"/>
  <c r="N412" i="2"/>
  <c r="N386" i="2"/>
  <c r="N410" i="2"/>
  <c r="N353" i="2"/>
  <c r="N411" i="2"/>
  <c r="N379" i="2"/>
  <c r="N333" i="2"/>
  <c r="N428" i="2"/>
  <c r="N364" i="2"/>
  <c r="N387" i="2"/>
  <c r="N407" i="2"/>
  <c r="N396" i="2"/>
  <c r="N348" i="2"/>
  <c r="N363" i="2"/>
  <c r="N384" i="2"/>
  <c r="N414" i="2"/>
  <c r="N340" i="2"/>
  <c r="N383" i="2"/>
  <c r="N419" i="2"/>
  <c r="N395" i="2"/>
  <c r="N424" i="2"/>
  <c r="N400" i="2"/>
  <c r="N376" i="2"/>
  <c r="N358" i="2"/>
  <c r="N405" i="2"/>
  <c r="N409" i="2"/>
  <c r="N366" i="2"/>
  <c r="N404" i="2"/>
  <c r="N371" i="2"/>
  <c r="N335" i="2"/>
  <c r="N392" i="2"/>
  <c r="N390" i="2"/>
  <c r="N350" i="2"/>
  <c r="N372" i="2"/>
  <c r="N406" i="2"/>
  <c r="N389" i="2"/>
  <c r="N940" i="2"/>
  <c r="N944" i="2"/>
  <c r="N891" i="2"/>
  <c r="N375" i="2"/>
  <c r="N259" i="2"/>
  <c r="N923" i="2"/>
  <c r="N1067" i="2"/>
  <c r="N425" i="2"/>
  <c r="N373" i="2"/>
  <c r="N1021" i="2"/>
  <c r="N1045" i="2"/>
  <c r="N1235" i="2"/>
  <c r="N1106" i="2"/>
  <c r="N1209" i="2"/>
  <c r="N1208" i="2"/>
  <c r="N1180" i="2"/>
  <c r="N1198" i="2"/>
  <c r="N1206" i="2"/>
  <c r="N1197" i="2"/>
  <c r="N741" i="2"/>
  <c r="N466" i="2"/>
  <c r="N913" i="2"/>
  <c r="N728" i="2"/>
  <c r="N981" i="2"/>
  <c r="N934" i="2"/>
  <c r="N980" i="2"/>
  <c r="N284" i="2"/>
  <c r="N307" i="2"/>
  <c r="N730" i="2"/>
  <c r="N247" i="2"/>
  <c r="N448" i="2"/>
  <c r="N1091" i="2"/>
  <c r="N311" i="2"/>
  <c r="N1102" i="2"/>
  <c r="N641" i="2"/>
  <c r="N735" i="2"/>
  <c r="N319" i="2"/>
  <c r="N281" i="2"/>
  <c r="N312" i="2"/>
  <c r="N321" i="2"/>
  <c r="N1035" i="2"/>
  <c r="N601" i="2"/>
  <c r="N1112" i="2"/>
  <c r="N174" i="2"/>
  <c r="N1030" i="2"/>
  <c r="N884" i="2"/>
  <c r="N1055" i="2"/>
  <c r="N644" i="2"/>
  <c r="N184" i="2"/>
  <c r="N192" i="2"/>
  <c r="N648" i="2"/>
  <c r="N793" i="2"/>
  <c r="N456" i="2"/>
  <c r="N214" i="2"/>
  <c r="N453" i="2"/>
  <c r="N920" i="2"/>
  <c r="N290" i="2"/>
  <c r="N418" i="2"/>
  <c r="N345" i="2"/>
  <c r="N332" i="2"/>
  <c r="N251" i="2"/>
  <c r="N244" i="2"/>
  <c r="N436" i="2"/>
  <c r="N738" i="2"/>
  <c r="N783" i="2"/>
  <c r="N369" i="2"/>
  <c r="N221" i="2"/>
  <c r="N1127" i="2"/>
  <c r="N150" i="2"/>
  <c r="N802" i="2"/>
  <c r="N1024" i="2"/>
  <c r="N678" i="2"/>
  <c r="N195" i="2"/>
  <c r="N185" i="2"/>
  <c r="N357" i="2"/>
  <c r="N260" i="2"/>
  <c r="N204" i="2"/>
  <c r="N905" i="2"/>
  <c r="N219" i="2"/>
  <c r="N825" i="2"/>
  <c r="N532" i="2"/>
  <c r="N298" i="2"/>
  <c r="N459" i="2"/>
  <c r="N953" i="2"/>
  <c r="N769" i="2"/>
  <c r="N382" i="2"/>
  <c r="N325" i="2"/>
  <c r="N437" i="2"/>
  <c r="N868" i="2"/>
  <c r="N217" i="2"/>
  <c r="N381" i="2"/>
  <c r="N707" i="2"/>
  <c r="N594" i="2"/>
  <c r="N305" i="2"/>
  <c r="N234" i="2"/>
  <c r="N950" i="2"/>
  <c r="N869" i="2"/>
  <c r="N716" i="2"/>
  <c r="N213" i="2"/>
  <c r="N287" i="2"/>
  <c r="N278" i="2"/>
  <c r="N222" i="2"/>
  <c r="N413" i="2"/>
  <c r="N767" i="2"/>
  <c r="N718" i="2"/>
  <c r="N617" i="2"/>
  <c r="N785" i="2"/>
  <c r="N635" i="2"/>
  <c r="N462" i="2"/>
  <c r="N271" i="2"/>
  <c r="N604" i="2"/>
  <c r="N1099" i="2"/>
  <c r="N194" i="2"/>
  <c r="N186" i="2"/>
  <c r="N686" i="2"/>
  <c r="N1060" i="2"/>
  <c r="N183" i="2"/>
  <c r="N503" i="2"/>
  <c r="N472" i="2"/>
  <c r="N282" i="2"/>
  <c r="N435" i="2"/>
  <c r="N121" i="2"/>
  <c r="N142" i="2"/>
  <c r="N501" i="2"/>
  <c r="N624" i="2"/>
  <c r="N172" i="2"/>
  <c r="N238" i="2"/>
  <c r="N464" i="2"/>
  <c r="N301" i="2"/>
  <c r="N1111" i="2"/>
  <c r="N979" i="2"/>
  <c r="N888" i="2"/>
  <c r="N1116" i="2"/>
  <c r="N429" i="2"/>
  <c r="N1078" i="2"/>
  <c r="N955" i="2"/>
  <c r="N1101" i="2"/>
  <c r="N875" i="2"/>
  <c r="N800" i="2"/>
  <c r="N529" i="2"/>
  <c r="N264" i="2"/>
  <c r="N230" i="2"/>
  <c r="N253" i="2"/>
  <c r="N180" i="2"/>
  <c r="N928" i="2"/>
  <c r="N320" i="2"/>
  <c r="N689" i="2"/>
  <c r="N916" i="2"/>
  <c r="N488" i="2"/>
  <c r="N902" i="2"/>
  <c r="N479" i="2"/>
  <c r="N255" i="2"/>
  <c r="N326" i="2"/>
  <c r="N313" i="2"/>
  <c r="N256" i="2"/>
  <c r="N452" i="2"/>
  <c r="N274" i="2"/>
  <c r="N1122" i="2"/>
  <c r="N907" i="2"/>
  <c r="N476" i="2"/>
  <c r="N296" i="2"/>
  <c r="N302" i="2"/>
  <c r="N880" i="2"/>
  <c r="N1049" i="2"/>
  <c r="N657" i="2"/>
  <c r="N349" i="2"/>
  <c r="N252" i="2"/>
  <c r="N276" i="2"/>
  <c r="N212" i="2"/>
  <c r="N338" i="2"/>
  <c r="N196" i="2"/>
  <c r="N763" i="2"/>
  <c r="N461" i="2"/>
  <c r="N947" i="2"/>
  <c r="N273" i="2"/>
  <c r="N133" i="2"/>
  <c r="N585" i="2"/>
  <c r="N673" i="2"/>
  <c r="N262" i="2"/>
  <c r="N280" i="2"/>
  <c r="N713" i="2"/>
  <c r="N560" i="2"/>
  <c r="N620" i="2"/>
  <c r="N1092" i="2"/>
  <c r="N1100" i="2"/>
  <c r="N890" i="2"/>
  <c r="N246" i="2"/>
  <c r="N286" i="2"/>
  <c r="N1044" i="2"/>
  <c r="N157" i="2"/>
  <c r="N1087" i="2"/>
  <c r="N871" i="2"/>
  <c r="N991" i="2"/>
  <c r="N614" i="2"/>
  <c r="N292" i="2"/>
  <c r="N629" i="2"/>
  <c r="N360" i="2"/>
  <c r="N248" i="2"/>
  <c r="N178" i="2"/>
  <c r="N315" i="2"/>
  <c r="N362" i="2"/>
  <c r="N854" i="2"/>
  <c r="N642" i="2"/>
  <c r="N279" i="2"/>
  <c r="N329" i="2"/>
  <c r="N187" i="2"/>
  <c r="N304" i="2"/>
  <c r="N431" i="2"/>
  <c r="N669" i="2"/>
  <c r="N188" i="2"/>
  <c r="N181" i="2"/>
  <c r="N774" i="2"/>
  <c r="N265" i="2"/>
  <c r="N625" i="2"/>
  <c r="N978" i="2"/>
  <c r="N327" i="2"/>
  <c r="F23" i="37"/>
  <c r="N17" i="2"/>
  <c r="N26" i="2"/>
  <c r="N22" i="2"/>
  <c r="N18" i="2"/>
  <c r="N14" i="2"/>
  <c r="N16" i="2"/>
  <c r="N13" i="2"/>
  <c r="I30" i="38"/>
  <c r="I27" i="38"/>
  <c r="J27" i="38"/>
  <c r="K27" i="38"/>
  <c r="L27" i="38"/>
  <c r="M27" i="38"/>
  <c r="N27" i="38"/>
  <c r="I28" i="38"/>
  <c r="J28" i="38"/>
  <c r="K28" i="38"/>
  <c r="L28" i="38"/>
  <c r="M28" i="38"/>
  <c r="N28" i="38"/>
  <c r="I29" i="38"/>
  <c r="J29" i="38"/>
  <c r="K29" i="38"/>
  <c r="L29" i="38"/>
  <c r="M29" i="38"/>
  <c r="N29" i="38"/>
  <c r="F27" i="37" l="1"/>
  <c r="F25" i="37"/>
  <c r="F30" i="37"/>
  <c r="F29" i="37"/>
  <c r="F31" i="37"/>
  <c r="F17" i="37"/>
  <c r="G23" i="37"/>
  <c r="H23" i="37"/>
  <c r="H25" i="37" l="1"/>
  <c r="G27" i="37"/>
  <c r="H27" i="37"/>
  <c r="G25" i="37"/>
  <c r="H17" i="37"/>
  <c r="H31" i="37"/>
  <c r="G29" i="37"/>
  <c r="G17" i="37"/>
  <c r="H30" i="37"/>
  <c r="G31" i="37"/>
  <c r="H29" i="37"/>
  <c r="C16" i="17" l="1"/>
  <c r="K36" i="37" l="1"/>
  <c r="N33" i="18"/>
  <c r="M33" i="18"/>
  <c r="L33" i="18"/>
  <c r="K33" i="18"/>
  <c r="J33" i="18"/>
  <c r="I33" i="18"/>
  <c r="N30" i="38"/>
  <c r="M30" i="38"/>
  <c r="L30" i="38"/>
  <c r="K30" i="38"/>
  <c r="J30" i="38"/>
  <c r="J31" i="38" l="1"/>
  <c r="I31" i="38"/>
  <c r="M31" i="38"/>
  <c r="L31" i="38"/>
  <c r="I40" i="18"/>
  <c r="N40" i="18"/>
  <c r="M40" i="18"/>
  <c r="R24" i="28"/>
  <c r="R13" i="28"/>
  <c r="R14" i="28"/>
  <c r="R15" i="28"/>
  <c r="R16" i="28"/>
  <c r="R17" i="28"/>
  <c r="R18" i="28"/>
  <c r="R19" i="28"/>
  <c r="R20" i="28"/>
  <c r="R21" i="28"/>
  <c r="R22" i="28"/>
  <c r="R23" i="28"/>
  <c r="R12" i="28"/>
  <c r="N23" i="38"/>
  <c r="M23" i="38"/>
  <c r="L23" i="38"/>
  <c r="K23" i="38"/>
  <c r="J23" i="38"/>
  <c r="I23" i="38"/>
  <c r="B4" i="38"/>
  <c r="B4" i="37"/>
  <c r="B4" i="5"/>
  <c r="N29" i="18"/>
  <c r="M29" i="18"/>
  <c r="L29" i="18"/>
  <c r="K29" i="18"/>
  <c r="J29" i="18"/>
  <c r="I29" i="18"/>
  <c r="B4" i="28"/>
  <c r="C4" i="2"/>
  <c r="B4" i="18"/>
  <c r="B4" i="17"/>
  <c r="B41" i="17"/>
  <c r="B47" i="17" s="1"/>
  <c r="B51" i="17" s="1"/>
  <c r="B52" i="17"/>
  <c r="N1147" i="2" l="1"/>
  <c r="N987" i="2"/>
  <c r="N750" i="2"/>
  <c r="N495" i="2"/>
  <c r="N994" i="2"/>
  <c r="N1172" i="2"/>
  <c r="N1108" i="2"/>
  <c r="N1237" i="2"/>
  <c r="N1190" i="2"/>
  <c r="N190" i="2"/>
  <c r="N203" i="2"/>
  <c r="N958" i="2"/>
  <c r="N976" i="2"/>
  <c r="N758" i="2"/>
  <c r="N752" i="2"/>
  <c r="N202" i="2"/>
  <c r="N207" i="2"/>
  <c r="N619" i="2"/>
  <c r="N961" i="2"/>
  <c r="N576" i="2"/>
  <c r="N751" i="2"/>
  <c r="N1004" i="2"/>
  <c r="N974" i="2"/>
  <c r="N975" i="2"/>
  <c r="N211" i="2"/>
  <c r="N618" i="2"/>
  <c r="N1226" i="2"/>
  <c r="N1107" i="2"/>
  <c r="N1118" i="2"/>
  <c r="N1199" i="2"/>
  <c r="N1173" i="2"/>
  <c r="N1125" i="2"/>
  <c r="N1214" i="2"/>
  <c r="N1176" i="2"/>
  <c r="N575" i="2"/>
  <c r="N1126" i="2"/>
  <c r="N1205" i="2"/>
  <c r="N757" i="2"/>
  <c r="N992" i="2"/>
  <c r="N1211" i="2"/>
  <c r="N1194" i="2"/>
  <c r="N1170" i="2"/>
  <c r="N1192" i="2"/>
  <c r="N1150" i="2"/>
  <c r="N993" i="2"/>
  <c r="N1210" i="2"/>
  <c r="N995" i="2"/>
  <c r="N1109" i="2"/>
  <c r="N491" i="2"/>
  <c r="N1089" i="2"/>
  <c r="N1171" i="2"/>
  <c r="N1174" i="2"/>
  <c r="N1149" i="2"/>
  <c r="N1093" i="2"/>
  <c r="N1193" i="2"/>
  <c r="N1017" i="2"/>
  <c r="N572" i="2"/>
  <c r="N753" i="2"/>
  <c r="N1000" i="2"/>
  <c r="N1227" i="2"/>
  <c r="N1012" i="2"/>
  <c r="N1094" i="2"/>
  <c r="N1117" i="2"/>
  <c r="N494" i="2"/>
  <c r="N630" i="2"/>
  <c r="N1007" i="2"/>
  <c r="N1167" i="2"/>
  <c r="N1136" i="2"/>
  <c r="N1217" i="2"/>
  <c r="N754" i="2"/>
  <c r="N571" i="2"/>
  <c r="N1224" i="2"/>
  <c r="N1144" i="2"/>
  <c r="N1225" i="2"/>
  <c r="N1001" i="2"/>
  <c r="N1129" i="2"/>
  <c r="N1218" i="2"/>
  <c r="N1156" i="2"/>
  <c r="N759" i="2"/>
  <c r="N1179" i="2"/>
  <c r="N1233" i="2"/>
  <c r="N1137" i="2"/>
  <c r="N1181" i="2"/>
  <c r="N1095" i="2"/>
  <c r="N1160" i="2"/>
  <c r="N1145" i="2"/>
  <c r="N1090" i="2"/>
  <c r="N1219" i="2"/>
  <c r="N573" i="2"/>
  <c r="N963" i="2"/>
  <c r="N1200" i="2"/>
  <c r="N1003" i="2"/>
  <c r="N1228" i="2"/>
  <c r="N1158" i="2"/>
  <c r="N1184" i="2"/>
  <c r="N1002" i="2"/>
  <c r="N1142" i="2"/>
  <c r="N1178" i="2"/>
  <c r="N1212" i="2"/>
  <c r="N1223" i="2"/>
  <c r="N964" i="2"/>
  <c r="N1187" i="2"/>
  <c r="N1161" i="2"/>
  <c r="N1186" i="2"/>
  <c r="N1220" i="2"/>
  <c r="N1182" i="2"/>
  <c r="N1169" i="2"/>
  <c r="N1006" i="2"/>
  <c r="N1157" i="2"/>
  <c r="N1222" i="2"/>
  <c r="N1185" i="2"/>
  <c r="N1141" i="2"/>
  <c r="N1230" i="2"/>
  <c r="N1231" i="2"/>
  <c r="N1213" i="2"/>
  <c r="N496" i="2"/>
  <c r="N989" i="2"/>
  <c r="N1128" i="2"/>
  <c r="N1140" i="2"/>
  <c r="N1202" i="2"/>
  <c r="N1011" i="2"/>
  <c r="N1155" i="2"/>
  <c r="N497" i="2"/>
  <c r="N232" i="2"/>
  <c r="N966" i="2"/>
  <c r="N1138" i="2"/>
  <c r="N1188" i="2"/>
  <c r="N574" i="2"/>
  <c r="N210" i="2"/>
  <c r="N1232" i="2"/>
  <c r="N1154" i="2"/>
  <c r="N1203" i="2"/>
  <c r="N1164" i="2"/>
  <c r="N1196" i="2"/>
  <c r="N1221" i="2"/>
  <c r="N1005" i="2"/>
  <c r="N632" i="2"/>
  <c r="N1162" i="2"/>
  <c r="N1204" i="2"/>
  <c r="N988" i="2"/>
  <c r="N990" i="2"/>
  <c r="N1103" i="2"/>
  <c r="N1201" i="2"/>
  <c r="N965" i="2"/>
  <c r="N1229" i="2"/>
  <c r="N1104" i="2"/>
  <c r="N761" i="2"/>
  <c r="N1139" i="2"/>
  <c r="N1165" i="2"/>
  <c r="N1163" i="2"/>
  <c r="N1183" i="2"/>
  <c r="N749" i="2"/>
  <c r="N1130" i="2"/>
  <c r="N633" i="2"/>
  <c r="N1189" i="2"/>
  <c r="C15" i="37"/>
  <c r="C14" i="37"/>
  <c r="C16" i="37"/>
  <c r="O29" i="18"/>
  <c r="B49" i="17"/>
  <c r="B50" i="17"/>
  <c r="R26" i="28"/>
  <c r="O23" i="38"/>
  <c r="K31" i="38"/>
  <c r="J40" i="18"/>
  <c r="N31" i="38"/>
  <c r="L40" i="18"/>
  <c r="K40" i="18"/>
  <c r="F20" i="37" l="1"/>
  <c r="H20" i="37" s="1"/>
  <c r="F21" i="37"/>
  <c r="F33" i="37"/>
  <c r="F35" i="37"/>
  <c r="F19" i="37"/>
  <c r="F34" i="37"/>
  <c r="F22" i="37"/>
  <c r="F24" i="37"/>
  <c r="F18" i="37"/>
  <c r="F28" i="37"/>
  <c r="F32" i="37"/>
  <c r="F26" i="37"/>
  <c r="N812" i="2"/>
  <c r="N806" i="2"/>
  <c r="N803" i="2"/>
  <c r="N810" i="2"/>
  <c r="N850" i="2"/>
  <c r="N865" i="2"/>
  <c r="N822" i="2"/>
  <c r="N824" i="2"/>
  <c r="N808" i="2"/>
  <c r="N853" i="2"/>
  <c r="N842" i="2"/>
  <c r="N804" i="2"/>
  <c r="N820" i="2"/>
  <c r="N860" i="2"/>
  <c r="N831" i="2"/>
  <c r="N852" i="2"/>
  <c r="N841" i="2"/>
  <c r="N814" i="2"/>
  <c r="N839" i="2"/>
  <c r="N866" i="2"/>
  <c r="N838" i="2"/>
  <c r="N861" i="2"/>
  <c r="N835" i="2"/>
  <c r="N851" i="2"/>
  <c r="N845" i="2"/>
  <c r="N847" i="2"/>
  <c r="N855" i="2"/>
  <c r="N856" i="2"/>
  <c r="N830" i="2"/>
  <c r="N834" i="2"/>
  <c r="N829" i="2"/>
  <c r="N809" i="2"/>
  <c r="N844" i="2"/>
  <c r="N821" i="2"/>
  <c r="N827" i="2"/>
  <c r="N811" i="2"/>
  <c r="N833" i="2"/>
  <c r="N862" i="2"/>
  <c r="N823" i="2"/>
  <c r="N837" i="2"/>
  <c r="N857" i="2"/>
  <c r="N805" i="2"/>
  <c r="N816" i="2"/>
  <c r="N849" i="2"/>
  <c r="N819" i="2"/>
  <c r="N832" i="2"/>
  <c r="N858" i="2"/>
  <c r="N846" i="2"/>
  <c r="N813" i="2"/>
  <c r="N848" i="2"/>
  <c r="N859" i="2"/>
  <c r="N843" i="2"/>
  <c r="N818" i="2"/>
  <c r="N836" i="2"/>
  <c r="N815" i="2"/>
  <c r="N817" i="2"/>
  <c r="N828" i="2"/>
  <c r="N840" i="2"/>
  <c r="N826" i="2"/>
  <c r="N863" i="2"/>
  <c r="N864" i="2"/>
  <c r="N542" i="2"/>
  <c r="N570" i="2"/>
  <c r="N537" i="2"/>
  <c r="N534" i="2"/>
  <c r="N540" i="2"/>
  <c r="N539" i="2"/>
  <c r="N541" i="2"/>
  <c r="N520" i="2"/>
  <c r="N558" i="2"/>
  <c r="N559" i="2"/>
  <c r="N504" i="2"/>
  <c r="N525" i="2"/>
  <c r="N538" i="2"/>
  <c r="N547" i="2"/>
  <c r="N543" i="2"/>
  <c r="N554" i="2"/>
  <c r="N530" i="2"/>
  <c r="N502" i="2"/>
  <c r="N511" i="2"/>
  <c r="N544" i="2"/>
  <c r="N527" i="2"/>
  <c r="N566" i="2"/>
  <c r="N516" i="2"/>
  <c r="N524" i="2"/>
  <c r="N517" i="2"/>
  <c r="N555" i="2"/>
  <c r="N518" i="2"/>
  <c r="N546" i="2"/>
  <c r="N550" i="2"/>
  <c r="N505" i="2"/>
  <c r="N563" i="2"/>
  <c r="N528" i="2"/>
  <c r="N519" i="2"/>
  <c r="N565" i="2"/>
  <c r="N512" i="2"/>
  <c r="N562" i="2"/>
  <c r="N536" i="2"/>
  <c r="N548" i="2"/>
  <c r="N508" i="2"/>
  <c r="N564" i="2"/>
  <c r="N522" i="2"/>
  <c r="N556" i="2"/>
  <c r="N561" i="2"/>
  <c r="N568" i="2"/>
  <c r="N513" i="2"/>
  <c r="N567" i="2"/>
  <c r="N514" i="2"/>
  <c r="N515" i="2"/>
  <c r="N549" i="2"/>
  <c r="N506" i="2"/>
  <c r="N507" i="2"/>
  <c r="N521" i="2"/>
  <c r="N551" i="2"/>
  <c r="N553" i="2"/>
  <c r="N552" i="2"/>
  <c r="N510" i="2"/>
  <c r="N509" i="2"/>
  <c r="N533" i="2"/>
  <c r="N526" i="2"/>
  <c r="N569" i="2"/>
  <c r="N523" i="2"/>
  <c r="N545" i="2"/>
  <c r="N557" i="2"/>
  <c r="N45" i="2"/>
  <c r="N63" i="2"/>
  <c r="N55" i="2"/>
  <c r="N56" i="2"/>
  <c r="N59" i="2"/>
  <c r="N62" i="2"/>
  <c r="N48" i="2"/>
  <c r="N49" i="2"/>
  <c r="N52" i="2"/>
  <c r="N47" i="2"/>
  <c r="N60" i="2"/>
  <c r="N57" i="2"/>
  <c r="N64" i="2"/>
  <c r="N50" i="2"/>
  <c r="N53" i="2"/>
  <c r="N46" i="2"/>
  <c r="N58" i="2"/>
  <c r="N74" i="2"/>
  <c r="N93" i="2"/>
  <c r="N114" i="2"/>
  <c r="N54" i="2"/>
  <c r="N39" i="2"/>
  <c r="N82" i="2"/>
  <c r="N104" i="2"/>
  <c r="N73" i="2"/>
  <c r="N92" i="2"/>
  <c r="N113" i="2"/>
  <c r="N28" i="2"/>
  <c r="N51" i="2"/>
  <c r="N81" i="2"/>
  <c r="N103" i="2"/>
  <c r="N42" i="2"/>
  <c r="N91" i="2"/>
  <c r="N112" i="2"/>
  <c r="N61" i="2"/>
  <c r="N83" i="2"/>
  <c r="N87" i="2"/>
  <c r="N69" i="2"/>
  <c r="N67" i="2"/>
  <c r="N106" i="2"/>
  <c r="N88" i="2"/>
  <c r="N31" i="2"/>
  <c r="N76" i="2"/>
  <c r="N98" i="2"/>
  <c r="N32" i="2"/>
  <c r="N79" i="2"/>
  <c r="N89" i="2"/>
  <c r="N86" i="2"/>
  <c r="N107" i="2"/>
  <c r="N80" i="2"/>
  <c r="N94" i="2"/>
  <c r="N29" i="2"/>
  <c r="N90" i="2"/>
  <c r="N108" i="2"/>
  <c r="N111" i="2"/>
  <c r="N65" i="2"/>
  <c r="N75" i="2"/>
  <c r="N77" i="2"/>
  <c r="N30" i="2"/>
  <c r="N38" i="2"/>
  <c r="N23" i="2"/>
  <c r="N21" i="2"/>
  <c r="N102" i="2"/>
  <c r="N37" i="2"/>
  <c r="N110" i="2"/>
  <c r="N11" i="2"/>
  <c r="N36" i="2"/>
  <c r="N85" i="2"/>
  <c r="N96" i="2"/>
  <c r="N19" i="2"/>
  <c r="N15" i="2"/>
  <c r="N84" i="2"/>
  <c r="N10" i="2"/>
  <c r="N43" i="2"/>
  <c r="N25" i="2"/>
  <c r="N100" i="2"/>
  <c r="N20" i="2"/>
  <c r="N101" i="2"/>
  <c r="N70" i="2"/>
  <c r="N35" i="2"/>
  <c r="N33" i="2"/>
  <c r="N12" i="2"/>
  <c r="N40" i="2"/>
  <c r="N44" i="2"/>
  <c r="N109" i="2"/>
  <c r="N71" i="2"/>
  <c r="N24" i="2"/>
  <c r="N99" i="2"/>
  <c r="N95" i="2"/>
  <c r="N41" i="2"/>
  <c r="N68" i="2"/>
  <c r="N34" i="2"/>
  <c r="N66" i="2"/>
  <c r="C36" i="37"/>
  <c r="E12" i="18"/>
  <c r="E15" i="18" s="1"/>
  <c r="B53" i="17"/>
  <c r="E12" i="38"/>
  <c r="E14" i="38" s="1"/>
  <c r="G20" i="37" l="1"/>
  <c r="G34" i="37"/>
  <c r="H34" i="37"/>
  <c r="G26" i="37"/>
  <c r="H26" i="37"/>
  <c r="H19" i="37"/>
  <c r="G19" i="37"/>
  <c r="G32" i="37"/>
  <c r="H32" i="37"/>
  <c r="G28" i="37"/>
  <c r="H28" i="37"/>
  <c r="G18" i="37"/>
  <c r="H18" i="37"/>
  <c r="G33" i="37"/>
  <c r="H33" i="37"/>
  <c r="G24" i="37"/>
  <c r="H24" i="37"/>
  <c r="G35" i="37"/>
  <c r="H35" i="37"/>
  <c r="H22" i="37"/>
  <c r="G22" i="37"/>
  <c r="H21" i="37"/>
  <c r="G21" i="37"/>
  <c r="F14" i="37"/>
  <c r="F16" i="37"/>
  <c r="F15" i="37"/>
  <c r="E16" i="38"/>
  <c r="K46" i="38" s="1"/>
  <c r="K45" i="38"/>
  <c r="E18" i="18"/>
  <c r="K47" i="18" s="1"/>
  <c r="K45" i="18"/>
  <c r="E17" i="38"/>
  <c r="E17" i="18"/>
  <c r="H15" i="37" l="1"/>
  <c r="H16" i="37"/>
  <c r="G14" i="37"/>
  <c r="H14" i="37"/>
  <c r="G15" i="37"/>
  <c r="G16" i="37"/>
  <c r="F36" i="37"/>
  <c r="H8" i="28"/>
  <c r="E18" i="38"/>
  <c r="E20" i="38" s="1"/>
  <c r="K47" i="38"/>
  <c r="E19" i="18"/>
  <c r="E21" i="18" s="1"/>
  <c r="C29" i="17" s="1"/>
  <c r="C31" i="17" s="1"/>
  <c r="C34" i="17" s="1"/>
  <c r="C21" i="17" s="1"/>
  <c r="C24" i="17" s="1"/>
  <c r="K46" i="18"/>
  <c r="H36" i="37" l="1"/>
  <c r="G36" i="37"/>
  <c r="K52" i="18"/>
  <c r="E21" i="38"/>
  <c r="E22" i="38" s="1"/>
  <c r="E24" i="38" s="1"/>
  <c r="E22" i="18"/>
  <c r="K48" i="38" l="1"/>
  <c r="E25" i="38"/>
  <c r="E31" i="38" s="1"/>
  <c r="E42" i="38" s="1"/>
  <c r="K61" i="38" s="1"/>
  <c r="K49" i="38"/>
  <c r="E23" i="18"/>
  <c r="E25" i="18" s="1"/>
  <c r="K48" i="18"/>
  <c r="K63" i="38" l="1"/>
  <c r="E26" i="18"/>
  <c r="E32" i="18" s="1"/>
  <c r="K49" i="18"/>
  <c r="E46" i="38"/>
  <c r="J27" i="37" l="1"/>
  <c r="J28" i="37"/>
  <c r="J19" i="37"/>
  <c r="J31" i="37"/>
  <c r="J26" i="37"/>
  <c r="J24" i="37"/>
  <c r="J32" i="37"/>
  <c r="J18" i="37"/>
  <c r="J29" i="37"/>
  <c r="J17" i="37"/>
  <c r="J22" i="37"/>
  <c r="J34" i="37"/>
  <c r="J23" i="37"/>
  <c r="J20" i="37"/>
  <c r="J21" i="37"/>
  <c r="J30" i="37"/>
  <c r="J35" i="37"/>
  <c r="J33" i="37"/>
  <c r="J25" i="37"/>
  <c r="J14" i="37"/>
  <c r="J16" i="37"/>
  <c r="J15" i="37"/>
  <c r="F34" i="38"/>
  <c r="F35" i="38"/>
  <c r="F36" i="38"/>
  <c r="F37" i="38"/>
  <c r="F38" i="38"/>
  <c r="F39" i="38"/>
  <c r="F40" i="38"/>
  <c r="E48" i="38"/>
  <c r="K65" i="38" s="1"/>
  <c r="F33" i="38"/>
  <c r="E52" i="38"/>
  <c r="F18" i="38"/>
  <c r="F44" i="38"/>
  <c r="F25" i="38"/>
  <c r="E50" i="38"/>
  <c r="F22" i="38"/>
  <c r="F31" i="38"/>
  <c r="F42" i="38"/>
  <c r="E43" i="18"/>
  <c r="K61" i="18" s="1"/>
  <c r="K63" i="18" s="1"/>
  <c r="J36" i="37" l="1"/>
  <c r="K69" i="38"/>
  <c r="K67" i="38"/>
  <c r="F46" i="38"/>
  <c r="E47" i="18"/>
  <c r="I27" i="37" l="1"/>
  <c r="M27" i="37" s="1"/>
  <c r="N27" i="37" s="1"/>
  <c r="I28" i="37"/>
  <c r="M28" i="37" s="1"/>
  <c r="N28" i="37" s="1"/>
  <c r="I23" i="37"/>
  <c r="I25" i="37"/>
  <c r="I21" i="37"/>
  <c r="I31" i="37"/>
  <c r="I20" i="37"/>
  <c r="I24" i="37"/>
  <c r="I34" i="37"/>
  <c r="I22" i="37"/>
  <c r="I26" i="37"/>
  <c r="I30" i="37"/>
  <c r="I35" i="37"/>
  <c r="I29" i="37"/>
  <c r="I33" i="37"/>
  <c r="I19" i="37"/>
  <c r="I32" i="37"/>
  <c r="I17" i="37"/>
  <c r="I18" i="37"/>
  <c r="I15" i="37"/>
  <c r="I16" i="37"/>
  <c r="I14" i="37"/>
  <c r="E49" i="18"/>
  <c r="F35" i="18"/>
  <c r="F36" i="18"/>
  <c r="F37" i="18"/>
  <c r="F38" i="18"/>
  <c r="F39" i="18"/>
  <c r="F40" i="18"/>
  <c r="F41" i="18"/>
  <c r="F34" i="18"/>
  <c r="F42" i="18"/>
  <c r="E51" i="18"/>
  <c r="F45" i="18"/>
  <c r="F19" i="18"/>
  <c r="F23" i="18"/>
  <c r="F26" i="18"/>
  <c r="E53" i="18"/>
  <c r="F32" i="18"/>
  <c r="F43" i="18"/>
  <c r="M18" i="37" l="1"/>
  <c r="L36" i="37"/>
  <c r="L38" i="37" s="1"/>
  <c r="K69" i="18"/>
  <c r="K67" i="18"/>
  <c r="K65" i="18"/>
  <c r="I36" i="37"/>
  <c r="F47" i="18"/>
  <c r="M23" i="37" l="1"/>
  <c r="M16" i="37"/>
  <c r="M21" i="37"/>
  <c r="M15" i="37"/>
  <c r="M32" i="37"/>
  <c r="M35" i="37"/>
  <c r="M19" i="37"/>
  <c r="M29" i="37"/>
  <c r="M17" i="37"/>
  <c r="M25" i="37"/>
  <c r="M24" i="37"/>
  <c r="M20" i="37"/>
  <c r="M31" i="37"/>
  <c r="M14" i="37"/>
  <c r="M22" i="37"/>
  <c r="M33" i="37"/>
  <c r="M34" i="37"/>
  <c r="M26" i="37"/>
  <c r="M30" i="37"/>
  <c r="N20" i="37" l="1"/>
  <c r="N31" i="37"/>
  <c r="N16" i="37"/>
  <c r="N23" i="37"/>
  <c r="N30" i="37"/>
  <c r="N34" i="37"/>
  <c r="N29" i="37"/>
  <c r="N26" i="37"/>
  <c r="N22" i="37"/>
  <c r="N33" i="37"/>
  <c r="N25" i="37"/>
  <c r="N24" i="37"/>
  <c r="N21" i="37"/>
  <c r="N32" i="37"/>
  <c r="N35" i="37"/>
  <c r="N19" i="37"/>
  <c r="N17" i="37"/>
  <c r="N18" i="37"/>
  <c r="N15" i="37"/>
  <c r="M36" i="37" l="1"/>
  <c r="N14" i="37"/>
  <c r="M1" i="37" l="1"/>
  <c r="M2" i="37" s="1"/>
  <c r="M3" i="37" s="1"/>
  <c r="N36" i="37"/>
</calcChain>
</file>

<file path=xl/sharedStrings.xml><?xml version="1.0" encoding="utf-8"?>
<sst xmlns="http://schemas.openxmlformats.org/spreadsheetml/2006/main" count="12356" uniqueCount="1148">
  <si>
    <t>Premie Ouderdomspensioen (OP)</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</si>
  <si>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</si>
  <si>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</si>
  <si>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</si>
  <si>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</si>
  <si>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</si>
  <si>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</si>
  <si>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</si>
  <si>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</si>
  <si>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</si>
  <si>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</si>
  <si>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</si>
  <si>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</si>
  <si>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</si>
  <si>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</si>
  <si>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</si>
  <si>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</si>
  <si>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</si>
  <si>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</si>
  <si>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</si>
  <si>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</si>
  <si>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</si>
  <si>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</si>
  <si>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</si>
  <si>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</si>
  <si>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</si>
  <si>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</si>
  <si>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</si>
  <si>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</si>
  <si>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</si>
  <si>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</si>
  <si>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</si>
  <si>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</si>
  <si>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</si>
  <si>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</si>
  <si>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</si>
  <si>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</si>
  <si>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</si>
  <si>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</si>
  <si>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</si>
  <si>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</si>
  <si>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</si>
  <si>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</si>
  <si>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</si>
  <si>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</si>
  <si>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</si>
  <si>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</si>
  <si>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</si>
  <si>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</si>
  <si>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</si>
  <si>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</si>
  <si>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</si>
  <si>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</si>
  <si>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</si>
  <si>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</si>
  <si>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</si>
  <si>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</si>
  <si>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</si>
  <si>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</si>
  <si>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</si>
  <si>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</si>
  <si>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</si>
  <si>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</si>
  <si>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</si>
  <si>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</si>
  <si>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</si>
  <si>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</si>
  <si>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</si>
  <si>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</si>
  <si>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</si>
  <si>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</si>
  <si>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</si>
  <si>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</si>
  <si>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</si>
  <si>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</si>
  <si>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</si>
  <si>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</si>
  <si>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</si>
  <si>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</si>
  <si>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</si>
  <si>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</si>
  <si>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</si>
  <si>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</si>
  <si>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</si>
  <si>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</si>
  <si>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</si>
  <si>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</si>
  <si>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</si>
  <si>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</si>
  <si>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</si>
  <si>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Kleedruimte</t>
  </si>
  <si>
    <t>Tegels</t>
  </si>
  <si>
    <t>Beton</t>
  </si>
  <si>
    <t>Kelder</t>
  </si>
  <si>
    <t>Locatie</t>
  </si>
  <si>
    <t>Adres</t>
  </si>
  <si>
    <t>Frequentie van uitvoering (per jaar):</t>
  </si>
  <si>
    <t>VSR Code</t>
  </si>
  <si>
    <t>Freq</t>
  </si>
  <si>
    <t>Norm ma t/m vr</t>
  </si>
  <si>
    <t>B</t>
  </si>
  <si>
    <t>V</t>
  </si>
  <si>
    <t>S</t>
  </si>
  <si>
    <t>0-100m²</t>
  </si>
  <si>
    <t>101-500m²</t>
  </si>
  <si>
    <t>501-1000m²</t>
  </si>
  <si>
    <t>&gt; 1000m²</t>
  </si>
  <si>
    <t>Prijs p/m²  excl. btw</t>
  </si>
  <si>
    <t>Prijs p/uur excl. btw</t>
  </si>
  <si>
    <t>Maandag - Vrijdag</t>
  </si>
  <si>
    <t>Feestdagen (incl. 150% toeslag conform cao)</t>
  </si>
  <si>
    <t>Zaterdag - zondag (incl. 50% toeslag conform cao)</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</si>
  <si>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</si>
  <si>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</si>
  <si>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</si>
  <si>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</si>
  <si>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</si>
  <si>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</si>
  <si>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</si>
  <si>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</si>
  <si>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</si>
  <si>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</si>
  <si>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</si>
  <si>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</si>
  <si>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Aantal m2</t>
  </si>
  <si>
    <t>Vloerenonderhoud  (inclusief uit-/inruimen van het meubilair)</t>
  </si>
  <si>
    <t>Apparatuur/onderdeel</t>
  </si>
  <si>
    <t>Aantal stuks 0-50</t>
  </si>
  <si>
    <t>Aantal stuks &gt; 50</t>
  </si>
  <si>
    <t>Systeemkast</t>
  </si>
  <si>
    <t>Monitor</t>
  </si>
  <si>
    <t>Toetsenbord inclusief muis</t>
  </si>
  <si>
    <t>Printer klein</t>
  </si>
  <si>
    <t>Printer groot</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</si>
  <si>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</si>
  <si>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</si>
  <si>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</si>
  <si>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</si>
  <si>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</si>
  <si>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</si>
  <si>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</si>
  <si>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t>
  </si>
  <si>
    <t>Kolom</t>
  </si>
  <si>
    <t>Kolom voor matrix</t>
  </si>
  <si>
    <t>Gewogen prestatie</t>
  </si>
  <si>
    <t>m2/uur</t>
  </si>
  <si>
    <t>M2 Totaal</t>
  </si>
  <si>
    <t>WGA</t>
  </si>
  <si>
    <t>Naam dienstverlener</t>
  </si>
  <si>
    <t>Let op -/- bedrag</t>
  </si>
  <si>
    <t>Bijzonderheden / opmerkingen</t>
  </si>
  <si>
    <t>Pantry/keuken</t>
  </si>
  <si>
    <t>Gemiddeld tarief  ma t/m vr</t>
  </si>
  <si>
    <t>Tariefopbouw toezicht</t>
  </si>
  <si>
    <t>Tariefopbouw schoonmaak</t>
  </si>
  <si>
    <t>Gemiddeld tarief ma t/m vr</t>
  </si>
  <si>
    <t>RAS premie</t>
  </si>
  <si>
    <t>Frequentie verklaring</t>
  </si>
  <si>
    <t>1 x per maand</t>
  </si>
  <si>
    <t>1 x per week (52 weken)</t>
  </si>
  <si>
    <t>5 x per week (52 weken)</t>
  </si>
  <si>
    <t>Totaal eindtarief  [incl. 30% toeslag]</t>
  </si>
  <si>
    <t>Referentie nummer</t>
  </si>
  <si>
    <t>Transitievergoeding</t>
  </si>
  <si>
    <t>Reinigen bureau-elektronica reinigen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</si>
  <si>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</si>
  <si>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</si>
  <si>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</si>
  <si>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</si>
  <si>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</si>
  <si>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Toezicht percentage</t>
  </si>
  <si>
    <t>per prod. Uur</t>
  </si>
  <si>
    <t>Hoogste frequentie ma t/m vr</t>
  </si>
  <si>
    <t>Totaal frequentie</t>
  </si>
  <si>
    <t>Locatie factor</t>
  </si>
  <si>
    <t>MAXIMALE BOVENGRENS PLAFONDBEDRAG INSCHRIJVINGSBEDRAG</t>
  </si>
  <si>
    <t>MAXIMALE ONDERGRENS INSCHRIJVINGSBEDRAG</t>
  </si>
  <si>
    <t>Handeling</t>
  </si>
  <si>
    <t>Vloerafwerking</t>
  </si>
  <si>
    <t>1</t>
  </si>
  <si>
    <t>Tapijt</t>
  </si>
  <si>
    <t>Kosten vloeronderhoud per jaar</t>
  </si>
  <si>
    <t xml:space="preserve">Kosten toezicht per jaar ma t/m vr </t>
  </si>
  <si>
    <t>Uren minimale taakgrootte ma t/m vrij</t>
  </si>
  <si>
    <t>Kosten productie per jaar ma t/m vr incl minimale taakgrootte</t>
  </si>
  <si>
    <t>Lino-/marmoleum re-coaten</t>
  </si>
  <si>
    <t>Lino-/marmoleum top-coaten</t>
  </si>
  <si>
    <t>Trappenhuis</t>
  </si>
  <si>
    <t>Lift</t>
  </si>
  <si>
    <t>Tarief componenten samenvatting</t>
  </si>
  <si>
    <t>Versie</t>
  </si>
  <si>
    <t>Aanbesteding</t>
  </si>
  <si>
    <t>Suppletiekosten toeslag</t>
  </si>
  <si>
    <t>CAO gebonden kosten</t>
  </si>
  <si>
    <t>Productie uren ma t/m vr</t>
  </si>
  <si>
    <t>Uurlonen 1 juli 2024</t>
  </si>
  <si>
    <t xml:space="preserve">0 Begane Grond </t>
  </si>
  <si>
    <t>0.01</t>
  </si>
  <si>
    <t>Verkeersruimten</t>
  </si>
  <si>
    <t>Entree/hal</t>
  </si>
  <si>
    <t>0.02</t>
  </si>
  <si>
    <t>Verkeersruimte</t>
  </si>
  <si>
    <t>0.03</t>
  </si>
  <si>
    <t>Bureaukamers</t>
  </si>
  <si>
    <t>Conciergeruimte</t>
  </si>
  <si>
    <t>0.04</t>
  </si>
  <si>
    <t>Technische Ruimte</t>
  </si>
  <si>
    <t>0.05</t>
  </si>
  <si>
    <t>0.06</t>
  </si>
  <si>
    <t>Berging</t>
  </si>
  <si>
    <t>0.07</t>
  </si>
  <si>
    <t>0.08</t>
  </si>
  <si>
    <t>Buitenberging</t>
  </si>
  <si>
    <t>0.09</t>
  </si>
  <si>
    <t>0.10</t>
  </si>
  <si>
    <t>Werkkast</t>
  </si>
  <si>
    <t>0.11</t>
  </si>
  <si>
    <t>0.12</t>
  </si>
  <si>
    <t>0.13</t>
  </si>
  <si>
    <t>0.14</t>
  </si>
  <si>
    <t>0.15</t>
  </si>
  <si>
    <t>0.16</t>
  </si>
  <si>
    <t>Toilet</t>
  </si>
  <si>
    <t>0.17</t>
  </si>
  <si>
    <t>0.18</t>
  </si>
  <si>
    <t>0.19</t>
  </si>
  <si>
    <t>Toiletgroep</t>
  </si>
  <si>
    <t>0.20</t>
  </si>
  <si>
    <t>0.21</t>
  </si>
  <si>
    <t>Speel-/leerplein</t>
  </si>
  <si>
    <t>0.22</t>
  </si>
  <si>
    <t>0.22A</t>
  </si>
  <si>
    <t>Trap</t>
  </si>
  <si>
    <t>0.23</t>
  </si>
  <si>
    <t>0.24</t>
  </si>
  <si>
    <t>Toilet - BSO</t>
  </si>
  <si>
    <t>0.25</t>
  </si>
  <si>
    <t>0.26</t>
  </si>
  <si>
    <t>Groepsruimte</t>
  </si>
  <si>
    <t>Groepsruimte - BSO</t>
  </si>
  <si>
    <t>0.27</t>
  </si>
  <si>
    <t>Leslokalen</t>
  </si>
  <si>
    <t>Leslokaal onderbouw 1-3</t>
  </si>
  <si>
    <t>0.28</t>
  </si>
  <si>
    <t>0.29</t>
  </si>
  <si>
    <t>0.30</t>
  </si>
  <si>
    <t>Speellokaal</t>
  </si>
  <si>
    <t>0.30A</t>
  </si>
  <si>
    <t>Berging speellokaal</t>
  </si>
  <si>
    <t>0.30B</t>
  </si>
  <si>
    <t>K0.01</t>
  </si>
  <si>
    <t>K0.02</t>
  </si>
  <si>
    <t>K0.03</t>
  </si>
  <si>
    <t>Slaapruimte</t>
  </si>
  <si>
    <t>K0.04</t>
  </si>
  <si>
    <t>K0.05</t>
  </si>
  <si>
    <t>Groepsruimte - KDV</t>
  </si>
  <si>
    <t>K0.06</t>
  </si>
  <si>
    <t>K0.07</t>
  </si>
  <si>
    <t>K0.08</t>
  </si>
  <si>
    <t>K0.09</t>
  </si>
  <si>
    <t xml:space="preserve">Verkeersruimte </t>
  </si>
  <si>
    <t>K0.10</t>
  </si>
  <si>
    <t>Sanitaire ruimte</t>
  </si>
  <si>
    <t>K0.11</t>
  </si>
  <si>
    <t>K0.12</t>
  </si>
  <si>
    <t>K0.13</t>
  </si>
  <si>
    <t>Balie</t>
  </si>
  <si>
    <t>K0.14</t>
  </si>
  <si>
    <t>K0.15</t>
  </si>
  <si>
    <t>K0.16</t>
  </si>
  <si>
    <t>K0.17</t>
  </si>
  <si>
    <t>K0.18</t>
  </si>
  <si>
    <t>K0.19</t>
  </si>
  <si>
    <t>K0.20</t>
  </si>
  <si>
    <t>1 Eerste verdieping</t>
  </si>
  <si>
    <t>1.01</t>
  </si>
  <si>
    <t>1.01A</t>
  </si>
  <si>
    <t>1.02</t>
  </si>
  <si>
    <t>Personeelsruimte</t>
  </si>
  <si>
    <t>1.03</t>
  </si>
  <si>
    <t>Directieruimte</t>
  </si>
  <si>
    <t>1.04</t>
  </si>
  <si>
    <t>IB-/RT-ruimte</t>
  </si>
  <si>
    <t>1.05</t>
  </si>
  <si>
    <t>1.06</t>
  </si>
  <si>
    <t>1.07</t>
  </si>
  <si>
    <t>1.08</t>
  </si>
  <si>
    <t>1.09</t>
  </si>
  <si>
    <t>1.10</t>
  </si>
  <si>
    <t>1.11</t>
  </si>
  <si>
    <t>1.12</t>
  </si>
  <si>
    <t>1.13</t>
  </si>
  <si>
    <t>1.14</t>
  </si>
  <si>
    <t>1.14A</t>
  </si>
  <si>
    <t>1.15</t>
  </si>
  <si>
    <t>1.16</t>
  </si>
  <si>
    <t>1.17</t>
  </si>
  <si>
    <t>Leslokaal midden-/bovenbouw 4-8</t>
  </si>
  <si>
    <t>1.18</t>
  </si>
  <si>
    <t>1.19</t>
  </si>
  <si>
    <t>1.20</t>
  </si>
  <si>
    <t>1.21</t>
  </si>
  <si>
    <t>1.22</t>
  </si>
  <si>
    <t>2 Tweede verdieping</t>
  </si>
  <si>
    <t>2.01</t>
  </si>
  <si>
    <t>2.01A</t>
  </si>
  <si>
    <t>2.02</t>
  </si>
  <si>
    <t>2.03</t>
  </si>
  <si>
    <t>2.03A</t>
  </si>
  <si>
    <t>2.04</t>
  </si>
  <si>
    <t>IB-ruimte</t>
  </si>
  <si>
    <t>2.05</t>
  </si>
  <si>
    <t>2.06</t>
  </si>
  <si>
    <t>2.07</t>
  </si>
  <si>
    <t>2.08</t>
  </si>
  <si>
    <t>2.09</t>
  </si>
  <si>
    <t>2.10</t>
  </si>
  <si>
    <t>2.11</t>
  </si>
  <si>
    <t>2.12</t>
  </si>
  <si>
    <t>2.13</t>
  </si>
  <si>
    <t>2.14</t>
  </si>
  <si>
    <t>2.15</t>
  </si>
  <si>
    <t>2.16</t>
  </si>
  <si>
    <t>2.17</t>
  </si>
  <si>
    <t>2.18</t>
  </si>
  <si>
    <t>Gemeenschappelijke ruimte</t>
  </si>
  <si>
    <t>0.07A</t>
  </si>
  <si>
    <t>Instructieruimte</t>
  </si>
  <si>
    <t>Reproruimte</t>
  </si>
  <si>
    <t>0.31</t>
  </si>
  <si>
    <t>0.32</t>
  </si>
  <si>
    <t>0.33</t>
  </si>
  <si>
    <t>0.34</t>
  </si>
  <si>
    <t>0.35</t>
  </si>
  <si>
    <t>0.35A</t>
  </si>
  <si>
    <t>0.36</t>
  </si>
  <si>
    <t>0.37</t>
  </si>
  <si>
    <t>0.38</t>
  </si>
  <si>
    <t>0.39</t>
  </si>
  <si>
    <t>0.40</t>
  </si>
  <si>
    <t>0.41</t>
  </si>
  <si>
    <t>0.42</t>
  </si>
  <si>
    <t>0.43</t>
  </si>
  <si>
    <t>0.44</t>
  </si>
  <si>
    <t>0.45</t>
  </si>
  <si>
    <t>0.46</t>
  </si>
  <si>
    <t>Podium</t>
  </si>
  <si>
    <t>0.47</t>
  </si>
  <si>
    <t>0.48</t>
  </si>
  <si>
    <t>0.49</t>
  </si>
  <si>
    <t>0.50</t>
  </si>
  <si>
    <t>0.51</t>
  </si>
  <si>
    <t>0.52</t>
  </si>
  <si>
    <t>0.53</t>
  </si>
  <si>
    <t>0.54</t>
  </si>
  <si>
    <t>0.55</t>
  </si>
  <si>
    <t>0.56</t>
  </si>
  <si>
    <t>0.57</t>
  </si>
  <si>
    <t>Entresol</t>
  </si>
  <si>
    <t>0.58</t>
  </si>
  <si>
    <t>0.59</t>
  </si>
  <si>
    <t>0.60</t>
  </si>
  <si>
    <t>0.61</t>
  </si>
  <si>
    <t>0.62</t>
  </si>
  <si>
    <t>Leerplein</t>
  </si>
  <si>
    <t>0.63</t>
  </si>
  <si>
    <t>0.64</t>
  </si>
  <si>
    <t>Keuken</t>
  </si>
  <si>
    <t>0.65</t>
  </si>
  <si>
    <t>0.66</t>
  </si>
  <si>
    <t>0.67</t>
  </si>
  <si>
    <t>0.68</t>
  </si>
  <si>
    <t>0.69</t>
  </si>
  <si>
    <t>Berging - BSO</t>
  </si>
  <si>
    <t>0.70</t>
  </si>
  <si>
    <t>0.71</t>
  </si>
  <si>
    <t>Speelruimte - BSO</t>
  </si>
  <si>
    <t>0.72</t>
  </si>
  <si>
    <t>0.73</t>
  </si>
  <si>
    <t>0.74</t>
  </si>
  <si>
    <t>0.75</t>
  </si>
  <si>
    <t>0.76</t>
  </si>
  <si>
    <t>0.77</t>
  </si>
  <si>
    <t>Multifunctionele ruimte</t>
  </si>
  <si>
    <t>0.18A</t>
  </si>
  <si>
    <t>0.26A</t>
  </si>
  <si>
    <t>0.32A</t>
  </si>
  <si>
    <t>Kantoor</t>
  </si>
  <si>
    <t>0.36A</t>
  </si>
  <si>
    <t>1.06A</t>
  </si>
  <si>
    <t>1.12A</t>
  </si>
  <si>
    <t>Zolderruimte</t>
  </si>
  <si>
    <t>Aula</t>
  </si>
  <si>
    <t>Groepsruimte - PSZ/BSO</t>
  </si>
  <si>
    <t>Groepsruimte - PSZ</t>
  </si>
  <si>
    <t>Berging - PSZ/BSO</t>
  </si>
  <si>
    <t>Toilet - PSZ/BSO</t>
  </si>
  <si>
    <t>Spreekruimte</t>
  </si>
  <si>
    <t>RT-ruimte</t>
  </si>
  <si>
    <t>0.16A</t>
  </si>
  <si>
    <t>Toiletgroep - KDV</t>
  </si>
  <si>
    <t>Toiletgroep - PSZ/BSO</t>
  </si>
  <si>
    <t>Toiletgroep - BSO</t>
  </si>
  <si>
    <t>Slaapruimte - KDV</t>
  </si>
  <si>
    <t>Verkeersruimte - KDV</t>
  </si>
  <si>
    <t>Administratieruimte</t>
  </si>
  <si>
    <t>Bibliotheek</t>
  </si>
  <si>
    <t>0.15A</t>
  </si>
  <si>
    <t>Handvaardigheidslokaal</t>
  </si>
  <si>
    <t>0.38A</t>
  </si>
  <si>
    <t>0.39A</t>
  </si>
  <si>
    <t>0.68A</t>
  </si>
  <si>
    <t>0.68B</t>
  </si>
  <si>
    <t>0.20A</t>
  </si>
  <si>
    <t>Verkeersruimte - PSZ/BSO</t>
  </si>
  <si>
    <t>0.39B</t>
  </si>
  <si>
    <t>0.02A</t>
  </si>
  <si>
    <t>0.02B</t>
  </si>
  <si>
    <t>Garderoberuimte</t>
  </si>
  <si>
    <t>Berging - PSZ</t>
  </si>
  <si>
    <t>1.23</t>
  </si>
  <si>
    <t>1.24</t>
  </si>
  <si>
    <t>1.25</t>
  </si>
  <si>
    <t>1.26</t>
  </si>
  <si>
    <t>1.27</t>
  </si>
  <si>
    <t>1.28</t>
  </si>
  <si>
    <t>1.29</t>
  </si>
  <si>
    <t>1.30</t>
  </si>
  <si>
    <t>1.31</t>
  </si>
  <si>
    <t>1.32</t>
  </si>
  <si>
    <t>1.33</t>
  </si>
  <si>
    <t>1.34</t>
  </si>
  <si>
    <t>1.35</t>
  </si>
  <si>
    <t>1.36</t>
  </si>
  <si>
    <t>1.37</t>
  </si>
  <si>
    <t>A 0.01</t>
  </si>
  <si>
    <t>A 0.02</t>
  </si>
  <si>
    <t>A 0.02A</t>
  </si>
  <si>
    <t>A 0.03</t>
  </si>
  <si>
    <t>A 0.03A</t>
  </si>
  <si>
    <t>A 0.04</t>
  </si>
  <si>
    <t>A 0.05</t>
  </si>
  <si>
    <t>A 0.06</t>
  </si>
  <si>
    <t>A 0.06A</t>
  </si>
  <si>
    <t>A 0.07</t>
  </si>
  <si>
    <t>A 0.08</t>
  </si>
  <si>
    <t>A 0.09</t>
  </si>
  <si>
    <t>B 0.01</t>
  </si>
  <si>
    <t>B 0.02</t>
  </si>
  <si>
    <t>B 0.03</t>
  </si>
  <si>
    <t>B 0.04</t>
  </si>
  <si>
    <t>B 0.05</t>
  </si>
  <si>
    <t>B 0.06</t>
  </si>
  <si>
    <t>B 0.07</t>
  </si>
  <si>
    <t>B 0.07A</t>
  </si>
  <si>
    <t>B 0.08</t>
  </si>
  <si>
    <t>B 0.09</t>
  </si>
  <si>
    <t>B 0.10</t>
  </si>
  <si>
    <t>B 0.11</t>
  </si>
  <si>
    <t>B 0.12</t>
  </si>
  <si>
    <t>B 0.13</t>
  </si>
  <si>
    <t>B 0.14</t>
  </si>
  <si>
    <t>B 0.15</t>
  </si>
  <si>
    <t>B 0.15A</t>
  </si>
  <si>
    <t>B 0.16</t>
  </si>
  <si>
    <t>B 0.17</t>
  </si>
  <si>
    <t>B 0.17A</t>
  </si>
  <si>
    <t>B 0.17B</t>
  </si>
  <si>
    <t>B 0.18</t>
  </si>
  <si>
    <t>B 0.19</t>
  </si>
  <si>
    <t>B 0.20</t>
  </si>
  <si>
    <t>B 0.20A</t>
  </si>
  <si>
    <t>B 0.21</t>
  </si>
  <si>
    <t>C 0.01</t>
  </si>
  <si>
    <t>C 0.02</t>
  </si>
  <si>
    <t>C 0.03</t>
  </si>
  <si>
    <t>C 0.04</t>
  </si>
  <si>
    <t>C 0.05</t>
  </si>
  <si>
    <t>C 0.06</t>
  </si>
  <si>
    <t>C 0.07</t>
  </si>
  <si>
    <t>C 0.07A</t>
  </si>
  <si>
    <t>C 0.08</t>
  </si>
  <si>
    <t>C 0.08A</t>
  </si>
  <si>
    <t>C 0.09</t>
  </si>
  <si>
    <t>C 0.10</t>
  </si>
  <si>
    <t>C 0.11</t>
  </si>
  <si>
    <t>C 0.11A</t>
  </si>
  <si>
    <t>C 0.12</t>
  </si>
  <si>
    <t>C 0.12A</t>
  </si>
  <si>
    <t>C 0.13</t>
  </si>
  <si>
    <t>D 0.01</t>
  </si>
  <si>
    <t>D 0.02</t>
  </si>
  <si>
    <t>D 0.03</t>
  </si>
  <si>
    <t>D 0.04</t>
  </si>
  <si>
    <t>D 0.05</t>
  </si>
  <si>
    <t>D 0.06</t>
  </si>
  <si>
    <t>D 0.06A</t>
  </si>
  <si>
    <t>D 0.07</t>
  </si>
  <si>
    <t>D 0.07A</t>
  </si>
  <si>
    <t>D 0.08</t>
  </si>
  <si>
    <t>D 0.08A</t>
  </si>
  <si>
    <t>A 1.01</t>
  </si>
  <si>
    <t>A 1.02</t>
  </si>
  <si>
    <t>A 1.02A</t>
  </si>
  <si>
    <t>A 1.03</t>
  </si>
  <si>
    <t>A 1.03A</t>
  </si>
  <si>
    <t>A 1.04</t>
  </si>
  <si>
    <t>A 1.05</t>
  </si>
  <si>
    <t>A 1.06</t>
  </si>
  <si>
    <t>A 1.06A</t>
  </si>
  <si>
    <t>A 1.07</t>
  </si>
  <si>
    <t>A 1.08</t>
  </si>
  <si>
    <t>A 1.09</t>
  </si>
  <si>
    <t>B 1.01</t>
  </si>
  <si>
    <t>B 1.02</t>
  </si>
  <si>
    <t>B 1.03</t>
  </si>
  <si>
    <t>B 1.04</t>
  </si>
  <si>
    <t>B 1.05</t>
  </si>
  <si>
    <t>B 1.06</t>
  </si>
  <si>
    <t>B 1.07</t>
  </si>
  <si>
    <t>B 1.08</t>
  </si>
  <si>
    <t>B 1.08A</t>
  </si>
  <si>
    <t>B 1.09</t>
  </si>
  <si>
    <t>B 1.10</t>
  </si>
  <si>
    <t>B 1.11</t>
  </si>
  <si>
    <t>B 1.12</t>
  </si>
  <si>
    <t>B 1.13</t>
  </si>
  <si>
    <t>B 1.14</t>
  </si>
  <si>
    <t>B 1.15</t>
  </si>
  <si>
    <t>B 1.16</t>
  </si>
  <si>
    <t>B 1.17</t>
  </si>
  <si>
    <t>B 1.17A</t>
  </si>
  <si>
    <t>B 1.18</t>
  </si>
  <si>
    <t>B 1.19</t>
  </si>
  <si>
    <t>B 1.20</t>
  </si>
  <si>
    <t>B 1.21</t>
  </si>
  <si>
    <t>C 1.01</t>
  </si>
  <si>
    <t>C 1.02</t>
  </si>
  <si>
    <t>C 1.03</t>
  </si>
  <si>
    <t>C 1.03A</t>
  </si>
  <si>
    <t>C 1.04</t>
  </si>
  <si>
    <t>C 1.04A</t>
  </si>
  <si>
    <t>C 1.05</t>
  </si>
  <si>
    <t>C 1.06</t>
  </si>
  <si>
    <t>C 1.07</t>
  </si>
  <si>
    <t>C 1.07A</t>
  </si>
  <si>
    <t>C 1.08</t>
  </si>
  <si>
    <t>C 1.08A</t>
  </si>
  <si>
    <t>C 1.09</t>
  </si>
  <si>
    <t>C 1.10</t>
  </si>
  <si>
    <t>C 1.11</t>
  </si>
  <si>
    <t>C 1.11A</t>
  </si>
  <si>
    <t>SW 7.1</t>
  </si>
  <si>
    <t>SW 7.2</t>
  </si>
  <si>
    <t>SW 7.3</t>
  </si>
  <si>
    <t>SW 7.4</t>
  </si>
  <si>
    <t>SW 7.5</t>
  </si>
  <si>
    <t>SW 1.1</t>
  </si>
  <si>
    <t>SW 1.2</t>
  </si>
  <si>
    <t>SW 1.3</t>
  </si>
  <si>
    <t>SW 1.4</t>
  </si>
  <si>
    <t>SW 2.1</t>
  </si>
  <si>
    <t>SW 2.2</t>
  </si>
  <si>
    <t>SW 2.3</t>
  </si>
  <si>
    <t>SW 2.4</t>
  </si>
  <si>
    <t>SW 3.1</t>
  </si>
  <si>
    <t>SW 3.2</t>
  </si>
  <si>
    <t>SW 3.3</t>
  </si>
  <si>
    <t>SW 3.4</t>
  </si>
  <si>
    <t>SW 4.1</t>
  </si>
  <si>
    <t>SW 4.2</t>
  </si>
  <si>
    <t>SW 4.3</t>
  </si>
  <si>
    <t>SW 4.4</t>
  </si>
  <si>
    <t>SW 5.1</t>
  </si>
  <si>
    <t>SW 5.2</t>
  </si>
  <si>
    <t>SW 5.3</t>
  </si>
  <si>
    <t>SW 5.4</t>
  </si>
  <si>
    <t>SW 6.1</t>
  </si>
  <si>
    <t>SW 6.1A</t>
  </si>
  <si>
    <t>SW 6.2</t>
  </si>
  <si>
    <t>SW 6.3</t>
  </si>
  <si>
    <t>SW 6.4</t>
  </si>
  <si>
    <t>SW 6.5</t>
  </si>
  <si>
    <t>SW 6.6</t>
  </si>
  <si>
    <t>0.06A</t>
  </si>
  <si>
    <t>0.16B</t>
  </si>
  <si>
    <t>0.07C</t>
  </si>
  <si>
    <t>0.16C</t>
  </si>
  <si>
    <t>0.16D</t>
  </si>
  <si>
    <t>0.16E</t>
  </si>
  <si>
    <t>1.08A</t>
  </si>
  <si>
    <t>1.13C</t>
  </si>
  <si>
    <t>1.20A</t>
  </si>
  <si>
    <t>2.08A</t>
  </si>
  <si>
    <t>2.12A</t>
  </si>
  <si>
    <t>2.14A</t>
  </si>
  <si>
    <t>2.19</t>
  </si>
  <si>
    <t>2.20</t>
  </si>
  <si>
    <t>2.21</t>
  </si>
  <si>
    <t>2.22</t>
  </si>
  <si>
    <t>2.23</t>
  </si>
  <si>
    <t>2.24</t>
  </si>
  <si>
    <t>Verkeersruimte - BSO</t>
  </si>
  <si>
    <t>Fietsenstalling</t>
  </si>
  <si>
    <t>-1 Kelder</t>
  </si>
  <si>
    <t>K019</t>
  </si>
  <si>
    <t xml:space="preserve">Toiletgroep </t>
  </si>
  <si>
    <t>1.09A</t>
  </si>
  <si>
    <t>Overloopgebouw</t>
  </si>
  <si>
    <t>0.2</t>
  </si>
  <si>
    <t>0.3</t>
  </si>
  <si>
    <t>0 Begane Grond</t>
  </si>
  <si>
    <t>0.1</t>
  </si>
  <si>
    <t>0.4</t>
  </si>
  <si>
    <t>0.5</t>
  </si>
  <si>
    <t>0.6</t>
  </si>
  <si>
    <t>0.7</t>
  </si>
  <si>
    <t>0.8</t>
  </si>
  <si>
    <t>0.9</t>
  </si>
  <si>
    <t>0.01A</t>
  </si>
  <si>
    <t>Speelruimte - BSO/PSZ</t>
  </si>
  <si>
    <t>Entree/hal - PSZ/BSO</t>
  </si>
  <si>
    <t>Keuken - PSZ/BSO</t>
  </si>
  <si>
    <t>M0.11</t>
  </si>
  <si>
    <t>Doucheruimte</t>
  </si>
  <si>
    <t>0.04/0.05</t>
  </si>
  <si>
    <t>0.13/0.14</t>
  </si>
  <si>
    <t>0.23/0.24</t>
  </si>
  <si>
    <t>0.29/0.30</t>
  </si>
  <si>
    <t>0.35a</t>
  </si>
  <si>
    <t>0.35b</t>
  </si>
  <si>
    <t>0.05.1</t>
  </si>
  <si>
    <t>0.05.2</t>
  </si>
  <si>
    <t>0.08.1</t>
  </si>
  <si>
    <t>0.12.1</t>
  </si>
  <si>
    <t>0.12.3</t>
  </si>
  <si>
    <t>0.12.4</t>
  </si>
  <si>
    <t>0.12.5</t>
  </si>
  <si>
    <t>0.13A</t>
  </si>
  <si>
    <t>0.16.1</t>
  </si>
  <si>
    <t>0.17.1</t>
  </si>
  <si>
    <t>1.02.1</t>
  </si>
  <si>
    <t>1.03.1</t>
  </si>
  <si>
    <t>1.04.1</t>
  </si>
  <si>
    <t>1.05.1</t>
  </si>
  <si>
    <t>1.06.1</t>
  </si>
  <si>
    <t>0.24A</t>
  </si>
  <si>
    <t>0.24B</t>
  </si>
  <si>
    <t>0.34A</t>
  </si>
  <si>
    <t>0.37A</t>
  </si>
  <si>
    <t>Leidstersruimte - BSO</t>
  </si>
  <si>
    <t>Entree/hal - BSO</t>
  </si>
  <si>
    <t>Buitenberging - BSO</t>
  </si>
  <si>
    <t>Wasruimte</t>
  </si>
  <si>
    <t>0.77A</t>
  </si>
  <si>
    <t>0.77B</t>
  </si>
  <si>
    <t>0.77C</t>
  </si>
  <si>
    <t>0.77D</t>
  </si>
  <si>
    <t>0.77E</t>
  </si>
  <si>
    <t>1.13A</t>
  </si>
  <si>
    <t>1.03A</t>
  </si>
  <si>
    <t>1.03B</t>
  </si>
  <si>
    <t>1.04A</t>
  </si>
  <si>
    <t>1.07A</t>
  </si>
  <si>
    <t>0.1/1.1</t>
  </si>
  <si>
    <t>0.2/1.2</t>
  </si>
  <si>
    <t>0.36/1.41</t>
  </si>
  <si>
    <t>1.1</t>
  </si>
  <si>
    <t>1.38</t>
  </si>
  <si>
    <t>1.39</t>
  </si>
  <si>
    <t>1.40</t>
  </si>
  <si>
    <t>1.41</t>
  </si>
  <si>
    <t>1.42</t>
  </si>
  <si>
    <t>1.43</t>
  </si>
  <si>
    <t>1.44</t>
  </si>
  <si>
    <t>1.45</t>
  </si>
  <si>
    <t>1.58</t>
  </si>
  <si>
    <t>1.62</t>
  </si>
  <si>
    <t>1.9</t>
  </si>
  <si>
    <t>2.1</t>
  </si>
  <si>
    <t>2.2</t>
  </si>
  <si>
    <t>0.32B</t>
  </si>
  <si>
    <t>Technische Ruimte - KDV/PSZ/BSO</t>
  </si>
  <si>
    <t>Werkkast - KDV/PSZ/BSO</t>
  </si>
  <si>
    <t>0.11a</t>
  </si>
  <si>
    <t>0.17a</t>
  </si>
  <si>
    <t>0.27A</t>
  </si>
  <si>
    <t>0.28A</t>
  </si>
  <si>
    <t>K 0.01</t>
  </si>
  <si>
    <t>Documentatieruimte</t>
  </si>
  <si>
    <t>NS 0.01</t>
  </si>
  <si>
    <t>Entree/hal - KDV/BSO</t>
  </si>
  <si>
    <t>NS 0.02</t>
  </si>
  <si>
    <t>NS 0.03</t>
  </si>
  <si>
    <t>NS 0.04</t>
  </si>
  <si>
    <t>Verkeersruimte - KDV/BSO</t>
  </si>
  <si>
    <t>NS 0.05</t>
  </si>
  <si>
    <t>Technische ruimte - KDV/PSZ/BSO</t>
  </si>
  <si>
    <t>NS 0.06</t>
  </si>
  <si>
    <t>NS 0.07</t>
  </si>
  <si>
    <t>NS 0.08</t>
  </si>
  <si>
    <t>NS 0.09</t>
  </si>
  <si>
    <t>NS 0.10</t>
  </si>
  <si>
    <t>NS 0.11</t>
  </si>
  <si>
    <t>Entree/hal - PSZ</t>
  </si>
  <si>
    <t>NS 0.12</t>
  </si>
  <si>
    <t>Toilet - PSZ</t>
  </si>
  <si>
    <t>NS 0.13</t>
  </si>
  <si>
    <t>NS 0.14</t>
  </si>
  <si>
    <t>Directieruimte - KDV/PSZ/BSO</t>
  </si>
  <si>
    <t>Berging - KDV</t>
  </si>
  <si>
    <t>Verschoonruimte - KDV</t>
  </si>
  <si>
    <t>0.34a</t>
  </si>
  <si>
    <t xml:space="preserve">Werkkast - KDV </t>
  </si>
  <si>
    <t>1.01B</t>
  </si>
  <si>
    <t>Adjunctruimte</t>
  </si>
  <si>
    <t>1.11A</t>
  </si>
  <si>
    <t>1.19A</t>
  </si>
  <si>
    <t>1.23A</t>
  </si>
  <si>
    <t>1.25A</t>
  </si>
  <si>
    <t>1.27A</t>
  </si>
  <si>
    <t>1.29A</t>
  </si>
  <si>
    <t>2.04A</t>
  </si>
  <si>
    <t>2.06A</t>
  </si>
  <si>
    <t>2.09A</t>
  </si>
  <si>
    <t>2.11A</t>
  </si>
  <si>
    <t>2.16A</t>
  </si>
  <si>
    <t>2.18A</t>
  </si>
  <si>
    <t>2.20A</t>
  </si>
  <si>
    <t>2.22A</t>
  </si>
  <si>
    <t>Groepsruimten</t>
  </si>
  <si>
    <t>Technische ruimte</t>
  </si>
  <si>
    <t xml:space="preserve">Speelhal/verkeersruimte </t>
  </si>
  <si>
    <t>Zandbak</t>
  </si>
  <si>
    <t>Containerberging</t>
  </si>
  <si>
    <t>r.1</t>
  </si>
  <si>
    <t>r.3</t>
  </si>
  <si>
    <t>r.5</t>
  </si>
  <si>
    <t>r.6</t>
  </si>
  <si>
    <t>1 Begane Grond</t>
  </si>
  <si>
    <t>r.7</t>
  </si>
  <si>
    <t>r.8</t>
  </si>
  <si>
    <t>r.9</t>
  </si>
  <si>
    <t>r.10</t>
  </si>
  <si>
    <t>r.11</t>
  </si>
  <si>
    <t>r.12</t>
  </si>
  <si>
    <t>r.13</t>
  </si>
  <si>
    <t>r.14</t>
  </si>
  <si>
    <t>r.15</t>
  </si>
  <si>
    <t>r.16</t>
  </si>
  <si>
    <t>r.17</t>
  </si>
  <si>
    <t>r.18</t>
  </si>
  <si>
    <t>r.19</t>
  </si>
  <si>
    <t>r.20</t>
  </si>
  <si>
    <t>r.21</t>
  </si>
  <si>
    <t>r.22</t>
  </si>
  <si>
    <t>r.23</t>
  </si>
  <si>
    <t>r.24</t>
  </si>
  <si>
    <t>r.25</t>
  </si>
  <si>
    <t>r.26</t>
  </si>
  <si>
    <t>r.29</t>
  </si>
  <si>
    <t>r.30</t>
  </si>
  <si>
    <t>r.32</t>
  </si>
  <si>
    <t>r.33</t>
  </si>
  <si>
    <t>r.34</t>
  </si>
  <si>
    <t>Kast</t>
  </si>
  <si>
    <t>r.2</t>
  </si>
  <si>
    <t>r.4a</t>
  </si>
  <si>
    <t>r.4b</t>
  </si>
  <si>
    <t>r.4c</t>
  </si>
  <si>
    <t>Verkeersuimte</t>
  </si>
  <si>
    <t>r.27a</t>
  </si>
  <si>
    <t>r.27b</t>
  </si>
  <si>
    <t>r.28a</t>
  </si>
  <si>
    <t>r.28b</t>
  </si>
  <si>
    <t>Atelier</t>
  </si>
  <si>
    <t>toiletgroep</t>
  </si>
  <si>
    <t>Groepsruimte - POV</t>
  </si>
  <si>
    <t>Schoonloopmat</t>
  </si>
  <si>
    <t>Marmoleum</t>
  </si>
  <si>
    <t>PU-gietvloer</t>
  </si>
  <si>
    <t>Beton (behandeld)</t>
  </si>
  <si>
    <t>Sportvloer (PU)</t>
  </si>
  <si>
    <t>Droogloopmat</t>
  </si>
  <si>
    <t>Troffelvloer</t>
  </si>
  <si>
    <t>Betontegels</t>
  </si>
  <si>
    <t>Tapijttegels</t>
  </si>
  <si>
    <t>Houten delen</t>
  </si>
  <si>
    <t>PVC</t>
  </si>
  <si>
    <t>Gelakte houten delen</t>
  </si>
  <si>
    <t>Onbehandeld hout</t>
  </si>
  <si>
    <t>-</t>
  </si>
  <si>
    <t>Vinyl</t>
  </si>
  <si>
    <t>Kokosmat</t>
  </si>
  <si>
    <t>Naaldvilt</t>
  </si>
  <si>
    <t>Natuursteen (tegels)</t>
  </si>
  <si>
    <t>Natuursteen</t>
  </si>
  <si>
    <t>Gegalvaniseerd staal</t>
  </si>
  <si>
    <t>No-brando</t>
  </si>
  <si>
    <t>Norament</t>
  </si>
  <si>
    <t>Rubber</t>
  </si>
  <si>
    <t>PVC/ geperforeerd stalen trap</t>
  </si>
  <si>
    <t>Niet van toepassing</t>
  </si>
  <si>
    <t>nio</t>
  </si>
  <si>
    <t>Columbus</t>
  </si>
  <si>
    <t>Het Kleurenorkest</t>
  </si>
  <si>
    <t>Reflector</t>
  </si>
  <si>
    <t>St. Radboud</t>
  </si>
  <si>
    <t>St. Radboud - Chalet</t>
  </si>
  <si>
    <t>Benedictus</t>
  </si>
  <si>
    <t>De Ontdekkers</t>
  </si>
  <si>
    <t>De Bonte Mol</t>
  </si>
  <si>
    <t xml:space="preserve">De Brug </t>
  </si>
  <si>
    <t>De Kerkuil</t>
  </si>
  <si>
    <t>De Balein (Brede school De Pauw)</t>
  </si>
  <si>
    <t>Lourdes</t>
  </si>
  <si>
    <t>De Kiem</t>
  </si>
  <si>
    <t>Vlindertuin</t>
  </si>
  <si>
    <t>Willibrord</t>
  </si>
  <si>
    <t>De Komeet</t>
  </si>
  <si>
    <t>Zeppelin - opvang</t>
  </si>
  <si>
    <t>Eigenwijs</t>
  </si>
  <si>
    <t>De Poppenkast</t>
  </si>
  <si>
    <t>Weegbree 2</t>
  </si>
  <si>
    <t>Hogeweg 55</t>
  </si>
  <si>
    <t>Anna Polaktuin 27</t>
  </si>
  <si>
    <t xml:space="preserve">Keerkring 49 </t>
  </si>
  <si>
    <t>Slimpad 18</t>
  </si>
  <si>
    <t>Slimpad 18a</t>
  </si>
  <si>
    <t>J.P. Hasebroekweg 21</t>
  </si>
  <si>
    <t>Zuidje 10</t>
  </si>
  <si>
    <t>Buurtweg 20</t>
  </si>
  <si>
    <t>Lage Weide 2</t>
  </si>
  <si>
    <t>Jan Ploegerlaan 1a</t>
  </si>
  <si>
    <t>Jisperweg 52</t>
  </si>
  <si>
    <t>Prinses Marijkelaan 1</t>
  </si>
  <si>
    <t>Cornelia v Arkeldijk 24</t>
  </si>
  <si>
    <t>Boekenstein 47</t>
  </si>
  <si>
    <t>Hemelboog Binnen 26</t>
  </si>
  <si>
    <t>H.H. Pimenteltuin 13</t>
  </si>
  <si>
    <t>Lage Weide 1B</t>
  </si>
  <si>
    <t>Mosselaan 57</t>
  </si>
  <si>
    <t>Coral Duo.</t>
  </si>
  <si>
    <t>Inclusief keuken/uitgiftebalie.</t>
  </si>
  <si>
    <t>Aanvoerleiding E-meter.</t>
  </si>
  <si>
    <t>Meterkast en watermeter.</t>
  </si>
  <si>
    <t>Hydrofoor en server.</t>
  </si>
  <si>
    <t>Gasmeter(kast).</t>
  </si>
  <si>
    <t>Containerberging.</t>
  </si>
  <si>
    <t>Fietsenstalling.</t>
  </si>
  <si>
    <t>1 uitstortgootsteen, wasmachine en droger.</t>
  </si>
  <si>
    <t>Onderverdeler meterkast.</t>
  </si>
  <si>
    <t>1 uitstortgootsteen.</t>
  </si>
  <si>
    <t xml:space="preserve">1 wastafel en 1 wandcloset. Tevens mindervalide toilet. </t>
  </si>
  <si>
    <t>1 wastafel en 2 wandclosets.</t>
  </si>
  <si>
    <t>Een getufte schoonloopmat</t>
  </si>
  <si>
    <t>1 wastafel en 1 wandcloset.</t>
  </si>
  <si>
    <t>Unit A (groep 1-2).</t>
  </si>
  <si>
    <t>Dichte houten trap met marmoleum bekleed (inclusief bordes).</t>
  </si>
  <si>
    <t>Dichte betonnen trap met marmoleum bekleed.</t>
  </si>
  <si>
    <t>Patchruimte.</t>
  </si>
  <si>
    <t>Een getufte schoonloopmat.</t>
  </si>
  <si>
    <t>3 wastafels en 4 wandclosets.</t>
  </si>
  <si>
    <t>Onderverdeling meterkast en verdeler vloerverwarming.</t>
  </si>
  <si>
    <t>Dichte betonnen trap inclusief tussenbordes.</t>
  </si>
  <si>
    <t>Verdeler vloerverwarming</t>
  </si>
  <si>
    <t>Unit D (groep 5-6).</t>
  </si>
  <si>
    <t>Unit C (groep 3-4).</t>
  </si>
  <si>
    <t>Unit B (groep 2-3).</t>
  </si>
  <si>
    <t>Open stalen trap met marmoleum bekleed.</t>
  </si>
  <si>
    <t>CV-ruimte.</t>
  </si>
  <si>
    <t>Unit E en F (groep 6, 7 en 8).</t>
  </si>
  <si>
    <t>Coralmat</t>
  </si>
  <si>
    <t>Groep 1-2.</t>
  </si>
  <si>
    <t>Groep 4.</t>
  </si>
  <si>
    <t>Groep 3.</t>
  </si>
  <si>
    <t xml:space="preserve">Groep 3. </t>
  </si>
  <si>
    <t>Coralmat.</t>
  </si>
  <si>
    <t>Groep 6.</t>
  </si>
  <si>
    <t>Groep 7.</t>
  </si>
  <si>
    <t>Groep 5.</t>
  </si>
  <si>
    <t>Meterkast.</t>
  </si>
  <si>
    <t>Meterkast</t>
  </si>
  <si>
    <t>Groep 8.</t>
  </si>
  <si>
    <t>Onderverdeler meterkast</t>
  </si>
  <si>
    <t>Groep 7-8.</t>
  </si>
  <si>
    <t>Gasmeter(kast)</t>
  </si>
  <si>
    <t>1 wastafel en 1 toiletpot</t>
  </si>
  <si>
    <t>Patchruimte</t>
  </si>
  <si>
    <t>1 wastafel en 4 wandclosets.</t>
  </si>
  <si>
    <t>Dichte houten trap met marmoleum bekleed.</t>
  </si>
  <si>
    <t>Open stalen trap met houten treden en tussenbordes.</t>
  </si>
  <si>
    <t>Dichte houten trap</t>
  </si>
  <si>
    <t>1 wastafel en 3 wandclosets.</t>
  </si>
  <si>
    <t>1 uitstortgootsteen</t>
  </si>
  <si>
    <t xml:space="preserve">Groep 8. </t>
  </si>
  <si>
    <t>Elektrameter.</t>
  </si>
  <si>
    <t>CV-ruimte</t>
  </si>
  <si>
    <t>2 wastafels en 2 wandclosets.</t>
  </si>
  <si>
    <t xml:space="preserve">Leegstand. </t>
  </si>
  <si>
    <t xml:space="preserve">1 wastafel en 1 wandcloset. </t>
  </si>
  <si>
    <t>Groep 6-7.</t>
  </si>
  <si>
    <t>Ook CV-ruimte</t>
  </si>
  <si>
    <t>Meterkast E + G</t>
  </si>
  <si>
    <t>Hard gebakken tegels</t>
  </si>
  <si>
    <t>Rubberenringmat</t>
  </si>
  <si>
    <t>Op het vloerluik</t>
  </si>
  <si>
    <t>3 wastafels en 3 wandclosets.</t>
  </si>
  <si>
    <t>5 wastafels en 7 wandclosets incl. mindervaliden.</t>
  </si>
  <si>
    <t>Ruimte zorgcoordinator.</t>
  </si>
  <si>
    <t>Technieklokaal/ instructieruimte</t>
  </si>
  <si>
    <t>2 wastafels en 4 wandclosets.</t>
  </si>
  <si>
    <t>Groep 6/7.</t>
  </si>
  <si>
    <t>Groep 4/5.</t>
  </si>
  <si>
    <t>Groep 1/2.</t>
  </si>
  <si>
    <t>Elektrameterkast.</t>
  </si>
  <si>
    <t>Watermeter.</t>
  </si>
  <si>
    <t>Groep 1-2d.</t>
  </si>
  <si>
    <t>Groep 1-2b.</t>
  </si>
  <si>
    <t>Groep 1-2c.</t>
  </si>
  <si>
    <t>Exclusief betonnen traptreden.</t>
  </si>
  <si>
    <t>Inclusief betonnen traptreden.</t>
  </si>
  <si>
    <t>Mindervalide toilet. 1 wastafel en 1 wandcloset.</t>
  </si>
  <si>
    <t>Patchruimten van beide scholen.</t>
  </si>
  <si>
    <t>Inclusief keuken en betonnen traptreden.</t>
  </si>
  <si>
    <t>Groep 5a.</t>
  </si>
  <si>
    <t>Groep 2-3.</t>
  </si>
  <si>
    <t>Groep 1-2a.</t>
  </si>
  <si>
    <t>Groep 1- 2c.</t>
  </si>
  <si>
    <t>Groep 3a.</t>
  </si>
  <si>
    <t>Groep 4-5.</t>
  </si>
  <si>
    <t>Groep 3b.</t>
  </si>
  <si>
    <t>Dichte houten trap met houten treden en bordessen.</t>
  </si>
  <si>
    <t xml:space="preserve">Mindervalide toilet. 1 wastafel en 1 wandcloset. </t>
  </si>
  <si>
    <t>Groep 5-6.</t>
  </si>
  <si>
    <t>Groep 8b.</t>
  </si>
  <si>
    <t>Groep 8a.</t>
  </si>
  <si>
    <t>Groep 5b.</t>
  </si>
  <si>
    <t>Inclusief twee treden</t>
  </si>
  <si>
    <t>Groep 4a.</t>
  </si>
  <si>
    <t>Groep 4b.</t>
  </si>
  <si>
    <t>Groep 4c.</t>
  </si>
  <si>
    <t xml:space="preserve">O.a. handvaardigheidslokaal. </t>
  </si>
  <si>
    <t>Groep 2/3.</t>
  </si>
  <si>
    <t>2 wastafels en 3 wandclosets.</t>
  </si>
  <si>
    <t>Duo mat.</t>
  </si>
  <si>
    <t xml:space="preserve">Onderverdeler elektra. </t>
  </si>
  <si>
    <t xml:space="preserve">Duo mat. </t>
  </si>
  <si>
    <t>Dichte houten traptreden.</t>
  </si>
  <si>
    <t>Elektrameter en watermeter.</t>
  </si>
  <si>
    <t xml:space="preserve">1 wastafel en 1 toiletpot.Tevens mindervalide toilet. </t>
  </si>
  <si>
    <t>1 wastafel en 1 toiletpot.</t>
  </si>
  <si>
    <t>Bordes.</t>
  </si>
  <si>
    <t xml:space="preserve">Groep 1-2. </t>
  </si>
  <si>
    <t>1 wastafel, 1 urinoir en 3 wandclosets.</t>
  </si>
  <si>
    <t>Groep 3-4.</t>
  </si>
  <si>
    <t xml:space="preserve">Elektrameter. </t>
  </si>
  <si>
    <t>1 wastafel en 1 toiletpot. Mindervalide toilet.</t>
  </si>
  <si>
    <t>1 wastrog en 2 wandclosets.</t>
  </si>
  <si>
    <t>Open stalen trap met stalen treden en tussenbordes.</t>
  </si>
  <si>
    <t>1 uitstortgootsteen. En tevens CV-ruimte</t>
  </si>
  <si>
    <t>3 wastafels en 5 wandclosets.</t>
  </si>
  <si>
    <t>Groep 7-8</t>
  </si>
  <si>
    <t>cv-ruimte</t>
  </si>
  <si>
    <t>MIVA toilet</t>
  </si>
  <si>
    <t>2 wastafels en 7 wandclosets.</t>
  </si>
  <si>
    <t>Podium kan in plafond worden gehezen.</t>
  </si>
  <si>
    <t>Gasmeter.</t>
  </si>
  <si>
    <t>CV-ruimte (monolitisch)</t>
  </si>
  <si>
    <t>MIVA; 1 wastafel en 1 toiletpot</t>
  </si>
  <si>
    <t>Dichte betonnen trap inclusief tussenbordes</t>
  </si>
  <si>
    <t>Monolitisch</t>
  </si>
  <si>
    <t>1 wasblok en 2 wandclosets.</t>
  </si>
  <si>
    <t xml:space="preserve">Groep 7/8. </t>
  </si>
  <si>
    <t>Nomad Aqua 9500</t>
  </si>
  <si>
    <t>Open stalen trap (20 treden)</t>
  </si>
  <si>
    <t>Dichte betonnen trap (20 treden) met norament bekleed</t>
  </si>
  <si>
    <t>Computer/sterklas</t>
  </si>
  <si>
    <t xml:space="preserve">3 wastafels, 6 wandclosets en uitstortgootsteen. </t>
  </si>
  <si>
    <t>Zorggroep.</t>
  </si>
  <si>
    <t xml:space="preserve">Handvaardigheid en instructie. </t>
  </si>
  <si>
    <t>4 wastafels en 4 wandclosets.</t>
  </si>
  <si>
    <t>Onderverdeling meterkast</t>
  </si>
  <si>
    <t>2 wastafels en 3 wandclosets waarvan 1 mindervalide.</t>
  </si>
  <si>
    <t xml:space="preserve">3 wastafels, 3 wandclosets en 1 urinoir. </t>
  </si>
  <si>
    <t>2 wastafel en 2 wandclosets.</t>
  </si>
  <si>
    <t>1 uitstortgootsteen. En unit mechanische ventilatie.</t>
  </si>
  <si>
    <t xml:space="preserve">1 wastafel en 1 wandcloset en tevens mindervalide. </t>
  </si>
  <si>
    <t>met trap</t>
  </si>
  <si>
    <t>met inloopmat 3x2mtr</t>
  </si>
  <si>
    <t>1 wastafel, 3 wandclosets en 1 uitstortgootsteen.</t>
  </si>
  <si>
    <t>Dichte betonnen trap inclusief bordes</t>
  </si>
  <si>
    <t xml:space="preserve">3 wastafels, 4 wandclosets waarvan 1 mindervalide. </t>
  </si>
  <si>
    <t>1 wastafel, 1 wandcloset miva en 1 douche.</t>
  </si>
  <si>
    <t>1 wastafel en 6 wandclosets.</t>
  </si>
  <si>
    <t xml:space="preserve">Groep 2-3. </t>
  </si>
  <si>
    <t xml:space="preserve">2 wastafels en 3 wandclosets. </t>
  </si>
  <si>
    <t>Overloop-/sterlokaal.</t>
  </si>
  <si>
    <t xml:space="preserve">1 wastafels en 2 wandclosets. </t>
  </si>
  <si>
    <t xml:space="preserve">1 wastafel en 1 wandcloser. Mindervalide ruimte en douche. </t>
  </si>
  <si>
    <t xml:space="preserve">1 wastafel en 1 wandcloset. Tevens CV-ruimte. </t>
  </si>
  <si>
    <t>1 wastafel en 1 wandcloset</t>
  </si>
  <si>
    <t>2 wastafels en 6 wandclosets.</t>
  </si>
  <si>
    <t xml:space="preserve">Groep 2C. </t>
  </si>
  <si>
    <t>Meterkast (gas en elektra).</t>
  </si>
  <si>
    <t xml:space="preserve">1 wastafel en 1 wandcloset. En wasmachine en droger. </t>
  </si>
  <si>
    <t>Coralmat (verlijmd)</t>
  </si>
  <si>
    <t>Traptreden naar podium. Tevens BSO.</t>
  </si>
  <si>
    <t>Tevens BSO.</t>
  </si>
  <si>
    <t>Open stalen trap met natuurstenen treden en (tussen)bordes.</t>
  </si>
  <si>
    <t>Bordes</t>
  </si>
  <si>
    <t>Warmtepompruimte.</t>
  </si>
  <si>
    <t>Tevens BSO-lokaal en flexruimte.</t>
  </si>
  <si>
    <t xml:space="preserve">1 wastafel en 1 toiletpot. Tevens mindervalide toilet. </t>
  </si>
  <si>
    <t>Onderverdeling meterkast.</t>
  </si>
  <si>
    <t>Min berging van 2,05m2</t>
  </si>
  <si>
    <t>CV-ketel hangt hier</t>
  </si>
  <si>
    <t>Tochtportaal</t>
  </si>
  <si>
    <t>containerruimte</t>
  </si>
  <si>
    <t>Was en droog</t>
  </si>
  <si>
    <t>min berging van 2,02m2</t>
  </si>
  <si>
    <t>trap</t>
  </si>
  <si>
    <t>computerruimte</t>
  </si>
  <si>
    <t xml:space="preserve">Atelier </t>
  </si>
  <si>
    <t>CV ketel en Meterkast</t>
  </si>
  <si>
    <t>kapstok</t>
  </si>
  <si>
    <t>Containerruimte</t>
  </si>
  <si>
    <t>MIVA-toilet</t>
  </si>
  <si>
    <t>Was en droger ruimte</t>
  </si>
  <si>
    <t>MIVA</t>
  </si>
  <si>
    <t xml:space="preserve">Behoort tot appartementen </t>
  </si>
  <si>
    <t>Gebruiker</t>
  </si>
  <si>
    <t>Onderwijs</t>
  </si>
  <si>
    <t>Opvang</t>
  </si>
  <si>
    <t>Gezamenlijk</t>
  </si>
  <si>
    <t>Hasselbraam (Blauwe Loper)</t>
  </si>
  <si>
    <t>Zeppelin (Blosse)</t>
  </si>
  <si>
    <t>De Balein</t>
  </si>
  <si>
    <t>Gym- en speellokalen</t>
  </si>
  <si>
    <t>Opslagruimten</t>
  </si>
  <si>
    <t>Technischeruimte</t>
  </si>
  <si>
    <t>Instructieruimte - BSO</t>
  </si>
  <si>
    <t>Snoezelruimte</t>
  </si>
  <si>
    <t>Tegel</t>
  </si>
  <si>
    <t>opvang</t>
  </si>
  <si>
    <t>Verkeersruimten - trap</t>
  </si>
  <si>
    <t>Verkeersruimten - lift</t>
  </si>
  <si>
    <t>1 x per week (40 weken)</t>
  </si>
  <si>
    <t>2x per week (52 weken)</t>
  </si>
  <si>
    <t>3 x per week (40 weken)</t>
  </si>
  <si>
    <t>Blosse Kindcentra</t>
  </si>
  <si>
    <t>Heerhugowaard en regio</t>
  </si>
  <si>
    <t>Niet in onderhoud</t>
  </si>
  <si>
    <t>L</t>
  </si>
  <si>
    <t>Frequentie omschrijving</t>
  </si>
  <si>
    <t>5 x per week (40 weken)</t>
  </si>
  <si>
    <t>Top-coaten / recoaten *</t>
  </si>
  <si>
    <t xml:space="preserve">* uitgangspunt: kwaliteit van de coating is in de juiste conditie. Indien topcoaten niet meer leidt tot het beoogde resultaat dient er recoating plaats te vinden. </t>
  </si>
  <si>
    <t>Kosten coaten per beurt</t>
  </si>
  <si>
    <t>Frequentie coaten per jaar</t>
  </si>
  <si>
    <t>Totaalkosten coaten per jaar</t>
  </si>
  <si>
    <t>Glassoort</t>
  </si>
  <si>
    <t>M² prijs</t>
  </si>
  <si>
    <t>Buitenzijde</t>
  </si>
  <si>
    <t>Binnenzijde</t>
  </si>
  <si>
    <t>Separatieglas dubbelzijdig</t>
  </si>
  <si>
    <t>…………………………………</t>
  </si>
  <si>
    <t>Aanvullende omschrijving</t>
  </si>
  <si>
    <r>
      <t>Kosten per m</t>
    </r>
    <r>
      <rPr>
        <b/>
        <vertAlign val="superscript"/>
        <sz val="10"/>
        <color theme="0"/>
        <rFont val="Arial Black"/>
        <family val="2"/>
      </rPr>
      <t>2</t>
    </r>
  </si>
  <si>
    <t>Kosten per beurt</t>
  </si>
  <si>
    <t>Frequentie per jaar</t>
  </si>
  <si>
    <t>Totaalkosten per jaar</t>
  </si>
  <si>
    <t>Beplating</t>
  </si>
  <si>
    <t>2</t>
  </si>
  <si>
    <t>Kosten glasbewassing per jaar</t>
  </si>
  <si>
    <t>De Hucht 6</t>
  </si>
  <si>
    <t>P0.01</t>
  </si>
  <si>
    <t>P0.02</t>
  </si>
  <si>
    <t>P0.24</t>
  </si>
  <si>
    <t>P0.12</t>
  </si>
  <si>
    <t>P0.20</t>
  </si>
  <si>
    <t>timmerhoek valt hier buiten</t>
  </si>
  <si>
    <t>P0.06</t>
  </si>
  <si>
    <t>P0.10</t>
  </si>
  <si>
    <t>MIVA/personeelstoilet</t>
  </si>
  <si>
    <t>betreft sanitaire ruimte tussen p0.06 en P0.07</t>
  </si>
  <si>
    <t>ruimte beneden bij noodtrap</t>
  </si>
  <si>
    <t>zandbak niet meer aanwezig</t>
  </si>
  <si>
    <t>Verhoogde vaste snoezelruimte met een waterbed</t>
  </si>
  <si>
    <t>Was voormalig een slaapkamer</t>
  </si>
  <si>
    <t>1.09B</t>
  </si>
  <si>
    <t>1.11B</t>
  </si>
  <si>
    <t>verkeersruimten</t>
  </si>
  <si>
    <t>3 x per week (40 weken) + (12x2 vakantie)</t>
  </si>
  <si>
    <t>5 x per week (40 weken) + (12x2 vakantie)</t>
  </si>
  <si>
    <t>Mosselaan 58</t>
  </si>
  <si>
    <t>2 Eerste verdieping</t>
  </si>
  <si>
    <t>Mosselaan 59</t>
  </si>
  <si>
    <t>3 Eerste verdieping</t>
  </si>
  <si>
    <t>Mosselaan 60</t>
  </si>
  <si>
    <t>4 Eerste verdieping</t>
  </si>
  <si>
    <t>Mosselaan 61</t>
  </si>
  <si>
    <t>5 Eerste verdieping</t>
  </si>
  <si>
    <t>Mosselaan 62</t>
  </si>
  <si>
    <t>6 Eerste verdieping</t>
  </si>
  <si>
    <t>Blosse-EU-RT-MVD-2024</t>
  </si>
  <si>
    <t>…............................</t>
  </si>
  <si>
    <t>Binnen/buiten/sep</t>
  </si>
  <si>
    <t>Wordt na gunning ingemeten</t>
  </si>
  <si>
    <t>Huygenhoek (gezamenlijk)</t>
  </si>
  <si>
    <t>Huygenhoek (Hasselbraam)</t>
  </si>
  <si>
    <t>Huygenhoek (Zeppelin)</t>
  </si>
  <si>
    <t>Brinnummer</t>
  </si>
  <si>
    <t>05FM</t>
  </si>
  <si>
    <t>05DH</t>
  </si>
  <si>
    <t>03TM</t>
  </si>
  <si>
    <t>12BF</t>
  </si>
  <si>
    <t>27LX</t>
  </si>
  <si>
    <t>27NM</t>
  </si>
  <si>
    <t>27BN</t>
  </si>
  <si>
    <t>09XB</t>
  </si>
  <si>
    <t>24MZ</t>
  </si>
  <si>
    <t>08ZX</t>
  </si>
  <si>
    <t>10PN</t>
  </si>
  <si>
    <t>08NP</t>
  </si>
  <si>
    <t>30KN</t>
  </si>
  <si>
    <t>06TD</t>
  </si>
  <si>
    <t>04TM</t>
  </si>
  <si>
    <t>27BN </t>
  </si>
  <si>
    <t> 27LU</t>
  </si>
  <si>
    <t>Groepsruimte - POV/BSO</t>
  </si>
  <si>
    <t>leslokaal</t>
  </si>
  <si>
    <t xml:space="preserve">Groepsruimte POV/BSO </t>
  </si>
  <si>
    <t>Leslokaal</t>
  </si>
  <si>
    <r>
      <t>Kosten re-coaten per m</t>
    </r>
    <r>
      <rPr>
        <b/>
        <vertAlign val="superscript"/>
        <sz val="10"/>
        <color theme="0"/>
        <rFont val="Arial Black"/>
        <family val="2"/>
      </rPr>
      <t>2</t>
    </r>
  </si>
  <si>
    <r>
      <t>Kosten top-coaten per m</t>
    </r>
    <r>
      <rPr>
        <b/>
        <vertAlign val="superscript"/>
        <sz val="10"/>
        <color theme="0"/>
        <rFont val="Arial Black"/>
        <family val="2"/>
      </rPr>
      <t>2</t>
    </r>
  </si>
  <si>
    <t>Frequentie re-coaten per jaar</t>
  </si>
  <si>
    <t>0,2</t>
  </si>
  <si>
    <t>3 x per week( 52 weken; ma di en do)</t>
  </si>
  <si>
    <t>4x per week (52 weken)</t>
  </si>
  <si>
    <t>5 x per week (40 weken) + (12x3 vakantie)</t>
  </si>
  <si>
    <t>3x per week (alleen vakantieweken)</t>
  </si>
  <si>
    <t>Groepsruimte -POV/BSO</t>
  </si>
  <si>
    <t xml:space="preserve"> Groepsruimte POV/BSO </t>
  </si>
  <si>
    <t>5x per week (46 weken (minus 4 weken in zomer en 2 weken kerstvakantie))</t>
  </si>
  <si>
    <t>5 x per week (40 weken + 1 Zomer refreshbeurt)</t>
  </si>
  <si>
    <t>Perceel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</si>
</sst>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5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color rgb="FFFF0000"/>
      <name val="Georgia"/>
      <family val="1"/>
    </font>
    <font>
      <sz val="11"/>
      <name val="Aptos"/>
      <family val="2"/>
    </font>
    <font>
      <u/>
      <sz val="11"/>
      <color rgb="FFFF0000"/>
      <name val="Aptos"/>
      <family val="2"/>
    </font>
    <font>
      <sz val="11"/>
      <color rgb="FFFF0000"/>
      <name val="Aptos"/>
      <family val="2"/>
    </font>
    <font>
      <b/>
      <sz val="12"/>
      <color rgb="FFFF0000"/>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90">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15">
    <xf numFmtId="0" fontId="0" fillId="0" borderId="0" xfId="0"/>
    <xf numFmtId="0" fontId="66" fillId="0" borderId="0" xfId="13" applyFont="1" applyProtection="1">
      <protection hidden="1"/>
    </xf>
    <xf numFmtId="0" fontId="66" fillId="0" borderId="0" xfId="0" applyFont="1"/>
    <xf numFmtId="2" fontId="66" fillId="0" borderId="0" xfId="11" applyNumberFormat="1" applyFont="1" applyProtection="1">
      <protection hidden="1"/>
    </xf>
    <xf numFmtId="0" fontId="66" fillId="0" borderId="0" xfId="13" applyFont="1" applyAlignment="1" applyProtection="1">
      <alignment vertical="center"/>
      <protection hidden="1"/>
    </xf>
    <xf numFmtId="0" fontId="67" fillId="0" borderId="0" xfId="13" applyFont="1" applyAlignment="1" applyProtection="1">
      <alignment horizontal="right" vertical="center"/>
      <protection hidden="1"/>
    </xf>
    <xf numFmtId="176" fontId="66"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6"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6" fillId="0" borderId="0" xfId="13" applyNumberFormat="1" applyFont="1" applyAlignment="1" applyProtection="1">
      <alignment horizontal="right" vertical="center"/>
      <protection hidden="1"/>
    </xf>
    <xf numFmtId="0" fontId="66" fillId="0" borderId="0" xfId="13" applyFont="1" applyAlignment="1" applyProtection="1">
      <alignment horizontal="right" vertical="center"/>
      <protection hidden="1"/>
    </xf>
    <xf numFmtId="0" fontId="66" fillId="0" borderId="0" xfId="88" applyFont="1"/>
    <xf numFmtId="0" fontId="68" fillId="0" borderId="0" xfId="0" applyFont="1"/>
    <xf numFmtId="0" fontId="66" fillId="0" borderId="0" xfId="0" applyFont="1" applyAlignment="1">
      <alignment vertical="center"/>
    </xf>
    <xf numFmtId="2" fontId="66" fillId="0" borderId="0" xfId="13" applyNumberFormat="1" applyFont="1" applyAlignment="1" applyProtection="1">
      <alignment vertical="center"/>
      <protection hidden="1"/>
    </xf>
    <xf numFmtId="177" fontId="66" fillId="2" borderId="0" xfId="11" applyNumberFormat="1" applyFont="1" applyFill="1" applyAlignment="1" applyProtection="1">
      <alignment vertical="center"/>
      <protection hidden="1"/>
    </xf>
    <xf numFmtId="10" fontId="69" fillId="0" borderId="0" xfId="15" applyNumberFormat="1" applyFont="1" applyFill="1" applyBorder="1" applyAlignment="1" applyProtection="1">
      <alignment horizontal="right" vertical="center"/>
      <protection hidden="1"/>
    </xf>
    <xf numFmtId="10" fontId="65" fillId="0" borderId="0" xfId="15" applyNumberFormat="1" applyFont="1" applyFill="1" applyBorder="1" applyAlignment="1"/>
    <xf numFmtId="179" fontId="66" fillId="0" borderId="0" xfId="13" applyNumberFormat="1" applyFont="1" applyAlignment="1" applyProtection="1">
      <alignment vertical="center"/>
      <protection hidden="1"/>
    </xf>
    <xf numFmtId="0" fontId="66" fillId="0" borderId="0" xfId="0" applyFont="1" applyAlignment="1">
      <alignment horizontal="center" wrapText="1"/>
    </xf>
    <xf numFmtId="0" fontId="66" fillId="0" borderId="0" xfId="83" applyFont="1"/>
    <xf numFmtId="175" fontId="67" fillId="0" borderId="0" xfId="3" applyNumberFormat="1" applyFont="1" applyFill="1" applyBorder="1" applyAlignment="1" applyProtection="1">
      <alignment horizontal="center"/>
      <protection hidden="1"/>
    </xf>
    <xf numFmtId="169" fontId="67" fillId="0" borderId="0" xfId="3" applyFont="1" applyFill="1" applyBorder="1" applyAlignment="1" applyProtection="1">
      <alignment horizontal="center"/>
      <protection hidden="1"/>
    </xf>
    <xf numFmtId="0" fontId="67" fillId="0" borderId="0" xfId="13" applyFont="1" applyAlignment="1" applyProtection="1">
      <alignment horizontal="center"/>
      <protection hidden="1"/>
    </xf>
    <xf numFmtId="0" fontId="66" fillId="0" borderId="0" xfId="83" applyFont="1" applyAlignment="1">
      <alignment horizontal="center" vertical="center"/>
    </xf>
    <xf numFmtId="175" fontId="66" fillId="0" borderId="0" xfId="83" applyNumberFormat="1" applyFont="1" applyAlignment="1">
      <alignment horizontal="center" vertical="center"/>
    </xf>
    <xf numFmtId="0" fontId="66" fillId="0" borderId="0" xfId="102" applyFont="1"/>
    <xf numFmtId="0" fontId="70" fillId="0" borderId="0" xfId="102"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4" fillId="0" borderId="0" xfId="0" applyFont="1"/>
    <xf numFmtId="2" fontId="75" fillId="0" borderId="0" xfId="12" applyNumberFormat="1" applyFont="1"/>
    <xf numFmtId="2" fontId="76" fillId="2" borderId="0" xfId="12" applyNumberFormat="1" applyFont="1" applyFill="1"/>
    <xf numFmtId="0" fontId="78" fillId="0" borderId="0" xfId="88" applyFont="1"/>
    <xf numFmtId="167" fontId="78" fillId="0" borderId="0" xfId="8" applyFont="1"/>
    <xf numFmtId="173" fontId="80" fillId="0" borderId="0" xfId="8" applyNumberFormat="1" applyFont="1" applyAlignment="1">
      <alignment horizontal="center"/>
    </xf>
    <xf numFmtId="167" fontId="78" fillId="0" borderId="40" xfId="8" applyFont="1" applyBorder="1"/>
    <xf numFmtId="49" fontId="82" fillId="0" borderId="0" xfId="62" applyNumberFormat="1" applyFont="1"/>
    <xf numFmtId="0" fontId="82" fillId="0" borderId="0" xfId="62" applyFont="1"/>
    <xf numFmtId="10" fontId="82" fillId="0" borderId="0" xfId="62" applyNumberFormat="1" applyFont="1" applyAlignment="1">
      <alignment horizontal="left"/>
    </xf>
    <xf numFmtId="2" fontId="76" fillId="0" borderId="0" xfId="12" applyNumberFormat="1" applyFont="1"/>
    <xf numFmtId="188" fontId="83" fillId="0" borderId="0" xfId="62" applyNumberFormat="1" applyFont="1" applyAlignment="1">
      <alignment horizontal="left"/>
    </xf>
    <xf numFmtId="0" fontId="78" fillId="0" borderId="0" xfId="62" applyFont="1"/>
    <xf numFmtId="2" fontId="83" fillId="0" borderId="0" xfId="12" applyNumberFormat="1" applyFont="1"/>
    <xf numFmtId="167" fontId="82" fillId="0" borderId="0" xfId="8" applyFont="1"/>
    <xf numFmtId="2" fontId="80" fillId="0" borderId="0" xfId="88" applyNumberFormat="1" applyFont="1"/>
    <xf numFmtId="2" fontId="78" fillId="0" borderId="1" xfId="0" applyNumberFormat="1" applyFont="1" applyBorder="1"/>
    <xf numFmtId="2" fontId="78" fillId="0" borderId="1" xfId="88" applyNumberFormat="1" applyFont="1" applyBorder="1"/>
    <xf numFmtId="0" fontId="85" fillId="0" borderId="0" xfId="88"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6" applyFont="1" applyAlignment="1">
      <alignment horizontal="center"/>
    </xf>
    <xf numFmtId="2" fontId="78" fillId="0" borderId="0" xfId="8" applyNumberFormat="1" applyFont="1" applyAlignment="1">
      <alignment horizontal="left"/>
    </xf>
    <xf numFmtId="172" fontId="78" fillId="0" borderId="0" xfId="16" applyNumberFormat="1" applyFont="1" applyAlignment="1">
      <alignment horizontal="center"/>
    </xf>
    <xf numFmtId="172" fontId="87" fillId="0" borderId="0" xfId="12" applyNumberFormat="1" applyFont="1"/>
    <xf numFmtId="3" fontId="78" fillId="0" borderId="0" xfId="8" applyNumberFormat="1" applyFont="1" applyAlignment="1">
      <alignment horizontal="right"/>
    </xf>
    <xf numFmtId="0" fontId="78" fillId="0" borderId="0" xfId="16" applyFont="1"/>
    <xf numFmtId="0" fontId="88" fillId="0" borderId="0" xfId="16" applyFont="1"/>
    <xf numFmtId="0" fontId="78" fillId="2" borderId="1" xfId="0" applyFont="1" applyFill="1" applyBorder="1" applyAlignment="1">
      <alignment vertical="center"/>
    </xf>
    <xf numFmtId="0" fontId="78" fillId="0" borderId="1" xfId="0" applyFont="1" applyBorder="1" applyAlignment="1">
      <alignment horizontal="center" vertical="center"/>
    </xf>
    <xf numFmtId="0" fontId="78" fillId="0" borderId="1" xfId="0" applyFont="1" applyBorder="1" applyAlignment="1">
      <alignment vertical="center"/>
    </xf>
    <xf numFmtId="0" fontId="80" fillId="0" borderId="1" xfId="0" applyFont="1" applyBorder="1" applyAlignment="1">
      <alignment vertical="center"/>
    </xf>
    <xf numFmtId="0" fontId="80" fillId="0" borderId="1" xfId="0" applyFont="1" applyBorder="1"/>
    <xf numFmtId="0" fontId="80" fillId="0" borderId="1" xfId="0" applyFont="1" applyBorder="1" applyAlignment="1">
      <alignment horizontal="center" vertical="center"/>
    </xf>
    <xf numFmtId="1" fontId="78" fillId="0" borderId="42" xfId="60" applyNumberFormat="1" applyFont="1" applyBorder="1" applyAlignment="1">
      <alignment horizontal="center"/>
    </xf>
    <xf numFmtId="1" fontId="88" fillId="0" borderId="42" xfId="60"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1" xfId="0" applyFont="1" applyBorder="1"/>
    <xf numFmtId="2" fontId="85" fillId="0" borderId="1" xfId="8" applyNumberFormat="1" applyFont="1" applyFill="1" applyBorder="1" applyAlignment="1">
      <alignment horizontal="center"/>
    </xf>
    <xf numFmtId="0" fontId="78" fillId="0" borderId="9" xfId="0" applyFont="1" applyBorder="1"/>
    <xf numFmtId="0" fontId="78" fillId="0" borderId="7" xfId="0" applyFont="1" applyBorder="1"/>
    <xf numFmtId="0" fontId="78" fillId="0" borderId="4" xfId="0" applyFont="1" applyBorder="1"/>
    <xf numFmtId="0" fontId="78" fillId="0" borderId="21" xfId="0" applyFont="1" applyBorder="1" applyAlignment="1">
      <alignment wrapText="1"/>
    </xf>
    <xf numFmtId="0" fontId="78" fillId="2" borderId="21" xfId="0" applyFont="1" applyFill="1" applyBorder="1" applyAlignment="1">
      <alignment wrapText="1"/>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2" fontId="78" fillId="0" borderId="5" xfId="11" applyNumberFormat="1" applyFont="1" applyBorder="1" applyProtection="1">
      <protection hidden="1"/>
    </xf>
    <xf numFmtId="2" fontId="78" fillId="0" borderId="7" xfId="11" applyNumberFormat="1" applyFont="1" applyBorder="1" applyProtection="1">
      <protection hidden="1"/>
    </xf>
    <xf numFmtId="0" fontId="78" fillId="0" borderId="5" xfId="0" applyFont="1" applyBorder="1"/>
    <xf numFmtId="0" fontId="80" fillId="0" borderId="5" xfId="0" applyFont="1" applyBorder="1"/>
    <xf numFmtId="0" fontId="80" fillId="0" borderId="7" xfId="0" applyFont="1" applyBorder="1"/>
    <xf numFmtId="0" fontId="78" fillId="0" borderId="41" xfId="0" applyFont="1" applyBorder="1"/>
    <xf numFmtId="0" fontId="78" fillId="0" borderId="40"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2" fontId="80" fillId="0" borderId="1" xfId="11" applyNumberFormat="1" applyFont="1" applyBorder="1" applyAlignment="1" applyProtection="1">
      <alignment horizontal="center"/>
      <protection hidden="1"/>
    </xf>
    <xf numFmtId="0" fontId="82" fillId="0" borderId="40" xfId="0" applyFont="1" applyBorder="1"/>
    <xf numFmtId="0" fontId="78" fillId="0" borderId="5" xfId="11" applyFont="1" applyBorder="1" applyAlignment="1" applyProtection="1">
      <alignment vertical="center"/>
      <protection hidden="1"/>
    </xf>
    <xf numFmtId="0" fontId="78" fillId="0" borderId="2" xfId="0" applyFont="1" applyBorder="1"/>
    <xf numFmtId="0" fontId="78" fillId="0" borderId="6" xfId="0" applyFont="1" applyBorder="1"/>
    <xf numFmtId="0" fontId="80" fillId="0" borderId="5" xfId="13" applyFont="1" applyBorder="1" applyAlignment="1" applyProtection="1">
      <alignment vertical="center"/>
      <protection hidden="1"/>
    </xf>
    <xf numFmtId="0" fontId="80" fillId="0" borderId="6" xfId="0" applyFont="1" applyBorder="1"/>
    <xf numFmtId="0" fontId="88" fillId="0" borderId="1" xfId="13" applyFont="1" applyBorder="1" applyAlignment="1" applyProtection="1">
      <alignment horizontal="left" vertical="center"/>
      <protection hidden="1"/>
    </xf>
    <xf numFmtId="0" fontId="80" fillId="0" borderId="1" xfId="13" applyFont="1" applyBorder="1" applyAlignment="1" applyProtection="1">
      <alignment vertical="center"/>
      <protection hidden="1"/>
    </xf>
    <xf numFmtId="0" fontId="92" fillId="0" borderId="1" xfId="13" applyFont="1" applyBorder="1" applyAlignment="1" applyProtection="1">
      <alignment vertical="center"/>
      <protection hidden="1"/>
    </xf>
    <xf numFmtId="0" fontId="93" fillId="0" borderId="1" xfId="13" applyFont="1" applyBorder="1" applyAlignment="1" applyProtection="1">
      <alignment vertical="center"/>
      <protection hidden="1"/>
    </xf>
    <xf numFmtId="0" fontId="78" fillId="0" borderId="1" xfId="13" applyFont="1" applyBorder="1" applyAlignment="1" applyProtection="1">
      <alignment vertical="center"/>
      <protection hidden="1"/>
    </xf>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78" fillId="0" borderId="5" xfId="13" applyNumberFormat="1" applyFont="1" applyBorder="1" applyProtection="1">
      <protection hidden="1"/>
    </xf>
    <xf numFmtId="2" fontId="100" fillId="0" borderId="6" xfId="3" applyNumberFormat="1" applyFont="1" applyFill="1" applyBorder="1" applyAlignment="1" applyProtection="1">
      <alignment horizontal="center" vertical="center"/>
      <protection hidden="1"/>
    </xf>
    <xf numFmtId="2" fontId="100" fillId="0" borderId="7" xfId="3" applyNumberFormat="1" applyFont="1" applyFill="1" applyBorder="1" applyAlignment="1" applyProtection="1">
      <alignment horizontal="right" vertical="center"/>
      <protection hidden="1"/>
    </xf>
    <xf numFmtId="2" fontId="88" fillId="0" borderId="42" xfId="3" applyNumberFormat="1" applyFont="1" applyFill="1" applyBorder="1" applyAlignment="1" applyProtection="1">
      <protection hidden="1"/>
    </xf>
    <xf numFmtId="175" fontId="87" fillId="0" borderId="8" xfId="0" applyNumberFormat="1" applyFont="1" applyBorder="1" applyAlignment="1">
      <alignment horizontal="center" vertical="center"/>
    </xf>
    <xf numFmtId="1" fontId="80" fillId="0" borderId="42" xfId="13" applyNumberFormat="1" applyFont="1" applyBorder="1" applyAlignment="1" applyProtection="1">
      <alignment horizontal="center"/>
      <protection hidden="1"/>
    </xf>
    <xf numFmtId="2" fontId="101" fillId="0" borderId="6" xfId="3" applyNumberFormat="1" applyFont="1" applyFill="1" applyBorder="1" applyAlignment="1" applyProtection="1">
      <alignment horizontal="left" vertical="center"/>
      <protection hidden="1"/>
    </xf>
    <xf numFmtId="2" fontId="95" fillId="0" borderId="7" xfId="3" applyNumberFormat="1" applyFont="1" applyFill="1" applyBorder="1" applyAlignment="1" applyProtection="1">
      <alignment horizontal="right" vertical="center"/>
      <protection hidden="1"/>
    </xf>
    <xf numFmtId="10" fontId="102" fillId="0" borderId="7" xfId="15" applyNumberFormat="1" applyFont="1" applyFill="1" applyBorder="1" applyAlignment="1" applyProtection="1">
      <alignment horizontal="right"/>
      <protection hidden="1"/>
    </xf>
    <xf numFmtId="0" fontId="78" fillId="0" borderId="41" xfId="13" applyFont="1" applyBorder="1" applyProtection="1">
      <protection hidden="1"/>
    </xf>
    <xf numFmtId="0" fontId="103" fillId="0" borderId="40" xfId="13" applyFont="1" applyBorder="1" applyAlignment="1" applyProtection="1">
      <alignment horizontal="right"/>
      <protection hidden="1"/>
    </xf>
    <xf numFmtId="0" fontId="80" fillId="0" borderId="5" xfId="13" applyFont="1" applyBorder="1" applyProtection="1">
      <protection hidden="1"/>
    </xf>
    <xf numFmtId="0" fontId="104" fillId="0" borderId="6" xfId="13" applyFont="1" applyBorder="1" applyProtection="1">
      <protection hidden="1"/>
    </xf>
    <xf numFmtId="0" fontId="104" fillId="0" borderId="7"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0" fontId="78" fillId="0" borderId="5" xfId="13" applyFont="1" applyBorder="1" applyProtection="1">
      <protection hidden="1"/>
    </xf>
    <xf numFmtId="0" fontId="102" fillId="0" borderId="6" xfId="13" applyFont="1" applyBorder="1" applyAlignment="1" applyProtection="1">
      <alignment horizontal="right"/>
      <protection hidden="1"/>
    </xf>
    <xf numFmtId="0" fontId="102" fillId="0" borderId="7" xfId="13" applyFont="1" applyBorder="1" applyAlignment="1" applyProtection="1">
      <alignment horizontal="right"/>
      <protection hidden="1"/>
    </xf>
    <xf numFmtId="0" fontId="88" fillId="0" borderId="5" xfId="13" applyFont="1" applyBorder="1" applyProtection="1">
      <protection hidden="1"/>
    </xf>
    <xf numFmtId="0" fontId="103" fillId="0" borderId="6" xfId="13" applyFont="1" applyBorder="1" applyAlignment="1" applyProtection="1">
      <alignment horizontal="center"/>
      <protection hidden="1"/>
    </xf>
    <xf numFmtId="0" fontId="103" fillId="0" borderId="7" xfId="13" applyFont="1" applyBorder="1" applyAlignment="1" applyProtection="1">
      <alignment horizontal="right"/>
      <protection hidden="1"/>
    </xf>
    <xf numFmtId="0" fontId="85" fillId="0" borderId="5" xfId="13" applyFont="1" applyBorder="1" applyProtection="1">
      <protection hidden="1"/>
    </xf>
    <xf numFmtId="10" fontId="102" fillId="0" borderId="6" xfId="13" applyNumberFormat="1" applyFont="1" applyBorder="1" applyAlignment="1" applyProtection="1">
      <alignment horizontal="right"/>
      <protection hidden="1"/>
    </xf>
    <xf numFmtId="2" fontId="105" fillId="0" borderId="0" xfId="13" applyNumberFormat="1" applyFont="1" applyAlignment="1" applyProtection="1">
      <alignment horizontal="center"/>
      <protection hidden="1"/>
    </xf>
    <xf numFmtId="0" fontId="85" fillId="0" borderId="0" xfId="0" applyFont="1"/>
    <xf numFmtId="175" fontId="103" fillId="0" borderId="7" xfId="15" applyNumberFormat="1" applyFont="1" applyFill="1" applyBorder="1" applyAlignment="1" applyProtection="1">
      <alignment horizontal="right"/>
      <protection hidden="1"/>
    </xf>
    <xf numFmtId="0" fontId="106" fillId="0" borderId="6" xfId="13" applyFont="1" applyBorder="1" applyAlignment="1" applyProtection="1">
      <alignment horizontal="center"/>
      <protection hidden="1"/>
    </xf>
    <xf numFmtId="169" fontId="103" fillId="0" borderId="6" xfId="13" applyNumberFormat="1" applyFont="1" applyBorder="1" applyAlignment="1" applyProtection="1">
      <alignment horizontal="center"/>
      <protection hidden="1"/>
    </xf>
    <xf numFmtId="165" fontId="103" fillId="0" borderId="6" xfId="13" applyNumberFormat="1" applyFont="1" applyBorder="1" applyAlignment="1" applyProtection="1">
      <alignment horizontal="center"/>
      <protection hidden="1"/>
    </xf>
    <xf numFmtId="167" fontId="103" fillId="0" borderId="7" xfId="8" applyFont="1" applyFill="1" applyBorder="1" applyAlignment="1" applyProtection="1">
      <alignment horizontal="right"/>
      <protection hidden="1"/>
    </xf>
    <xf numFmtId="2" fontId="78" fillId="0" borderId="41" xfId="13" applyNumberFormat="1" applyFont="1" applyBorder="1" applyProtection="1">
      <protection hidden="1"/>
    </xf>
    <xf numFmtId="10" fontId="103" fillId="0" borderId="7" xfId="15" applyNumberFormat="1" applyFont="1" applyFill="1" applyBorder="1" applyAlignment="1" applyProtection="1">
      <alignment horizontal="right"/>
      <protection hidden="1"/>
    </xf>
    <xf numFmtId="0" fontId="80" fillId="0" borderId="42" xfId="0" applyFont="1" applyBorder="1"/>
    <xf numFmtId="0" fontId="103" fillId="0" borderId="6" xfId="13" applyFont="1" applyBorder="1" applyProtection="1">
      <protection hidden="1"/>
    </xf>
    <xf numFmtId="169" fontId="104" fillId="0" borderId="6" xfId="13" applyNumberFormat="1" applyFont="1" applyBorder="1" applyProtection="1">
      <protection hidden="1"/>
    </xf>
    <xf numFmtId="169" fontId="103" fillId="0" borderId="7" xfId="13" applyNumberFormat="1" applyFont="1" applyBorder="1" applyAlignment="1" applyProtection="1">
      <alignment horizontal="right"/>
      <protection hidden="1"/>
    </xf>
    <xf numFmtId="0" fontId="104" fillId="0" borderId="0" xfId="0" applyFont="1"/>
    <xf numFmtId="0" fontId="104" fillId="0" borderId="8" xfId="0" applyFont="1" applyBorder="1" applyAlignment="1">
      <alignment horizontal="right"/>
    </xf>
    <xf numFmtId="0" fontId="107" fillId="0" borderId="41" xfId="13" applyFont="1" applyBorder="1" applyProtection="1">
      <protection hidden="1"/>
    </xf>
    <xf numFmtId="0" fontId="108" fillId="0" borderId="43" xfId="13" applyFont="1" applyBorder="1" applyProtection="1">
      <protection hidden="1"/>
    </xf>
    <xf numFmtId="0" fontId="108" fillId="0" borderId="40" xfId="13" applyFont="1" applyBorder="1" applyAlignment="1" applyProtection="1">
      <alignment horizontal="right"/>
      <protection hidden="1"/>
    </xf>
    <xf numFmtId="0" fontId="89" fillId="0" borderId="5" xfId="13" applyFont="1" applyBorder="1" applyProtection="1">
      <protection hidden="1"/>
    </xf>
    <xf numFmtId="169" fontId="102" fillId="0" borderId="6" xfId="13" applyNumberFormat="1" applyFont="1" applyBorder="1" applyProtection="1">
      <protection hidden="1"/>
    </xf>
    <xf numFmtId="169" fontId="102" fillId="0" borderId="7" xfId="13" applyNumberFormat="1" applyFont="1" applyBorder="1" applyAlignment="1" applyProtection="1">
      <alignment horizontal="right"/>
      <protection hidden="1"/>
    </xf>
    <xf numFmtId="0" fontId="88" fillId="0" borderId="39"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11" xfId="15" applyNumberFormat="1" applyFont="1" applyFill="1" applyBorder="1" applyAlignment="1" applyProtection="1">
      <alignment horizontal="right"/>
      <protection hidden="1"/>
    </xf>
    <xf numFmtId="0" fontId="102" fillId="0" borderId="0" xfId="0" applyFont="1"/>
    <xf numFmtId="0" fontId="102" fillId="0" borderId="10"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6" fillId="0" borderId="0" xfId="62"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78" fillId="0" borderId="5" xfId="9" applyFont="1" applyBorder="1" applyAlignment="1" applyProtection="1">
      <alignment horizontal="left"/>
      <protection hidden="1"/>
    </xf>
    <xf numFmtId="0" fontId="78" fillId="0" borderId="7" xfId="9" applyFont="1" applyBorder="1" applyAlignment="1" applyProtection="1">
      <alignment horizontal="left"/>
      <protection hidden="1"/>
    </xf>
    <xf numFmtId="0" fontId="78" fillId="0" borderId="1" xfId="9" applyFont="1" applyBorder="1" applyAlignment="1" applyProtection="1">
      <alignment horizontal="left"/>
      <protection hidden="1"/>
    </xf>
    <xf numFmtId="0" fontId="78" fillId="0" borderId="1" xfId="9" applyFont="1" applyBorder="1" applyAlignment="1" applyProtection="1">
      <alignment horizontal="center"/>
      <protection hidden="1"/>
    </xf>
    <xf numFmtId="0" fontId="78" fillId="0" borderId="1" xfId="10" applyFont="1" applyBorder="1"/>
    <xf numFmtId="0" fontId="78" fillId="0" borderId="0" xfId="10" applyFont="1"/>
    <xf numFmtId="0" fontId="80" fillId="0" borderId="0" xfId="9" applyFont="1" applyAlignment="1" applyProtection="1">
      <alignment horizontal="left" vertical="center"/>
      <protection hidden="1"/>
    </xf>
    <xf numFmtId="0" fontId="78" fillId="0" borderId="5" xfId="9" applyFont="1" applyBorder="1" applyAlignment="1" applyProtection="1">
      <alignment horizontal="left" vertical="top"/>
      <protection hidden="1"/>
    </xf>
    <xf numFmtId="0" fontId="78" fillId="0" borderId="6" xfId="9" applyFont="1" applyBorder="1" applyAlignment="1" applyProtection="1">
      <alignment horizontal="left" vertical="top"/>
      <protection hidden="1"/>
    </xf>
    <xf numFmtId="0" fontId="78" fillId="0" borderId="7" xfId="9" applyFont="1" applyBorder="1" applyAlignment="1" applyProtection="1">
      <alignment horizontal="center" vertical="top"/>
      <protection hidden="1"/>
    </xf>
    <xf numFmtId="0" fontId="78" fillId="0" borderId="6" xfId="10" applyFont="1" applyBorder="1"/>
    <xf numFmtId="0" fontId="78" fillId="0" borderId="1" xfId="9" applyFont="1" applyBorder="1" applyAlignment="1" applyProtection="1">
      <alignment horizontal="righ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3" applyFont="1"/>
    <xf numFmtId="0" fontId="78" fillId="0" borderId="1" xfId="102" applyFont="1" applyBorder="1" applyAlignment="1">
      <alignment vertical="top" wrapText="1"/>
    </xf>
    <xf numFmtId="175" fontId="109" fillId="0" borderId="0" xfId="3" applyNumberFormat="1" applyFont="1" applyFill="1" applyBorder="1" applyAlignment="1" applyProtection="1">
      <alignment horizontal="center"/>
      <protection hidden="1"/>
    </xf>
    <xf numFmtId="2" fontId="78" fillId="0" borderId="1" xfId="83" applyNumberFormat="1" applyFont="1" applyBorder="1"/>
    <xf numFmtId="0" fontId="78" fillId="0" borderId="1" xfId="83" applyFont="1" applyBorder="1"/>
    <xf numFmtId="0" fontId="78" fillId="2" borderId="1" xfId="83" applyFont="1" applyFill="1" applyBorder="1"/>
    <xf numFmtId="0" fontId="78" fillId="0" borderId="0" xfId="102" applyFont="1"/>
    <xf numFmtId="0" fontId="78" fillId="2" borderId="1" xfId="88" applyFont="1" applyFill="1" applyBorder="1"/>
    <xf numFmtId="2" fontId="80" fillId="2" borderId="5" xfId="83" applyNumberFormat="1" applyFont="1" applyFill="1" applyBorder="1" applyAlignment="1">
      <alignment vertical="top" wrapText="1"/>
    </xf>
    <xf numFmtId="2" fontId="80" fillId="2" borderId="7" xfId="83" applyNumberFormat="1" applyFont="1" applyFill="1" applyBorder="1" applyAlignment="1">
      <alignment vertical="top" wrapText="1"/>
    </xf>
    <xf numFmtId="2" fontId="80" fillId="2" borderId="6" xfId="83" applyNumberFormat="1" applyFont="1" applyFill="1" applyBorder="1" applyAlignment="1">
      <alignment vertical="top" wrapText="1"/>
    </xf>
    <xf numFmtId="0" fontId="78" fillId="0" borderId="0" xfId="102" applyFont="1" applyAlignment="1">
      <alignment horizontal="center"/>
    </xf>
    <xf numFmtId="167" fontId="78" fillId="0" borderId="0" xfId="104" applyFont="1"/>
    <xf numFmtId="173" fontId="78" fillId="0" borderId="0" xfId="8" applyNumberFormat="1" applyFont="1"/>
    <xf numFmtId="1" fontId="110" fillId="0" borderId="5" xfId="0" applyNumberFormat="1" applyFont="1" applyBorder="1" applyAlignment="1">
      <alignment horizontal="left" vertical="center"/>
    </xf>
    <xf numFmtId="1" fontId="110" fillId="0" borderId="6" xfId="0" applyNumberFormat="1" applyFont="1" applyBorder="1" applyAlignment="1">
      <alignment horizontal="left" vertical="center"/>
    </xf>
    <xf numFmtId="1" fontId="110" fillId="0" borderId="7" xfId="0" applyNumberFormat="1" applyFont="1" applyBorder="1" applyAlignment="1">
      <alignment horizontal="center" vertical="center" wrapText="1"/>
    </xf>
    <xf numFmtId="2" fontId="91" fillId="64" borderId="6" xfId="11" applyNumberFormat="1" applyFont="1" applyFill="1" applyBorder="1" applyProtection="1">
      <protection hidden="1"/>
    </xf>
    <xf numFmtId="2" fontId="91" fillId="64" borderId="7" xfId="11" applyNumberFormat="1" applyFont="1" applyFill="1" applyBorder="1" applyProtection="1">
      <protection hidden="1"/>
    </xf>
    <xf numFmtId="0" fontId="91" fillId="64" borderId="6" xfId="10" applyFont="1" applyFill="1" applyBorder="1"/>
    <xf numFmtId="0" fontId="91" fillId="64" borderId="7" xfId="10" applyFont="1" applyFill="1" applyBorder="1"/>
    <xf numFmtId="2" fontId="76" fillId="65" borderId="0" xfId="12" applyNumberFormat="1" applyFont="1" applyFill="1"/>
    <xf numFmtId="0" fontId="85" fillId="65" borderId="1" xfId="13" applyFont="1" applyFill="1" applyBorder="1" applyProtection="1">
      <protection hidden="1"/>
    </xf>
    <xf numFmtId="0" fontId="78" fillId="65" borderId="5" xfId="13" applyFont="1" applyFill="1" applyBorder="1" applyProtection="1">
      <protection hidden="1"/>
    </xf>
    <xf numFmtId="0" fontId="103" fillId="65" borderId="6" xfId="13" applyFont="1" applyFill="1" applyBorder="1" applyAlignment="1" applyProtection="1">
      <alignment horizontal="center"/>
      <protection hidden="1"/>
    </xf>
    <xf numFmtId="0" fontId="103" fillId="65" borderId="7" xfId="13" applyFont="1" applyFill="1" applyBorder="1" applyAlignment="1" applyProtection="1">
      <alignment horizontal="right"/>
      <protection hidden="1"/>
    </xf>
    <xf numFmtId="10" fontId="103" fillId="65" borderId="7" xfId="15" applyNumberFormat="1" applyFont="1" applyFill="1" applyBorder="1" applyAlignment="1" applyProtection="1">
      <alignment horizontal="right"/>
      <protection hidden="1"/>
    </xf>
    <xf numFmtId="0" fontId="78" fillId="65" borderId="1" xfId="10" applyFont="1" applyFill="1" applyBorder="1"/>
    <xf numFmtId="0" fontId="78" fillId="65" borderId="2" xfId="10" applyFont="1" applyFill="1" applyBorder="1"/>
    <xf numFmtId="0" fontId="78" fillId="65" borderId="6" xfId="10" applyFont="1" applyFill="1" applyBorder="1"/>
    <xf numFmtId="0" fontId="78" fillId="65" borderId="5" xfId="10" applyFont="1" applyFill="1" applyBorder="1"/>
    <xf numFmtId="2" fontId="111" fillId="0" borderId="0" xfId="12" applyNumberFormat="1" applyFont="1"/>
    <xf numFmtId="2" fontId="114" fillId="64" borderId="1" xfId="0" applyNumberFormat="1" applyFont="1" applyFill="1" applyBorder="1" applyAlignment="1">
      <alignment horizontal="left" vertical="center" wrapText="1"/>
    </xf>
    <xf numFmtId="1" fontId="114" fillId="64" borderId="1" xfId="0" applyNumberFormat="1" applyFont="1" applyFill="1" applyBorder="1" applyAlignment="1">
      <alignment horizontal="center" vertical="center" wrapText="1"/>
    </xf>
    <xf numFmtId="0" fontId="114" fillId="64" borderId="1" xfId="0" applyFont="1" applyFill="1" applyBorder="1" applyAlignment="1">
      <alignment horizontal="left" vertical="center" wrapText="1"/>
    </xf>
    <xf numFmtId="0" fontId="113" fillId="0" borderId="0" xfId="0" applyFont="1" applyAlignment="1">
      <alignment horizontal="center" vertical="center"/>
    </xf>
    <xf numFmtId="0" fontId="116" fillId="0" borderId="0" xfId="16" applyFont="1"/>
    <xf numFmtId="2" fontId="114" fillId="64" borderId="1" xfId="0" applyNumberFormat="1" applyFont="1" applyFill="1" applyBorder="1" applyAlignment="1">
      <alignment horizontal="center" vertical="center" wrapText="1"/>
    </xf>
    <xf numFmtId="49" fontId="112" fillId="66" borderId="1" xfId="9" applyNumberFormat="1" applyFont="1" applyFill="1" applyBorder="1" applyAlignment="1" applyProtection="1">
      <alignment horizontal="left" vertical="top"/>
      <protection hidden="1"/>
    </xf>
    <xf numFmtId="0" fontId="113" fillId="0" borderId="0" xfId="0" applyFont="1"/>
    <xf numFmtId="1" fontId="114" fillId="64" borderId="1" xfId="0" applyNumberFormat="1" applyFont="1" applyFill="1" applyBorder="1" applyAlignment="1">
      <alignment horizontal="left"/>
    </xf>
    <xf numFmtId="1" fontId="114" fillId="64" borderId="1" xfId="0" applyNumberFormat="1" applyFont="1" applyFill="1" applyBorder="1" applyAlignment="1">
      <alignment horizontal="center"/>
    </xf>
    <xf numFmtId="1" fontId="80" fillId="0" borderId="42" xfId="60" applyNumberFormat="1" applyFont="1" applyBorder="1" applyAlignment="1">
      <alignment horizontal="center"/>
    </xf>
    <xf numFmtId="2" fontId="117" fillId="0" borderId="0" xfId="0" applyNumberFormat="1" applyFont="1"/>
    <xf numFmtId="2" fontId="114" fillId="64" borderId="4" xfId="0" applyNumberFormat="1" applyFont="1" applyFill="1" applyBorder="1" applyAlignment="1">
      <alignment horizontal="left" vertical="top" wrapText="1"/>
    </xf>
    <xf numFmtId="0" fontId="114" fillId="64" borderId="4" xfId="0" applyFont="1" applyFill="1" applyBorder="1" applyAlignment="1">
      <alignment horizontal="left" vertical="top" wrapText="1"/>
    </xf>
    <xf numFmtId="182" fontId="114" fillId="64" borderId="4" xfId="8" applyNumberFormat="1" applyFont="1" applyFill="1" applyBorder="1" applyAlignment="1">
      <alignment horizontal="left" vertical="top" wrapText="1"/>
    </xf>
    <xf numFmtId="167" fontId="115" fillId="64" borderId="4" xfId="8" applyFont="1" applyFill="1" applyBorder="1" applyAlignment="1">
      <alignment horizontal="center" vertical="top" wrapText="1"/>
    </xf>
    <xf numFmtId="167" fontId="114" fillId="64" borderId="4" xfId="8" applyFont="1" applyFill="1" applyBorder="1" applyAlignment="1">
      <alignment horizontal="center" vertical="top" wrapText="1"/>
    </xf>
    <xf numFmtId="2" fontId="115" fillId="64" borderId="4" xfId="0" applyNumberFormat="1" applyFont="1" applyFill="1" applyBorder="1" applyAlignment="1">
      <alignment horizontal="center" vertical="top" wrapText="1"/>
    </xf>
    <xf numFmtId="0" fontId="113" fillId="0" borderId="0" xfId="0" applyFont="1" applyAlignment="1">
      <alignment horizontal="center"/>
    </xf>
    <xf numFmtId="2" fontId="118" fillId="0" borderId="0" xfId="13" applyNumberFormat="1" applyFont="1" applyAlignment="1" applyProtection="1">
      <alignment vertical="center"/>
      <protection locked="0"/>
    </xf>
    <xf numFmtId="2" fontId="119" fillId="64" borderId="5" xfId="13" applyNumberFormat="1" applyFont="1" applyFill="1" applyBorder="1" applyAlignment="1" applyProtection="1">
      <alignment horizontal="left" vertical="center"/>
      <protection hidden="1"/>
    </xf>
    <xf numFmtId="0" fontId="113" fillId="65" borderId="1" xfId="13" applyFont="1" applyFill="1" applyBorder="1" applyProtection="1">
      <protection hidden="1"/>
    </xf>
    <xf numFmtId="0" fontId="119" fillId="64" borderId="5" xfId="13" applyFont="1" applyFill="1" applyBorder="1" applyAlignment="1" applyProtection="1">
      <alignment horizontal="left" vertical="center"/>
      <protection hidden="1"/>
    </xf>
    <xf numFmtId="0" fontId="120" fillId="64" borderId="6" xfId="13" applyFont="1" applyFill="1" applyBorder="1" applyAlignment="1" applyProtection="1">
      <alignment horizontal="left" vertical="center"/>
      <protection hidden="1"/>
    </xf>
    <xf numFmtId="9" fontId="121" fillId="64" borderId="7" xfId="13" applyNumberFormat="1" applyFont="1" applyFill="1" applyBorder="1" applyAlignment="1" applyProtection="1">
      <alignment vertical="center"/>
      <protection hidden="1"/>
    </xf>
    <xf numFmtId="0" fontId="114" fillId="64" borderId="1" xfId="13" applyFont="1" applyFill="1" applyBorder="1" applyAlignment="1" applyProtection="1">
      <alignment horizontal="left" vertical="center"/>
      <protection hidden="1"/>
    </xf>
    <xf numFmtId="2" fontId="120" fillId="64" borderId="5" xfId="13" applyNumberFormat="1" applyFont="1" applyFill="1" applyBorder="1" applyAlignment="1" applyProtection="1">
      <alignment horizontal="left" vertical="center" wrapText="1"/>
      <protection hidden="1"/>
    </xf>
    <xf numFmtId="2" fontId="122" fillId="64" borderId="6" xfId="13" applyNumberFormat="1" applyFont="1" applyFill="1" applyBorder="1" applyAlignment="1" applyProtection="1">
      <alignment horizontal="center" wrapText="1"/>
      <protection hidden="1"/>
    </xf>
    <xf numFmtId="2" fontId="122" fillId="64" borderId="7" xfId="13" applyNumberFormat="1" applyFont="1" applyFill="1" applyBorder="1" applyAlignment="1" applyProtection="1">
      <alignment horizontal="right" wrapText="1"/>
      <protection hidden="1"/>
    </xf>
    <xf numFmtId="2" fontId="123"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2" fillId="64" borderId="5" xfId="13" applyNumberFormat="1" applyFont="1" applyFill="1" applyBorder="1" applyAlignment="1" applyProtection="1">
      <alignment horizontal="left" vertical="center" wrapText="1"/>
      <protection hidden="1"/>
    </xf>
    <xf numFmtId="0" fontId="124" fillId="0" borderId="0" xfId="13" applyFont="1" applyProtection="1">
      <protection hidden="1"/>
    </xf>
    <xf numFmtId="2" fontId="111" fillId="0" borderId="0" xfId="0" applyNumberFormat="1" applyFont="1"/>
    <xf numFmtId="2" fontId="122" fillId="64" borderId="41" xfId="13" applyNumberFormat="1" applyFont="1" applyFill="1" applyBorder="1" applyAlignment="1" applyProtection="1">
      <alignment horizontal="left" vertical="center" wrapText="1"/>
      <protection hidden="1"/>
    </xf>
    <xf numFmtId="2" fontId="122" fillId="64" borderId="42" xfId="3" applyNumberFormat="1" applyFont="1" applyFill="1" applyBorder="1" applyAlignment="1" applyProtection="1">
      <alignment vertical="center" wrapText="1"/>
      <protection hidden="1"/>
    </xf>
    <xf numFmtId="2" fontId="111" fillId="0" borderId="0" xfId="62" applyNumberFormat="1" applyFont="1"/>
    <xf numFmtId="0" fontId="125" fillId="65" borderId="1" xfId="10" applyFont="1" applyFill="1" applyBorder="1"/>
    <xf numFmtId="0" fontId="120" fillId="64" borderId="5" xfId="9" applyFont="1" applyFill="1" applyBorder="1" applyAlignment="1" applyProtection="1">
      <alignment horizontal="left" vertical="center"/>
      <protection hidden="1"/>
    </xf>
    <xf numFmtId="0" fontId="121" fillId="64" borderId="6" xfId="10" applyFont="1" applyFill="1" applyBorder="1"/>
    <xf numFmtId="0" fontId="126" fillId="64" borderId="6" xfId="10" applyFont="1" applyFill="1" applyBorder="1"/>
    <xf numFmtId="0" fontId="126" fillId="64" borderId="7" xfId="10" applyFont="1" applyFill="1" applyBorder="1"/>
    <xf numFmtId="0" fontId="83" fillId="0" borderId="0" xfId="9" applyFont="1" applyAlignment="1" applyProtection="1">
      <alignment horizontal="left" vertical="center"/>
      <protection hidden="1"/>
    </xf>
    <xf numFmtId="2" fontId="114" fillId="64" borderId="4" xfId="83" applyNumberFormat="1" applyFont="1" applyFill="1" applyBorder="1" applyAlignment="1">
      <alignment horizontal="left" vertical="top" wrapText="1"/>
    </xf>
    <xf numFmtId="2" fontId="114" fillId="64" borderId="4" xfId="83" applyNumberFormat="1" applyFont="1" applyFill="1" applyBorder="1" applyAlignment="1">
      <alignment vertical="top" wrapText="1"/>
    </xf>
    <xf numFmtId="173" fontId="114" fillId="64" borderId="4" xfId="8" applyNumberFormat="1" applyFont="1" applyFill="1" applyBorder="1" applyAlignment="1">
      <alignment vertical="top" wrapText="1"/>
    </xf>
    <xf numFmtId="0" fontId="125" fillId="65" borderId="1" xfId="13" applyFont="1" applyFill="1" applyBorder="1" applyProtection="1">
      <protection hidden="1"/>
    </xf>
    <xf numFmtId="0" fontId="128" fillId="0" borderId="0" xfId="13" applyFont="1" applyProtection="1">
      <protection hidden="1"/>
    </xf>
    <xf numFmtId="2" fontId="114" fillId="64" borderId="38" xfId="0" applyNumberFormat="1" applyFont="1" applyFill="1" applyBorder="1" applyAlignment="1">
      <alignment horizontal="left" vertical="top" wrapText="1"/>
    </xf>
    <xf numFmtId="166" fontId="131" fillId="2" borderId="40" xfId="17" applyFont="1" applyFill="1" applyBorder="1" applyAlignment="1"/>
    <xf numFmtId="167" fontId="36" fillId="65" borderId="42" xfId="8" applyFont="1" applyFill="1" applyBorder="1" applyAlignment="1">
      <alignment horizontal="left"/>
    </xf>
    <xf numFmtId="0" fontId="132" fillId="0" borderId="0" xfId="62" applyFont="1"/>
    <xf numFmtId="178" fontId="132" fillId="0" borderId="2" xfId="6" applyNumberFormat="1" applyFont="1" applyFill="1" applyBorder="1" applyAlignment="1"/>
    <xf numFmtId="44" fontId="132" fillId="0" borderId="0" xfId="62" applyNumberFormat="1" applyFont="1"/>
    <xf numFmtId="9" fontId="36" fillId="65" borderId="42" xfId="15" applyFont="1" applyFill="1" applyBorder="1" applyAlignment="1">
      <alignment horizontal="center"/>
    </xf>
    <xf numFmtId="44" fontId="129" fillId="64" borderId="40" xfId="62" applyNumberFormat="1" applyFont="1" applyFill="1" applyBorder="1"/>
    <xf numFmtId="2" fontId="36" fillId="65" borderId="42" xfId="8" applyNumberFormat="1" applyFont="1" applyFill="1" applyBorder="1" applyAlignment="1">
      <alignment horizontal="center"/>
    </xf>
    <xf numFmtId="1" fontId="130" fillId="2" borderId="42" xfId="8" applyNumberFormat="1" applyFont="1" applyFill="1" applyBorder="1" applyAlignment="1">
      <alignment horizontal="center"/>
    </xf>
    <xf numFmtId="2" fontId="36" fillId="2" borderId="1" xfId="8" applyNumberFormat="1" applyFont="1" applyFill="1" applyBorder="1" applyAlignment="1">
      <alignment horizontal="center"/>
    </xf>
    <xf numFmtId="2" fontId="36" fillId="2" borderId="42" xfId="8" applyNumberFormat="1" applyFont="1" applyFill="1" applyBorder="1" applyAlignment="1">
      <alignment horizontal="center"/>
    </xf>
    <xf numFmtId="173" fontId="130" fillId="2" borderId="42" xfId="8" applyNumberFormat="1" applyFont="1" applyFill="1" applyBorder="1"/>
    <xf numFmtId="167" fontId="130" fillId="2" borderId="42" xfId="8" applyFont="1" applyFill="1" applyBorder="1"/>
    <xf numFmtId="2" fontId="130" fillId="2" borderId="1" xfId="8" applyNumberFormat="1" applyFont="1" applyFill="1" applyBorder="1" applyAlignment="1">
      <alignment horizontal="center"/>
    </xf>
    <xf numFmtId="49" fontId="77" fillId="66" borderId="1" xfId="61" applyNumberFormat="1" applyFont="1" applyFill="1" applyBorder="1" applyAlignment="1" applyProtection="1">
      <alignment horizontal="left" vertical="top"/>
      <protection hidden="1"/>
    </xf>
    <xf numFmtId="173" fontId="79" fillId="64" borderId="41" xfId="8" applyNumberFormat="1" applyFont="1" applyFill="1" applyBorder="1" applyAlignment="1">
      <alignment horizontal="left"/>
    </xf>
    <xf numFmtId="167" fontId="79" fillId="64" borderId="40" xfId="8" applyFont="1" applyFill="1" applyBorder="1"/>
    <xf numFmtId="49" fontId="81" fillId="0" borderId="41" xfId="62" applyNumberFormat="1" applyFont="1" applyBorder="1" applyAlignment="1">
      <alignment vertical="top"/>
    </xf>
    <xf numFmtId="0" fontId="78" fillId="0" borderId="43" xfId="62" applyFont="1" applyBorder="1"/>
    <xf numFmtId="49" fontId="80" fillId="0" borderId="43" xfId="62" applyNumberFormat="1" applyFont="1" applyBorder="1"/>
    <xf numFmtId="49" fontId="79" fillId="64" borderId="41" xfId="62" applyNumberFormat="1" applyFont="1" applyFill="1" applyBorder="1"/>
    <xf numFmtId="0" fontId="79" fillId="64" borderId="43" xfId="62" applyFont="1" applyFill="1" applyBorder="1"/>
    <xf numFmtId="2" fontId="79" fillId="64" borderId="1" xfId="88" applyNumberFormat="1" applyFont="1" applyFill="1" applyBorder="1" applyAlignment="1">
      <alignment vertical="top" wrapText="1"/>
    </xf>
    <xf numFmtId="173" fontId="79" fillId="64" borderId="1" xfId="8" applyNumberFormat="1" applyFont="1" applyFill="1" applyBorder="1" applyAlignment="1">
      <alignment vertical="top" wrapText="1"/>
    </xf>
    <xf numFmtId="173" fontId="79" fillId="64" borderId="42" xfId="8" applyNumberFormat="1" applyFont="1" applyFill="1" applyBorder="1" applyAlignment="1">
      <alignment vertical="top" wrapText="1"/>
    </xf>
    <xf numFmtId="173" fontId="79" fillId="64" borderId="42" xfId="8" applyNumberFormat="1" applyFont="1" applyFill="1" applyBorder="1" applyAlignment="1">
      <alignment horizontal="center" vertical="top" wrapText="1"/>
    </xf>
    <xf numFmtId="167" fontId="79" fillId="64" borderId="42" xfId="8" applyFont="1" applyFill="1" applyBorder="1" applyAlignment="1">
      <alignment horizontal="center" vertical="top" wrapText="1"/>
    </xf>
    <xf numFmtId="167" fontId="79" fillId="64" borderId="1" xfId="8" applyFont="1" applyFill="1" applyBorder="1" applyAlignment="1">
      <alignment horizontal="center" vertical="top" wrapText="1"/>
    </xf>
    <xf numFmtId="0" fontId="80" fillId="0" borderId="1" xfId="88" applyFont="1" applyBorder="1"/>
    <xf numFmtId="167" fontId="79" fillId="64" borderId="38" xfId="8" applyFont="1" applyFill="1" applyBorder="1" applyAlignment="1">
      <alignment horizontal="center" vertical="top" wrapText="1"/>
    </xf>
    <xf numFmtId="173" fontId="130" fillId="65" borderId="1" xfId="8" applyNumberFormat="1" applyFont="1" applyFill="1" applyBorder="1" applyAlignment="1">
      <alignment horizontal="center"/>
    </xf>
    <xf numFmtId="0" fontId="36" fillId="0" borderId="0" xfId="16" applyFont="1"/>
    <xf numFmtId="173" fontId="36" fillId="0" borderId="1" xfId="8" applyNumberFormat="1" applyFont="1" applyFill="1" applyBorder="1" applyAlignment="1">
      <alignment horizontal="center" vertical="center"/>
    </xf>
    <xf numFmtId="173" fontId="130" fillId="0" borderId="1" xfId="8" applyNumberFormat="1" applyFont="1" applyFill="1" applyBorder="1" applyAlignment="1">
      <alignment horizontal="center"/>
    </xf>
    <xf numFmtId="173" fontId="137" fillId="0" borderId="1" xfId="8" applyNumberFormat="1" applyFont="1" applyFill="1" applyBorder="1" applyAlignment="1">
      <alignment horizontal="center"/>
    </xf>
    <xf numFmtId="49" fontId="36" fillId="0" borderId="1" xfId="0" applyNumberFormat="1" applyFont="1" applyBorder="1" applyAlignment="1">
      <alignment horizontal="center"/>
    </xf>
    <xf numFmtId="49" fontId="137" fillId="0" borderId="1" xfId="16" applyNumberFormat="1" applyFont="1" applyBorder="1" applyAlignment="1">
      <alignment horizontal="center"/>
    </xf>
    <xf numFmtId="0" fontId="130" fillId="0" borderId="1" xfId="0" applyFont="1" applyBorder="1"/>
    <xf numFmtId="0" fontId="137" fillId="0" borderId="1" xfId="16" applyFont="1" applyBorder="1" applyAlignment="1">
      <alignment horizontal="left"/>
    </xf>
    <xf numFmtId="0" fontId="130" fillId="0" borderId="0" xfId="16" applyFont="1"/>
    <xf numFmtId="173" fontId="130" fillId="0" borderId="1" xfId="8" applyNumberFormat="1" applyFont="1" applyFill="1" applyBorder="1" applyAlignment="1">
      <alignment horizontal="center" vertical="center"/>
    </xf>
    <xf numFmtId="1" fontId="138" fillId="0" borderId="6" xfId="0" applyNumberFormat="1" applyFont="1" applyBorder="1" applyAlignment="1">
      <alignment horizontal="center" vertical="center" wrapText="1"/>
    </xf>
    <xf numFmtId="0" fontId="36" fillId="0" borderId="0" xfId="0" applyFont="1"/>
    <xf numFmtId="0" fontId="36" fillId="0" borderId="21" xfId="0" applyFont="1" applyBorder="1" applyAlignment="1">
      <alignment wrapText="1"/>
    </xf>
    <xf numFmtId="0" fontId="36" fillId="0" borderId="0" xfId="0" applyFont="1" applyAlignment="1">
      <alignment horizontal="center"/>
    </xf>
    <xf numFmtId="2" fontId="130" fillId="0" borderId="0" xfId="0" applyNumberFormat="1" applyFont="1" applyAlignment="1">
      <alignment horizontal="center"/>
    </xf>
    <xf numFmtId="2" fontId="133" fillId="0" borderId="0" xfId="0" applyNumberFormat="1" applyFont="1" applyAlignment="1">
      <alignment horizontal="center"/>
    </xf>
    <xf numFmtId="174" fontId="36" fillId="0" borderId="1" xfId="0" applyNumberFormat="1" applyFont="1" applyBorder="1" applyAlignment="1">
      <alignment horizontal="center"/>
    </xf>
    <xf numFmtId="174" fontId="36" fillId="0" borderId="9" xfId="0" applyNumberFormat="1" applyFont="1" applyBorder="1" applyAlignment="1">
      <alignment horizontal="center"/>
    </xf>
    <xf numFmtId="0" fontId="36" fillId="0" borderId="21" xfId="0" applyFont="1" applyBorder="1" applyAlignment="1">
      <alignment horizontal="center" wrapText="1"/>
    </xf>
    <xf numFmtId="2" fontId="36" fillId="0" borderId="1" xfId="0" applyNumberFormat="1" applyFont="1" applyBorder="1" applyAlignment="1">
      <alignment horizontal="right"/>
    </xf>
    <xf numFmtId="1" fontId="132" fillId="0" borderId="1" xfId="0" applyNumberFormat="1" applyFont="1" applyBorder="1" applyAlignment="1">
      <alignment horizontal="center"/>
    </xf>
    <xf numFmtId="1" fontId="136" fillId="0" borderId="1" xfId="0" applyNumberFormat="1" applyFont="1" applyBorder="1" applyAlignment="1">
      <alignment horizontal="center"/>
    </xf>
    <xf numFmtId="43" fontId="135" fillId="0" borderId="1" xfId="8" applyNumberFormat="1" applyFont="1" applyFill="1" applyBorder="1" applyAlignment="1">
      <alignment horizontal="center"/>
    </xf>
    <xf numFmtId="1" fontId="135" fillId="0" borderId="1" xfId="8" applyNumberFormat="1" applyFont="1" applyFill="1" applyBorder="1" applyAlignment="1">
      <alignment horizontal="center"/>
    </xf>
    <xf numFmtId="1" fontId="36" fillId="0" borderId="1" xfId="0" applyNumberFormat="1" applyFont="1" applyBorder="1" applyAlignment="1">
      <alignment horizontal="right"/>
    </xf>
    <xf numFmtId="173" fontId="135" fillId="0" borderId="1" xfId="8" applyNumberFormat="1" applyFont="1" applyFill="1" applyBorder="1" applyAlignment="1">
      <alignment horizontal="center"/>
    </xf>
    <xf numFmtId="14" fontId="134" fillId="0" borderId="0" xfId="12" applyNumberFormat="1" applyFont="1" applyAlignment="1">
      <alignment horizontal="left"/>
    </xf>
    <xf numFmtId="177" fontId="36" fillId="65" borderId="1" xfId="11" applyNumberFormat="1" applyFont="1" applyFill="1" applyBorder="1" applyAlignment="1" applyProtection="1">
      <alignment vertical="center"/>
      <protection hidden="1"/>
    </xf>
    <xf numFmtId="177" fontId="130" fillId="0" borderId="1" xfId="11" applyNumberFormat="1" applyFont="1" applyBorder="1" applyAlignment="1" applyProtection="1">
      <alignment vertical="center"/>
      <protection hidden="1"/>
    </xf>
    <xf numFmtId="177" fontId="36" fillId="65" borderId="42" xfId="11" applyNumberFormat="1" applyFont="1" applyFill="1" applyBorder="1" applyAlignment="1" applyProtection="1">
      <alignment vertical="center"/>
      <protection hidden="1"/>
    </xf>
    <xf numFmtId="177" fontId="36" fillId="0" borderId="1" xfId="11" applyNumberFormat="1" applyFont="1" applyBorder="1" applyAlignment="1" applyProtection="1">
      <alignment vertical="center"/>
      <protection hidden="1"/>
    </xf>
    <xf numFmtId="10" fontId="130" fillId="0" borderId="7" xfId="0" applyNumberFormat="1" applyFont="1" applyBorder="1"/>
    <xf numFmtId="179" fontId="139" fillId="0" borderId="1" xfId="13" applyNumberFormat="1" applyFont="1" applyBorder="1" applyAlignment="1" applyProtection="1">
      <alignment horizontal="left" vertical="center"/>
      <protection hidden="1"/>
    </xf>
    <xf numFmtId="166" fontId="139" fillId="65" borderId="1" xfId="17" applyFont="1" applyFill="1" applyBorder="1" applyAlignment="1" applyProtection="1">
      <alignment horizontal="right" vertical="center"/>
      <protection hidden="1"/>
    </xf>
    <xf numFmtId="179" fontId="139" fillId="0" borderId="11" xfId="13" applyNumberFormat="1" applyFont="1" applyBorder="1" applyAlignment="1" applyProtection="1">
      <alignment horizontal="left" vertical="center"/>
      <protection hidden="1"/>
    </xf>
    <xf numFmtId="10" fontId="36" fillId="65" borderId="1" xfId="11" applyNumberFormat="1" applyFont="1" applyFill="1" applyBorder="1" applyAlignment="1" applyProtection="1">
      <alignment vertical="center"/>
      <protection hidden="1"/>
    </xf>
    <xf numFmtId="181" fontId="36" fillId="0" borderId="0" xfId="11" applyNumberFormat="1" applyFont="1" applyProtection="1">
      <protection hidden="1"/>
    </xf>
    <xf numFmtId="10" fontId="130" fillId="0" borderId="1" xfId="15" applyNumberFormat="1" applyFont="1" applyFill="1" applyBorder="1" applyAlignment="1"/>
    <xf numFmtId="2" fontId="139" fillId="2" borderId="1" xfId="13" applyNumberFormat="1" applyFont="1" applyFill="1" applyBorder="1" applyAlignment="1" applyProtection="1">
      <alignment horizontal="right" vertical="center"/>
      <protection hidden="1"/>
    </xf>
    <xf numFmtId="2" fontId="130" fillId="0" borderId="1" xfId="13" applyNumberFormat="1" applyFont="1" applyBorder="1" applyAlignment="1" applyProtection="1">
      <alignment vertical="center"/>
      <protection hidden="1"/>
    </xf>
    <xf numFmtId="0" fontId="36" fillId="0" borderId="1" xfId="0" applyFont="1" applyBorder="1" applyAlignment="1">
      <alignment vertical="center"/>
    </xf>
    <xf numFmtId="2" fontId="139" fillId="65" borderId="1" xfId="13" applyNumberFormat="1" applyFont="1" applyFill="1" applyBorder="1" applyAlignment="1" applyProtection="1">
      <alignment horizontal="right" vertical="center"/>
      <protection hidden="1"/>
    </xf>
    <xf numFmtId="10" fontId="139" fillId="0" borderId="1" xfId="15" applyNumberFormat="1" applyFont="1" applyFill="1" applyBorder="1" applyAlignment="1" applyProtection="1">
      <alignment vertical="center"/>
      <protection hidden="1"/>
    </xf>
    <xf numFmtId="10" fontId="130" fillId="0" borderId="1" xfId="15" applyNumberFormat="1" applyFont="1" applyFill="1" applyBorder="1" applyAlignment="1" applyProtection="1">
      <alignment vertical="center"/>
      <protection hidden="1"/>
    </xf>
    <xf numFmtId="2" fontId="139" fillId="0" borderId="42" xfId="3" applyNumberFormat="1" applyFont="1" applyFill="1" applyBorder="1" applyAlignment="1" applyProtection="1">
      <protection hidden="1"/>
    </xf>
    <xf numFmtId="175" fontId="140" fillId="0" borderId="8" xfId="0" applyNumberFormat="1" applyFont="1" applyBorder="1" applyAlignment="1">
      <alignment horizontal="center" vertical="center"/>
    </xf>
    <xf numFmtId="166" fontId="139" fillId="35" borderId="42" xfId="17" applyFont="1" applyFill="1" applyBorder="1" applyAlignment="1" applyProtection="1">
      <protection locked="0"/>
    </xf>
    <xf numFmtId="175" fontId="140" fillId="0" borderId="10" xfId="0" applyNumberFormat="1" applyFont="1" applyBorder="1" applyAlignment="1">
      <alignment horizontal="center" vertical="center"/>
    </xf>
    <xf numFmtId="166" fontId="139" fillId="66" borderId="42" xfId="17" applyFont="1" applyFill="1" applyBorder="1" applyAlignment="1" applyProtection="1">
      <protection locked="0"/>
    </xf>
    <xf numFmtId="179" fontId="130" fillId="0" borderId="42" xfId="3" applyNumberFormat="1" applyFont="1" applyFill="1" applyBorder="1" applyAlignment="1" applyProtection="1">
      <protection hidden="1"/>
    </xf>
    <xf numFmtId="169" fontId="139" fillId="0" borderId="42" xfId="3" applyFont="1" applyFill="1" applyBorder="1" applyAlignment="1" applyProtection="1">
      <protection hidden="1"/>
    </xf>
    <xf numFmtId="166" fontId="139" fillId="0" borderId="42" xfId="17" applyFont="1" applyFill="1" applyBorder="1" applyAlignment="1" applyProtection="1">
      <protection locked="0"/>
    </xf>
    <xf numFmtId="169" fontId="139" fillId="0" borderId="42" xfId="3" applyFont="1" applyFill="1" applyBorder="1" applyAlignment="1" applyProtection="1">
      <protection locked="0"/>
    </xf>
    <xf numFmtId="175" fontId="141" fillId="0" borderId="1" xfId="15" applyNumberFormat="1" applyFont="1" applyFill="1" applyBorder="1" applyAlignment="1" applyProtection="1">
      <alignment horizontal="center"/>
      <protection hidden="1"/>
    </xf>
    <xf numFmtId="166" fontId="142" fillId="2" borderId="42" xfId="17" applyFont="1" applyFill="1" applyBorder="1" applyAlignment="1" applyProtection="1">
      <alignment horizontal="right"/>
      <protection locked="0"/>
    </xf>
    <xf numFmtId="175" fontId="135" fillId="0" borderId="10" xfId="0" applyNumberFormat="1" applyFont="1" applyBorder="1" applyAlignment="1">
      <alignment horizontal="center" vertical="center"/>
    </xf>
    <xf numFmtId="175" fontId="143" fillId="0" borderId="10" xfId="0" applyNumberFormat="1" applyFont="1" applyBorder="1" applyAlignment="1">
      <alignment horizontal="center" vertical="center"/>
    </xf>
    <xf numFmtId="175" fontId="36" fillId="0" borderId="10" xfId="0" applyNumberFormat="1" applyFont="1" applyBorder="1"/>
    <xf numFmtId="179" fontId="130" fillId="0" borderId="9" xfId="5" applyNumberFormat="1" applyFont="1" applyFill="1" applyBorder="1" applyAlignment="1" applyProtection="1">
      <protection hidden="1"/>
    </xf>
    <xf numFmtId="175" fontId="36" fillId="0" borderId="11" xfId="0" applyNumberFormat="1" applyFont="1" applyBorder="1" applyAlignment="1">
      <alignment horizontal="center" vertical="center"/>
    </xf>
    <xf numFmtId="175" fontId="36" fillId="0" borderId="0" xfId="0" applyNumberFormat="1" applyFont="1"/>
    <xf numFmtId="179" fontId="144" fillId="0" borderId="42" xfId="5" applyNumberFormat="1" applyFont="1" applyFill="1" applyBorder="1" applyAlignment="1" applyProtection="1">
      <protection hidden="1"/>
    </xf>
    <xf numFmtId="179" fontId="135" fillId="0" borderId="0" xfId="0" applyNumberFormat="1" applyFont="1"/>
    <xf numFmtId="0" fontId="135" fillId="0" borderId="0" xfId="0" applyFont="1"/>
    <xf numFmtId="10" fontId="145" fillId="65" borderId="1" xfId="15" applyNumberFormat="1" applyFont="1" applyFill="1" applyBorder="1" applyAlignment="1" applyProtection="1">
      <alignment horizontal="right"/>
      <protection hidden="1"/>
    </xf>
    <xf numFmtId="14" fontId="134" fillId="0" borderId="0" xfId="0" applyNumberFormat="1" applyFont="1" applyAlignment="1">
      <alignment horizontal="left"/>
    </xf>
    <xf numFmtId="166" fontId="36" fillId="0" borderId="41" xfId="17" applyFont="1" applyFill="1" applyBorder="1" applyAlignment="1" applyProtection="1">
      <protection hidden="1"/>
    </xf>
    <xf numFmtId="166" fontId="36" fillId="0" borderId="42" xfId="17" applyFont="1" applyFill="1" applyBorder="1" applyAlignment="1" applyProtection="1">
      <protection hidden="1"/>
    </xf>
    <xf numFmtId="166" fontId="130" fillId="0" borderId="42" xfId="17" applyFont="1" applyBorder="1"/>
    <xf numFmtId="1" fontId="130" fillId="0" borderId="42" xfId="13" applyNumberFormat="1" applyFont="1" applyBorder="1" applyAlignment="1" applyProtection="1">
      <alignment horizontal="center"/>
      <protection hidden="1"/>
    </xf>
    <xf numFmtId="1" fontId="130" fillId="0" borderId="1" xfId="13" applyNumberFormat="1" applyFont="1" applyBorder="1" applyAlignment="1" applyProtection="1">
      <alignment horizontal="center"/>
      <protection hidden="1"/>
    </xf>
    <xf numFmtId="9" fontId="139" fillId="65" borderId="1" xfId="15" applyFont="1" applyFill="1" applyBorder="1" applyAlignment="1" applyProtection="1">
      <alignment horizontal="center"/>
      <protection hidden="1"/>
    </xf>
    <xf numFmtId="9" fontId="130" fillId="0" borderId="1" xfId="0" applyNumberFormat="1" applyFont="1" applyBorder="1" applyAlignment="1">
      <alignment horizontal="center"/>
    </xf>
    <xf numFmtId="9" fontId="130" fillId="61" borderId="1" xfId="64" applyFont="1" applyFill="1" applyBorder="1" applyAlignment="1">
      <alignment horizontal="center"/>
    </xf>
    <xf numFmtId="166" fontId="130" fillId="0" borderId="1" xfId="17" applyFont="1" applyBorder="1" applyAlignment="1">
      <alignment horizontal="center"/>
    </xf>
    <xf numFmtId="166" fontId="139" fillId="65" borderId="1" xfId="17" applyFont="1" applyFill="1" applyBorder="1" applyAlignment="1" applyProtection="1">
      <alignment horizontal="center"/>
      <protection hidden="1"/>
    </xf>
    <xf numFmtId="2" fontId="36" fillId="0" borderId="41" xfId="13" applyNumberFormat="1" applyFont="1" applyBorder="1" applyProtection="1">
      <protection hidden="1"/>
    </xf>
    <xf numFmtId="0" fontId="36" fillId="0" borderId="1" xfId="0" applyFont="1" applyBorder="1" applyAlignment="1">
      <alignment horizontal="center"/>
    </xf>
    <xf numFmtId="14" fontId="134" fillId="0" borderId="0" xfId="62" applyNumberFormat="1" applyFont="1" applyAlignment="1">
      <alignment horizontal="left"/>
    </xf>
    <xf numFmtId="0" fontId="36" fillId="0" borderId="1" xfId="9" applyFont="1" applyBorder="1" applyAlignment="1" applyProtection="1">
      <alignment horizontal="center"/>
      <protection hidden="1"/>
    </xf>
    <xf numFmtId="179" fontId="146" fillId="65" borderId="1" xfId="10" applyNumberFormat="1" applyFont="1" applyFill="1" applyBorder="1"/>
    <xf numFmtId="44" fontId="36" fillId="66" borderId="1" xfId="65" applyFont="1" applyFill="1" applyBorder="1" applyAlignment="1" applyProtection="1">
      <protection locked="0"/>
    </xf>
    <xf numFmtId="3" fontId="36" fillId="0" borderId="1" xfId="8" applyNumberFormat="1" applyFont="1" applyFill="1" applyBorder="1" applyAlignment="1">
      <alignment horizontal="center" vertical="top" wrapText="1"/>
    </xf>
    <xf numFmtId="44" fontId="36" fillId="0" borderId="1" xfId="65" applyFont="1" applyBorder="1" applyAlignment="1">
      <alignment vertical="top" wrapText="1"/>
    </xf>
    <xf numFmtId="49" fontId="36" fillId="0" borderId="1" xfId="102" applyNumberFormat="1" applyFont="1" applyBorder="1" applyAlignment="1">
      <alignment horizontal="center" vertical="top" wrapText="1"/>
    </xf>
    <xf numFmtId="0" fontId="36" fillId="0" borderId="0" xfId="102" applyFont="1"/>
    <xf numFmtId="3" fontId="130" fillId="2" borderId="6" xfId="8" applyNumberFormat="1" applyFont="1" applyFill="1" applyBorder="1" applyAlignment="1">
      <alignment horizontal="center" vertical="top" wrapText="1"/>
    </xf>
    <xf numFmtId="2" fontId="130" fillId="2" borderId="7" xfId="83" applyNumberFormat="1" applyFont="1" applyFill="1" applyBorder="1" applyAlignment="1">
      <alignment vertical="top" wrapText="1"/>
    </xf>
    <xf numFmtId="180" fontId="130" fillId="2" borderId="5" xfId="83" applyNumberFormat="1" applyFont="1" applyFill="1" applyBorder="1" applyAlignment="1">
      <alignment vertical="top" wrapText="1"/>
    </xf>
    <xf numFmtId="2" fontId="130" fillId="2" borderId="6" xfId="83" applyNumberFormat="1" applyFont="1" applyFill="1" applyBorder="1" applyAlignment="1">
      <alignment vertical="top" wrapText="1"/>
    </xf>
    <xf numFmtId="180" fontId="130" fillId="2" borderId="7" xfId="83" applyNumberFormat="1" applyFont="1" applyFill="1" applyBorder="1" applyAlignment="1">
      <alignment vertical="top" wrapText="1"/>
    </xf>
    <xf numFmtId="1" fontId="78" fillId="0" borderId="1" xfId="0" applyNumberFormat="1" applyFont="1" applyBorder="1" applyAlignment="1">
      <alignment horizontal="left"/>
    </xf>
    <xf numFmtId="0" fontId="78" fillId="0" borderId="0" xfId="0" applyFont="1" applyAlignment="1">
      <alignment horizontal="left"/>
    </xf>
    <xf numFmtId="2" fontId="80" fillId="0" borderId="0" xfId="0" applyNumberFormat="1" applyFont="1" applyAlignment="1">
      <alignment horizontal="left"/>
    </xf>
    <xf numFmtId="1" fontId="78" fillId="0" borderId="9" xfId="0" applyNumberFormat="1" applyFont="1" applyBorder="1" applyAlignment="1">
      <alignment horizontal="left"/>
    </xf>
    <xf numFmtId="0" fontId="78" fillId="0" borderId="21" xfId="0" applyFont="1" applyBorder="1" applyAlignment="1">
      <alignment horizontal="left" wrapText="1"/>
    </xf>
    <xf numFmtId="2" fontId="78" fillId="0" borderId="42" xfId="0" applyNumberFormat="1" applyFont="1" applyBorder="1"/>
    <xf numFmtId="2" fontId="78" fillId="0" borderId="9" xfId="0" applyNumberFormat="1" applyFont="1" applyBorder="1"/>
    <xf numFmtId="2" fontId="78" fillId="0" borderId="42" xfId="88" applyNumberFormat="1" applyFont="1" applyBorder="1"/>
    <xf numFmtId="0" fontId="78" fillId="0" borderId="21" xfId="0" applyFont="1" applyBorder="1" applyAlignment="1">
      <alignment horizontal="left" vertical="top" wrapText="1"/>
    </xf>
    <xf numFmtId="0" fontId="78" fillId="0" borderId="21" xfId="0" applyFont="1" applyBorder="1" applyAlignment="1">
      <alignment vertical="top" wrapText="1"/>
    </xf>
    <xf numFmtId="2" fontId="78" fillId="0" borderId="1" xfId="0" applyNumberFormat="1" applyFont="1" applyBorder="1" applyAlignment="1">
      <alignment vertical="top"/>
    </xf>
    <xf numFmtId="0" fontId="78" fillId="0" borderId="1" xfId="0" applyFont="1" applyBorder="1" applyAlignment="1">
      <alignment vertical="top"/>
    </xf>
    <xf numFmtId="0" fontId="78" fillId="0" borderId="9" xfId="0" applyFont="1" applyBorder="1" applyAlignment="1">
      <alignment vertical="top"/>
    </xf>
    <xf numFmtId="1" fontId="78" fillId="0" borderId="1" xfId="60" applyNumberFormat="1" applyFont="1" applyBorder="1" applyAlignment="1">
      <alignment horizontal="center"/>
    </xf>
    <xf numFmtId="1" fontId="80" fillId="0" borderId="1" xfId="60" applyNumberFormat="1" applyFont="1" applyBorder="1" applyAlignment="1">
      <alignment horizontal="center"/>
    </xf>
    <xf numFmtId="3" fontId="130" fillId="2" borderId="1" xfId="8" applyNumberFormat="1" applyFont="1" applyFill="1" applyBorder="1" applyAlignment="1">
      <alignment horizontal="center"/>
    </xf>
    <xf numFmtId="4" fontId="36" fillId="2" borderId="1" xfId="8" applyNumberFormat="1" applyFont="1" applyFill="1" applyBorder="1" applyAlignment="1">
      <alignment horizontal="center"/>
    </xf>
    <xf numFmtId="4" fontId="130" fillId="2" borderId="1" xfId="8" applyNumberFormat="1" applyFont="1" applyFill="1" applyBorder="1" applyAlignment="1">
      <alignment horizontal="center"/>
    </xf>
    <xf numFmtId="166" fontId="36" fillId="2" borderId="1" xfId="17" applyFont="1" applyFill="1" applyBorder="1" applyAlignment="1">
      <alignment horizontal="right"/>
    </xf>
    <xf numFmtId="166" fontId="36" fillId="2" borderId="42" xfId="17" applyFont="1" applyFill="1" applyBorder="1" applyAlignment="1">
      <alignment horizontal="center"/>
    </xf>
    <xf numFmtId="180" fontId="36" fillId="0" borderId="42" xfId="88" applyNumberFormat="1" applyFont="1" applyBorder="1"/>
    <xf numFmtId="166" fontId="36" fillId="2" borderId="1" xfId="17" applyFont="1" applyFill="1" applyBorder="1" applyAlignment="1">
      <alignment horizontal="center"/>
    </xf>
    <xf numFmtId="166" fontId="130" fillId="2" borderId="1" xfId="17" applyFont="1" applyFill="1" applyBorder="1"/>
    <xf numFmtId="166" fontId="131" fillId="2" borderId="0" xfId="17" applyFont="1" applyFill="1" applyBorder="1" applyAlignment="1"/>
    <xf numFmtId="2" fontId="115" fillId="64" borderId="38" xfId="0" applyNumberFormat="1" applyFont="1" applyFill="1" applyBorder="1" applyAlignment="1">
      <alignment horizontal="left" vertical="top" wrapText="1"/>
    </xf>
    <xf numFmtId="2" fontId="85" fillId="0" borderId="1" xfId="8" applyNumberFormat="1" applyFont="1" applyFill="1" applyBorder="1" applyAlignment="1">
      <alignment horizontal="left"/>
    </xf>
    <xf numFmtId="1" fontId="136" fillId="0" borderId="1" xfId="0" applyNumberFormat="1" applyFont="1" applyBorder="1" applyAlignment="1">
      <alignment horizontal="left"/>
    </xf>
    <xf numFmtId="188" fontId="147" fillId="0" borderId="0" xfId="62" applyNumberFormat="1" applyFont="1" applyAlignment="1">
      <alignment horizontal="left"/>
    </xf>
    <xf numFmtId="2" fontId="114" fillId="64" borderId="6" xfId="0" applyNumberFormat="1" applyFont="1" applyFill="1" applyBorder="1" applyAlignment="1">
      <alignment vertical="center" wrapText="1"/>
    </xf>
    <xf numFmtId="173" fontId="114" fillId="64" borderId="38" xfId="8" applyNumberFormat="1" applyFont="1" applyFill="1" applyBorder="1" applyAlignment="1">
      <alignment vertical="top" wrapText="1"/>
    </xf>
    <xf numFmtId="0" fontId="78" fillId="0" borderId="1" xfId="102" applyFont="1" applyBorder="1" applyAlignment="1">
      <alignment vertical="top"/>
    </xf>
    <xf numFmtId="2" fontId="114" fillId="64" borderId="38" xfId="83" applyNumberFormat="1" applyFont="1" applyFill="1" applyBorder="1" applyAlignment="1">
      <alignment horizontal="left" vertical="top" wrapText="1"/>
    </xf>
    <xf numFmtId="2" fontId="114" fillId="64" borderId="38" xfId="83" applyNumberFormat="1" applyFont="1" applyFill="1" applyBorder="1" applyAlignment="1">
      <alignment vertical="top" wrapText="1"/>
    </xf>
    <xf numFmtId="166" fontId="36" fillId="0" borderId="1" xfId="17" applyFont="1" applyBorder="1" applyAlignment="1">
      <alignment horizontal="center" vertical="top" wrapText="1"/>
    </xf>
    <xf numFmtId="3" fontId="36" fillId="62" borderId="1" xfId="8" applyNumberFormat="1" applyFont="1" applyFill="1" applyBorder="1" applyAlignment="1">
      <alignment horizontal="center" vertical="top" wrapText="1"/>
    </xf>
    <xf numFmtId="3" fontId="78" fillId="0" borderId="0" xfId="102" applyNumberFormat="1" applyFont="1"/>
    <xf numFmtId="14" fontId="76" fillId="0" borderId="0" xfId="62" applyNumberFormat="1" applyFont="1"/>
    <xf numFmtId="0" fontId="66" fillId="62" borderId="0" xfId="83" applyFont="1" applyFill="1"/>
    <xf numFmtId="169" fontId="67" fillId="62" borderId="0" xfId="3" applyFont="1" applyFill="1" applyBorder="1" applyAlignment="1" applyProtection="1">
      <alignment horizontal="center"/>
      <protection hidden="1"/>
    </xf>
    <xf numFmtId="0" fontId="2" fillId="0" borderId="0" xfId="87"/>
    <xf numFmtId="44" fontId="36" fillId="0" borderId="1" xfId="65" applyFont="1" applyFill="1" applyBorder="1" applyAlignment="1">
      <alignment vertical="top" wrapText="1"/>
    </xf>
    <xf numFmtId="0" fontId="79" fillId="64" borderId="1" xfId="0" applyFont="1" applyFill="1" applyBorder="1" applyAlignment="1">
      <alignment horizontal="left" vertical="center" wrapText="1"/>
    </xf>
    <xf numFmtId="0" fontId="79" fillId="64" borderId="1" xfId="0" applyFont="1" applyFill="1" applyBorder="1" applyAlignment="1">
      <alignment horizontal="left" vertical="center"/>
    </xf>
    <xf numFmtId="3" fontId="36" fillId="2" borderId="1" xfId="8" applyNumberFormat="1" applyFont="1" applyFill="1" applyBorder="1" applyAlignment="1">
      <alignment horizontal="center"/>
    </xf>
    <xf numFmtId="3" fontId="36" fillId="2" borderId="1" xfId="8" applyNumberFormat="1" applyFont="1" applyFill="1" applyBorder="1" applyAlignment="1">
      <alignment horizontal="center" vertical="top" wrapText="1"/>
    </xf>
    <xf numFmtId="3" fontId="66" fillId="2" borderId="1" xfId="8" applyNumberFormat="1" applyFont="1" applyFill="1" applyBorder="1" applyAlignment="1">
      <alignment horizontal="center" vertical="top" wrapText="1"/>
    </xf>
    <xf numFmtId="0" fontId="78" fillId="0" borderId="1" xfId="0" applyFont="1" applyBorder="1" applyAlignment="1">
      <alignment horizontal="center"/>
    </xf>
    <xf numFmtId="2" fontId="78" fillId="0" borderId="1" xfId="0" applyNumberFormat="1" applyFont="1" applyBorder="1" applyAlignment="1">
      <alignment horizontal="center"/>
    </xf>
    <xf numFmtId="0" fontId="148" fillId="0" borderId="0" xfId="0" applyFont="1" applyAlignment="1">
      <alignment vertical="center"/>
    </xf>
    <xf numFmtId="0" fontId="148" fillId="0" borderId="0" xfId="0" applyFont="1"/>
    <xf numFmtId="0" fontId="149" fillId="0" borderId="0" xfId="0" applyFont="1" applyAlignment="1">
      <alignment vertical="center"/>
    </xf>
    <xf numFmtId="2" fontId="131" fillId="0" borderId="0" xfId="0" applyNumberFormat="1" applyFont="1" applyAlignment="1">
      <alignment horizontal="center"/>
    </xf>
    <xf numFmtId="2" fontId="81" fillId="0" borderId="0" xfId="0" applyNumberFormat="1" applyFont="1"/>
    <xf numFmtId="0" fontId="150" fillId="0" borderId="0" xfId="0" applyFont="1" applyAlignment="1">
      <alignment vertical="center"/>
    </xf>
    <xf numFmtId="2" fontId="151" fillId="0" borderId="0" xfId="0" applyNumberFormat="1" applyFont="1" applyAlignment="1">
      <alignment horizontal="center"/>
    </xf>
    <xf numFmtId="2" fontId="151" fillId="0" borderId="0" xfId="12" applyNumberFormat="1" applyFont="1" applyAlignment="1">
      <alignment horizontal="center"/>
    </xf>
    <xf numFmtId="1" fontId="88" fillId="0" borderId="1" xfId="60" applyNumberFormat="1" applyFont="1" applyBorder="1" applyAlignment="1">
      <alignment horizontal="center"/>
    </xf>
    <xf numFmtId="44" fontId="130" fillId="2" borderId="6" xfId="8" applyNumberFormat="1" applyFont="1" applyFill="1" applyBorder="1" applyAlignment="1">
      <alignment horizontal="center" vertical="top" wrapText="1"/>
    </xf>
    <xf numFmtId="173" fontId="78" fillId="0" borderId="0" xfId="8" applyNumberFormat="1" applyFont="1" applyAlignment="1">
      <alignment horizontal="center"/>
    </xf>
    <xf numFmtId="181" fontId="78" fillId="0" borderId="0" xfId="88" applyNumberFormat="1" applyFont="1"/>
    <xf numFmtId="167" fontId="80" fillId="0" borderId="0" xfId="8" applyFont="1" applyAlignment="1">
      <alignment horizontal="center"/>
    </xf>
    <xf numFmtId="1" fontId="36" fillId="2" borderId="1" xfId="0" applyNumberFormat="1" applyFont="1" applyFill="1" applyBorder="1" applyAlignment="1">
      <alignment horizontal="right"/>
    </xf>
    <xf numFmtId="1" fontId="136" fillId="2" borderId="1" xfId="0" applyNumberFormat="1" applyFont="1" applyFill="1" applyBorder="1" applyAlignment="1">
      <alignment horizontal="center"/>
    </xf>
    <xf numFmtId="173" fontId="130" fillId="2" borderId="1" xfId="8" applyNumberFormat="1" applyFont="1" applyFill="1" applyBorder="1" applyAlignment="1">
      <alignment horizontal="center"/>
    </xf>
    <xf numFmtId="0" fontId="0" fillId="0" borderId="1" xfId="0" applyBorder="1"/>
    <xf numFmtId="49" fontId="83" fillId="0" borderId="0" xfId="12" applyNumberFormat="1" applyFont="1" applyAlignment="1">
      <alignment horizontal="center"/>
    </xf>
    <xf numFmtId="0" fontId="79" fillId="64" borderId="5" xfId="0" applyFont="1" applyFill="1" applyBorder="1" applyAlignment="1">
      <alignment horizontal="left" vertical="center" wrapText="1"/>
    </xf>
    <xf numFmtId="0" fontId="79" fillId="64" borderId="6" xfId="0" applyFont="1" applyFill="1" applyBorder="1" applyAlignment="1">
      <alignment horizontal="left" vertical="center" wrapText="1"/>
    </xf>
    <xf numFmtId="0" fontId="79" fillId="64" borderId="7" xfId="0" applyFont="1" applyFill="1" applyBorder="1" applyAlignment="1">
      <alignment horizontal="left" vertical="center" wrapText="1"/>
    </xf>
    <xf numFmtId="0" fontId="78" fillId="0" borderId="1" xfId="0" applyFont="1" applyBorder="1" applyAlignment="1">
      <alignment horizontal="left"/>
    </xf>
    <xf numFmtId="0" fontId="78" fillId="0" borderId="1" xfId="0" applyFont="1" applyBorder="1" applyAlignment="1">
      <alignment horizontal="left" wrapText="1"/>
    </xf>
    <xf numFmtId="49" fontId="114" fillId="64" borderId="41" xfId="62" applyNumberFormat="1" applyFont="1" applyFill="1" applyBorder="1" applyAlignment="1">
      <alignment horizontal="left" vertical="top" wrapText="1"/>
    </xf>
    <xf numFmtId="49" fontId="114" fillId="63" borderId="43" xfId="62" applyNumberFormat="1" applyFont="1" applyFill="1" applyBorder="1" applyAlignment="1">
      <alignment horizontal="left" vertical="top" wrapText="1"/>
    </xf>
    <xf numFmtId="49" fontId="114" fillId="63" borderId="40" xfId="62" applyNumberFormat="1" applyFont="1" applyFill="1" applyBorder="1" applyAlignment="1">
      <alignment horizontal="left" vertical="top" wrapText="1"/>
    </xf>
    <xf numFmtId="0" fontId="78" fillId="0" borderId="5" xfId="0" applyFont="1" applyBorder="1" applyAlignment="1">
      <alignment horizontal="left"/>
    </xf>
    <xf numFmtId="0" fontId="78" fillId="0" borderId="7" xfId="0" applyFont="1" applyBorder="1" applyAlignment="1">
      <alignment horizontal="left"/>
    </xf>
    <xf numFmtId="0" fontId="80" fillId="0" borderId="5" xfId="13" applyFont="1" applyBorder="1" applyAlignment="1" applyProtection="1">
      <alignment horizontal="left" vertical="center"/>
      <protection hidden="1"/>
    </xf>
    <xf numFmtId="0" fontId="80" fillId="0" borderId="7" xfId="13" applyFont="1" applyBorder="1" applyAlignment="1" applyProtection="1">
      <alignment horizontal="left" vertical="center"/>
      <protection hidden="1"/>
    </xf>
    <xf numFmtId="2" fontId="122" fillId="64" borderId="42" xfId="13" applyNumberFormat="1" applyFont="1" applyFill="1" applyBorder="1" applyAlignment="1" applyProtection="1">
      <alignment horizontal="center" vertical="center" wrapText="1"/>
      <protection hidden="1"/>
    </xf>
    <xf numFmtId="2" fontId="122" fillId="63" borderId="42" xfId="13" applyNumberFormat="1" applyFont="1" applyFill="1" applyBorder="1" applyAlignment="1" applyProtection="1">
      <alignment horizontal="center" vertical="center" wrapText="1"/>
      <protection hidden="1"/>
    </xf>
    <xf numFmtId="2" fontId="122" fillId="64" borderId="5" xfId="3" applyNumberFormat="1" applyFont="1" applyFill="1" applyBorder="1" applyAlignment="1" applyProtection="1">
      <alignment horizontal="center" vertical="center" wrapText="1"/>
      <protection hidden="1"/>
    </xf>
    <xf numFmtId="0" fontId="114" fillId="63" borderId="7" xfId="0" applyFont="1" applyFill="1" applyBorder="1" applyAlignment="1">
      <alignment horizontal="center" vertical="center" wrapText="1"/>
    </xf>
    <xf numFmtId="0" fontId="78" fillId="0" borderId="0" xfId="0" applyFont="1" applyAlignment="1">
      <alignment horizontal="left" vertical="top" wrapText="1"/>
    </xf>
    <xf numFmtId="2" fontId="122" fillId="64" borderId="41" xfId="13" applyNumberFormat="1" applyFont="1" applyFill="1" applyBorder="1" applyAlignment="1" applyProtection="1">
      <alignment horizontal="center" vertical="center" wrapText="1"/>
      <protection hidden="1"/>
    </xf>
    <xf numFmtId="2" fontId="122" fillId="63" borderId="43" xfId="13" applyNumberFormat="1" applyFont="1" applyFill="1" applyBorder="1" applyAlignment="1" applyProtection="1">
      <alignment horizontal="center" vertical="center" wrapText="1"/>
      <protection hidden="1"/>
    </xf>
    <xf numFmtId="2" fontId="122" fillId="63" borderId="40" xfId="13" applyNumberFormat="1" applyFont="1" applyFill="1" applyBorder="1" applyAlignment="1" applyProtection="1">
      <alignment horizontal="center" vertical="center" wrapText="1"/>
      <protection hidden="1"/>
    </xf>
    <xf numFmtId="2" fontId="122" fillId="64" borderId="43" xfId="13" applyNumberFormat="1" applyFont="1" applyFill="1" applyBorder="1" applyAlignment="1" applyProtection="1">
      <alignment horizontal="center" vertical="center" wrapText="1"/>
      <protection hidden="1"/>
    </xf>
    <xf numFmtId="2" fontId="122" fillId="64" borderId="40" xfId="13" applyNumberFormat="1" applyFont="1" applyFill="1" applyBorder="1" applyAlignment="1" applyProtection="1">
      <alignment horizontal="center" vertical="center" wrapText="1"/>
      <protection hidden="1"/>
    </xf>
    <xf numFmtId="0" fontId="78" fillId="0" borderId="5" xfId="9" applyFont="1" applyBorder="1" applyAlignment="1" applyProtection="1">
      <alignment horizontal="center"/>
      <protection hidden="1"/>
    </xf>
    <xf numFmtId="0" fontId="78" fillId="0" borderId="6" xfId="9" applyFont="1" applyBorder="1" applyAlignment="1" applyProtection="1">
      <alignment horizontal="center"/>
      <protection hidden="1"/>
    </xf>
    <xf numFmtId="0" fontId="78" fillId="0" borderId="7" xfId="9" applyFont="1" applyBorder="1" applyAlignment="1" applyProtection="1">
      <alignment horizontal="center"/>
      <protection hidden="1"/>
    </xf>
    <xf numFmtId="0" fontId="78" fillId="65" borderId="0" xfId="88" applyFont="1" applyFill="1"/>
    <xf numFmtId="166" fontId="36" fillId="2" borderId="42" xfId="17" applyFont="1" applyFill="1" applyBorder="1"/>
  </cellXfs>
  <cellStyles count="52890">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10" xfId="52889" xr:uid="{90FF4433-4FF3-42BE-A6FB-2E0073580F05}"/>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mma 7" xfId="52886" xr:uid="{99606BB7-3B89-42FA-92E9-3ED4EF7BCC63}"/>
    <cellStyle name="Komma 8" xfId="52887" xr:uid="{DBA9308B-197A-4A8D-925C-E07E5EB26FC5}"/>
    <cellStyle name="Komma 9" xfId="52888" xr:uid="{C8591BC6-F71E-41A2-BEC4-DAAD8BD43E2D}"/>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5CF2AA57-E997-4BE0-BCBD-F1125AACBD93}"/>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47</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1094"/>
          <a:ext cx="11182350" cy="6859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2024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a:t>
          </a:r>
          <a:r>
            <a:rPr lang="nl-NL" sz="1200" b="0">
              <a:solidFill>
                <a:sysClr val="windowText" lastClr="000000"/>
              </a:solidFill>
              <a:effectLst/>
              <a:latin typeface="Georgia" panose="02040502050405020303" pitchFamily="18" charset="0"/>
              <a:ea typeface="+mn-ea"/>
              <a:cs typeface="+mn-cs"/>
            </a:rPr>
            <a:t>calculatiemodel met uitzondering van de afroepprijzen.</a:t>
          </a:r>
          <a:endParaRPr lang="nl-NL" sz="1200" b="1">
            <a:solidFill>
              <a:sysClr val="windowText" lastClr="000000"/>
            </a:solidFill>
            <a:effectLst/>
            <a:latin typeface="Georgia" panose="02040502050405020303" pitchFamily="18" charset="0"/>
            <a:ea typeface="+mn-ea"/>
            <a:cs typeface="+mn-cs"/>
          </a:endParaRPr>
        </a:p>
        <a:p>
          <a:pPr marL="0" indent="0"/>
          <a:r>
            <a:rPr lang="nl-NL" sz="1200" b="0">
              <a:solidFill>
                <a:sysClr val="windowText" lastClr="000000"/>
              </a:solidFill>
              <a:effectLst/>
              <a:latin typeface="Georgia" panose="02040502050405020303" pitchFamily="18" charset="0"/>
              <a:ea typeface="+mn-ea"/>
              <a:cs typeface="+mn-cs"/>
            </a:rPr>
            <a:t> </a:t>
          </a:r>
          <a:endParaRPr lang="nl-NL" sz="1200" b="0">
            <a:solidFill>
              <a:schemeClr val="dk1"/>
            </a:solidFill>
            <a:effectLst/>
            <a:latin typeface="Georgia" panose="02040502050405020303" pitchFamily="18" charset="0"/>
            <a:ea typeface="+mn-ea"/>
            <a:cs typeface="+mn-cs"/>
          </a:endParaRPr>
        </a:p>
        <a:p>
          <a:pPr marL="0" indent="0"/>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15954</xdr:colOff>
      <xdr:row>3</xdr:row>
      <xdr:rowOff>160533</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0"/>
          <a:ext cx="6619241" cy="663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questionmarkgroup.sharepoint.com/sites/Kennisdeling/Gedeelde%20documenten/General/Basisbestanden%20schoonmaak/Atir%20Basisdocumenten/Basisdocumenten%20Advies/Ruimtestaat-calculatiebladen/Calculatie/CONTRAST%20Concept%20Calculatiemodel%20per%2023-02-2024%20suppletie%20in%20tarief.xlsx" TargetMode="External"/><Relationship Id="rId2" Type="http://schemas.microsoft.com/office/2019/04/relationships/externalLinkLongPath" Target="/sites/Kennisdeling/Gedeelde%20documenten/General/Basisbestanden%20schoonmaak/Atir%20Basisdocumenten/Basisdocumenten%20Advies/Ruimtestaat-calculatiebladen/Calculatie/CONTRAST%20Concept%20Calculatiemodel%20per%2023-02-2024%20suppletie%20in%20tarief.xlsx?0B35164F" TargetMode="External"/><Relationship Id="rId1" Type="http://schemas.openxmlformats.org/officeDocument/2006/relationships/externalLinkPath" Target="file:///\\0B35164F\CONTRAST%20Concept%20Calculatiemodel%20per%2023-02-2024%20suppletie%20in%20tari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Uitgangspunten"/>
      <sheetName val="2-Kosten per locatie"/>
      <sheetName val="3-Productie normen"/>
      <sheetName val="4-Basis ruimtestaat"/>
      <sheetName val="5-Premies en opslagen"/>
      <sheetName val="6-Opbouw uurtarief productie"/>
      <sheetName val="7-Opbouw uurtarief toezicht"/>
      <sheetName val="8-Additionele kosten"/>
      <sheetName val="9-Afroepprijs"/>
      <sheetName val="10-Glasbewassing"/>
      <sheetName val="11-Vloeronderhoud"/>
      <sheetName val="12-Sanitaire voorzieningen"/>
      <sheetName val="13-Machinekosten"/>
    </sheetNames>
    <sheetDataSet>
      <sheetData sheetId="0"/>
      <sheetData sheetId="1">
        <row r="3">
          <cell r="A3" t="str">
            <v>Naam opdrachtgever</v>
          </cell>
          <cell r="B3" t="str">
            <v>Basis calculatiemodel</v>
          </cell>
        </row>
        <row r="4">
          <cell r="A4" t="str">
            <v>Calculatie onderdeel</v>
          </cell>
        </row>
        <row r="5">
          <cell r="A5" t="str">
            <v>Gebouw/plaats</v>
          </cell>
        </row>
        <row r="6">
          <cell r="A6" t="str">
            <v>Referentie nummer</v>
          </cell>
        </row>
        <row r="7">
          <cell r="A7" t="str">
            <v>Naam dienstverlener</v>
          </cell>
        </row>
        <row r="8">
          <cell r="A8" t="str">
            <v>Prijspeil</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R32" sqref="R32"/>
    </sheetView>
  </sheetViews>
  <sheetFormatPr defaultRowHeight="12.6"/>
  <cols>
    <col min="1" max="1" width="27.77734375" customWidth="1"/>
  </cols>
  <sheetData>
    <row r="1" spans="1:13" ht="18.600000000000001">
      <c r="A1" s="250" t="s">
        <v>26</v>
      </c>
      <c r="B1" s="36" t="str">
        <f>'2-Kosten per locatie'!B3</f>
        <v>Blosse Kindcentra</v>
      </c>
    </row>
    <row r="2" spans="1:13" ht="18.600000000000001">
      <c r="A2" s="250" t="s">
        <v>13</v>
      </c>
      <c r="B2" s="36" t="str">
        <f ca="1">MID(CELL("bestandsnaam",$B$11),SEARCH("]",CELL("bestandsnaam",$B$11),1)+1,256)</f>
        <v>1-Uitgangspunten</v>
      </c>
    </row>
    <row r="3" spans="1:13" ht="18.600000000000001">
      <c r="A3" s="250" t="s">
        <v>72</v>
      </c>
      <c r="B3" s="36" t="str">
        <f>'2-Kosten per locatie'!B5</f>
        <v>Heerhugowaard en regio</v>
      </c>
    </row>
    <row r="4" spans="1:13" ht="18.600000000000001">
      <c r="A4" s="250" t="s">
        <v>162</v>
      </c>
      <c r="B4" s="36" t="str">
        <f>'2-Kosten per locatie'!B6</f>
        <v>Blosse-EU-RT-MVD-2024</v>
      </c>
      <c r="G4" s="34"/>
      <c r="H4" s="34"/>
      <c r="I4" s="34"/>
      <c r="J4" s="34"/>
      <c r="K4" s="34"/>
      <c r="L4" s="34"/>
      <c r="M4" s="3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05F63-7F6C-430C-8D3A-3F238CA5DC94}">
  <sheetPr>
    <tabColor theme="0" tint="-0.14999847407452621"/>
    <pageSetUpPr fitToPage="1"/>
  </sheetPr>
  <dimension ref="A1:Z105"/>
  <sheetViews>
    <sheetView showGridLines="0" zoomScale="70" zoomScaleNormal="70" zoomScaleSheetLayoutView="50" zoomScalePageLayoutView="50" workbookViewId="0">
      <pane ySplit="10" topLeftCell="A11" activePane="bottomLeft" state="frozen"/>
      <selection activeCell="B1" sqref="B1"/>
      <selection pane="bottomLeft" activeCell="F8" sqref="F8"/>
    </sheetView>
  </sheetViews>
  <sheetFormatPr defaultColWidth="13.6640625" defaultRowHeight="13.2"/>
  <cols>
    <col min="1" max="1" width="46.109375" style="225" customWidth="1"/>
    <col min="2" max="2" width="29.109375" style="230" customWidth="1"/>
    <col min="3" max="3" width="27.5546875" style="230" customWidth="1"/>
    <col min="4" max="4" width="12.109375" style="225" customWidth="1"/>
    <col min="5" max="5" width="24.33203125" style="231" customWidth="1"/>
    <col min="6" max="6" width="16.109375" style="232" customWidth="1"/>
    <col min="7" max="7" width="13.6640625" style="231" customWidth="1"/>
    <col min="8" max="8" width="15.88671875" style="231" customWidth="1"/>
    <col min="9" max="247" width="13.6640625" style="27"/>
    <col min="248" max="248" width="22.109375" style="27" customWidth="1"/>
    <col min="249" max="255" width="13.6640625" style="27" customWidth="1"/>
    <col min="256" max="256" width="15.88671875" style="27" customWidth="1"/>
    <col min="257" max="257" width="16.5546875" style="27" bestFit="1" customWidth="1"/>
    <col min="258" max="258" width="13.6640625" style="27" customWidth="1"/>
    <col min="259" max="259" width="17.109375" style="27" bestFit="1" customWidth="1"/>
    <col min="260" max="260" width="4" style="27" customWidth="1"/>
    <col min="261" max="261" width="13.6640625" style="27" customWidth="1"/>
    <col min="262" max="503" width="13.6640625" style="27"/>
    <col min="504" max="504" width="22.109375" style="27" customWidth="1"/>
    <col min="505" max="511" width="13.6640625" style="27" customWidth="1"/>
    <col min="512" max="512" width="15.88671875" style="27" customWidth="1"/>
    <col min="513" max="513" width="16.5546875" style="27" bestFit="1" customWidth="1"/>
    <col min="514" max="514" width="13.6640625" style="27" customWidth="1"/>
    <col min="515" max="515" width="17.109375" style="27" bestFit="1" customWidth="1"/>
    <col min="516" max="516" width="4" style="27" customWidth="1"/>
    <col min="517" max="517" width="13.6640625" style="27" customWidth="1"/>
    <col min="518" max="759" width="13.6640625" style="27"/>
    <col min="760" max="760" width="22.109375" style="27" customWidth="1"/>
    <col min="761" max="767" width="13.6640625" style="27" customWidth="1"/>
    <col min="768" max="768" width="15.88671875" style="27" customWidth="1"/>
    <col min="769" max="769" width="16.5546875" style="27" bestFit="1" customWidth="1"/>
    <col min="770" max="770" width="13.6640625" style="27" customWidth="1"/>
    <col min="771" max="771" width="17.109375" style="27" bestFit="1" customWidth="1"/>
    <col min="772" max="772" width="4" style="27" customWidth="1"/>
    <col min="773" max="773" width="13.6640625" style="27" customWidth="1"/>
    <col min="774" max="1015" width="13.6640625" style="27"/>
    <col min="1016" max="1016" width="22.109375" style="27" customWidth="1"/>
    <col min="1017" max="1023" width="13.6640625" style="27" customWidth="1"/>
    <col min="1024" max="1024" width="15.88671875" style="27" customWidth="1"/>
    <col min="1025" max="1025" width="16.5546875" style="27" bestFit="1" customWidth="1"/>
    <col min="1026" max="1026" width="13.6640625" style="27" customWidth="1"/>
    <col min="1027" max="1027" width="17.109375" style="27" bestFit="1" customWidth="1"/>
    <col min="1028" max="1028" width="4" style="27" customWidth="1"/>
    <col min="1029" max="1029" width="13.6640625" style="27" customWidth="1"/>
    <col min="1030" max="1271" width="13.6640625" style="27"/>
    <col min="1272" max="1272" width="22.109375" style="27" customWidth="1"/>
    <col min="1273" max="1279" width="13.6640625" style="27" customWidth="1"/>
    <col min="1280" max="1280" width="15.88671875" style="27" customWidth="1"/>
    <col min="1281" max="1281" width="16.5546875" style="27" bestFit="1" customWidth="1"/>
    <col min="1282" max="1282" width="13.6640625" style="27" customWidth="1"/>
    <col min="1283" max="1283" width="17.109375" style="27" bestFit="1" customWidth="1"/>
    <col min="1284" max="1284" width="4" style="27" customWidth="1"/>
    <col min="1285" max="1285" width="13.6640625" style="27" customWidth="1"/>
    <col min="1286" max="1527" width="13.6640625" style="27"/>
    <col min="1528" max="1528" width="22.109375" style="27" customWidth="1"/>
    <col min="1529" max="1535" width="13.6640625" style="27" customWidth="1"/>
    <col min="1536" max="1536" width="15.88671875" style="27" customWidth="1"/>
    <col min="1537" max="1537" width="16.5546875" style="27" bestFit="1" customWidth="1"/>
    <col min="1538" max="1538" width="13.6640625" style="27" customWidth="1"/>
    <col min="1539" max="1539" width="17.109375" style="27" bestFit="1" customWidth="1"/>
    <col min="1540" max="1540" width="4" style="27" customWidth="1"/>
    <col min="1541" max="1541" width="13.6640625" style="27" customWidth="1"/>
    <col min="1542" max="1783" width="13.6640625" style="27"/>
    <col min="1784" max="1784" width="22.109375" style="27" customWidth="1"/>
    <col min="1785" max="1791" width="13.6640625" style="27" customWidth="1"/>
    <col min="1792" max="1792" width="15.88671875" style="27" customWidth="1"/>
    <col min="1793" max="1793" width="16.5546875" style="27" bestFit="1" customWidth="1"/>
    <col min="1794" max="1794" width="13.6640625" style="27" customWidth="1"/>
    <col min="1795" max="1795" width="17.109375" style="27" bestFit="1" customWidth="1"/>
    <col min="1796" max="1796" width="4" style="27" customWidth="1"/>
    <col min="1797" max="1797" width="13.6640625" style="27" customWidth="1"/>
    <col min="1798" max="2039" width="13.6640625" style="27"/>
    <col min="2040" max="2040" width="22.109375" style="27" customWidth="1"/>
    <col min="2041" max="2047" width="13.6640625" style="27" customWidth="1"/>
    <col min="2048" max="2048" width="15.88671875" style="27" customWidth="1"/>
    <col min="2049" max="2049" width="16.5546875" style="27" bestFit="1" customWidth="1"/>
    <col min="2050" max="2050" width="13.6640625" style="27" customWidth="1"/>
    <col min="2051" max="2051" width="17.109375" style="27" bestFit="1" customWidth="1"/>
    <col min="2052" max="2052" width="4" style="27" customWidth="1"/>
    <col min="2053" max="2053" width="13.6640625" style="27" customWidth="1"/>
    <col min="2054" max="2295" width="13.6640625" style="27"/>
    <col min="2296" max="2296" width="22.109375" style="27" customWidth="1"/>
    <col min="2297" max="2303" width="13.6640625" style="27" customWidth="1"/>
    <col min="2304" max="2304" width="15.88671875" style="27" customWidth="1"/>
    <col min="2305" max="2305" width="16.5546875" style="27" bestFit="1" customWidth="1"/>
    <col min="2306" max="2306" width="13.6640625" style="27" customWidth="1"/>
    <col min="2307" max="2307" width="17.109375" style="27" bestFit="1" customWidth="1"/>
    <col min="2308" max="2308" width="4" style="27" customWidth="1"/>
    <col min="2309" max="2309" width="13.6640625" style="27" customWidth="1"/>
    <col min="2310" max="2551" width="13.6640625" style="27"/>
    <col min="2552" max="2552" width="22.109375" style="27" customWidth="1"/>
    <col min="2553" max="2559" width="13.6640625" style="27" customWidth="1"/>
    <col min="2560" max="2560" width="15.88671875" style="27" customWidth="1"/>
    <col min="2561" max="2561" width="16.5546875" style="27" bestFit="1" customWidth="1"/>
    <col min="2562" max="2562" width="13.6640625" style="27" customWidth="1"/>
    <col min="2563" max="2563" width="17.109375" style="27" bestFit="1" customWidth="1"/>
    <col min="2564" max="2564" width="4" style="27" customWidth="1"/>
    <col min="2565" max="2565" width="13.6640625" style="27" customWidth="1"/>
    <col min="2566" max="2807" width="13.6640625" style="27"/>
    <col min="2808" max="2808" width="22.109375" style="27" customWidth="1"/>
    <col min="2809" max="2815" width="13.6640625" style="27" customWidth="1"/>
    <col min="2816" max="2816" width="15.88671875" style="27" customWidth="1"/>
    <col min="2817" max="2817" width="16.5546875" style="27" bestFit="1" customWidth="1"/>
    <col min="2818" max="2818" width="13.6640625" style="27" customWidth="1"/>
    <col min="2819" max="2819" width="17.109375" style="27" bestFit="1" customWidth="1"/>
    <col min="2820" max="2820" width="4" style="27" customWidth="1"/>
    <col min="2821" max="2821" width="13.6640625" style="27" customWidth="1"/>
    <col min="2822" max="3063" width="13.6640625" style="27"/>
    <col min="3064" max="3064" width="22.109375" style="27" customWidth="1"/>
    <col min="3065" max="3071" width="13.6640625" style="27" customWidth="1"/>
    <col min="3072" max="3072" width="15.88671875" style="27" customWidth="1"/>
    <col min="3073" max="3073" width="16.5546875" style="27" bestFit="1" customWidth="1"/>
    <col min="3074" max="3074" width="13.6640625" style="27" customWidth="1"/>
    <col min="3075" max="3075" width="17.109375" style="27" bestFit="1" customWidth="1"/>
    <col min="3076" max="3076" width="4" style="27" customWidth="1"/>
    <col min="3077" max="3077" width="13.6640625" style="27" customWidth="1"/>
    <col min="3078" max="3319" width="13.6640625" style="27"/>
    <col min="3320" max="3320" width="22.109375" style="27" customWidth="1"/>
    <col min="3321" max="3327" width="13.6640625" style="27" customWidth="1"/>
    <col min="3328" max="3328" width="15.88671875" style="27" customWidth="1"/>
    <col min="3329" max="3329" width="16.5546875" style="27" bestFit="1" customWidth="1"/>
    <col min="3330" max="3330" width="13.6640625" style="27" customWidth="1"/>
    <col min="3331" max="3331" width="17.109375" style="27" bestFit="1" customWidth="1"/>
    <col min="3332" max="3332" width="4" style="27" customWidth="1"/>
    <col min="3333" max="3333" width="13.6640625" style="27" customWidth="1"/>
    <col min="3334" max="3575" width="13.6640625" style="27"/>
    <col min="3576" max="3576" width="22.109375" style="27" customWidth="1"/>
    <col min="3577" max="3583" width="13.6640625" style="27" customWidth="1"/>
    <col min="3584" max="3584" width="15.88671875" style="27" customWidth="1"/>
    <col min="3585" max="3585" width="16.5546875" style="27" bestFit="1" customWidth="1"/>
    <col min="3586" max="3586" width="13.6640625" style="27" customWidth="1"/>
    <col min="3587" max="3587" width="17.109375" style="27" bestFit="1" customWidth="1"/>
    <col min="3588" max="3588" width="4" style="27" customWidth="1"/>
    <col min="3589" max="3589" width="13.6640625" style="27" customWidth="1"/>
    <col min="3590" max="3831" width="13.6640625" style="27"/>
    <col min="3832" max="3832" width="22.109375" style="27" customWidth="1"/>
    <col min="3833" max="3839" width="13.6640625" style="27" customWidth="1"/>
    <col min="3840" max="3840" width="15.88671875" style="27" customWidth="1"/>
    <col min="3841" max="3841" width="16.5546875" style="27" bestFit="1" customWidth="1"/>
    <col min="3842" max="3842" width="13.6640625" style="27" customWidth="1"/>
    <col min="3843" max="3843" width="17.109375" style="27" bestFit="1" customWidth="1"/>
    <col min="3844" max="3844" width="4" style="27" customWidth="1"/>
    <col min="3845" max="3845" width="13.6640625" style="27" customWidth="1"/>
    <col min="3846" max="4087" width="13.6640625" style="27"/>
    <col min="4088" max="4088" width="22.109375" style="27" customWidth="1"/>
    <col min="4089" max="4095" width="13.6640625" style="27" customWidth="1"/>
    <col min="4096" max="4096" width="15.88671875" style="27" customWidth="1"/>
    <col min="4097" max="4097" width="16.5546875" style="27" bestFit="1" customWidth="1"/>
    <col min="4098" max="4098" width="13.6640625" style="27" customWidth="1"/>
    <col min="4099" max="4099" width="17.109375" style="27" bestFit="1" customWidth="1"/>
    <col min="4100" max="4100" width="4" style="27" customWidth="1"/>
    <col min="4101" max="4101" width="13.6640625" style="27" customWidth="1"/>
    <col min="4102" max="4343" width="13.6640625" style="27"/>
    <col min="4344" max="4344" width="22.109375" style="27" customWidth="1"/>
    <col min="4345" max="4351" width="13.6640625" style="27" customWidth="1"/>
    <col min="4352" max="4352" width="15.88671875" style="27" customWidth="1"/>
    <col min="4353" max="4353" width="16.5546875" style="27" bestFit="1" customWidth="1"/>
    <col min="4354" max="4354" width="13.6640625" style="27" customWidth="1"/>
    <col min="4355" max="4355" width="17.109375" style="27" bestFit="1" customWidth="1"/>
    <col min="4356" max="4356" width="4" style="27" customWidth="1"/>
    <col min="4357" max="4357" width="13.6640625" style="27" customWidth="1"/>
    <col min="4358" max="4599" width="13.6640625" style="27"/>
    <col min="4600" max="4600" width="22.109375" style="27" customWidth="1"/>
    <col min="4601" max="4607" width="13.6640625" style="27" customWidth="1"/>
    <col min="4608" max="4608" width="15.88671875" style="27" customWidth="1"/>
    <col min="4609" max="4609" width="16.5546875" style="27" bestFit="1" customWidth="1"/>
    <col min="4610" max="4610" width="13.6640625" style="27" customWidth="1"/>
    <col min="4611" max="4611" width="17.109375" style="27" bestFit="1" customWidth="1"/>
    <col min="4612" max="4612" width="4" style="27" customWidth="1"/>
    <col min="4613" max="4613" width="13.6640625" style="27" customWidth="1"/>
    <col min="4614" max="4855" width="13.6640625" style="27"/>
    <col min="4856" max="4856" width="22.109375" style="27" customWidth="1"/>
    <col min="4857" max="4863" width="13.6640625" style="27" customWidth="1"/>
    <col min="4864" max="4864" width="15.88671875" style="27" customWidth="1"/>
    <col min="4865" max="4865" width="16.5546875" style="27" bestFit="1" customWidth="1"/>
    <col min="4866" max="4866" width="13.6640625" style="27" customWidth="1"/>
    <col min="4867" max="4867" width="17.109375" style="27" bestFit="1" customWidth="1"/>
    <col min="4868" max="4868" width="4" style="27" customWidth="1"/>
    <col min="4869" max="4869" width="13.6640625" style="27" customWidth="1"/>
    <col min="4870" max="5111" width="13.6640625" style="27"/>
    <col min="5112" max="5112" width="22.109375" style="27" customWidth="1"/>
    <col min="5113" max="5119" width="13.6640625" style="27" customWidth="1"/>
    <col min="5120" max="5120" width="15.88671875" style="27" customWidth="1"/>
    <col min="5121" max="5121" width="16.5546875" style="27" bestFit="1" customWidth="1"/>
    <col min="5122" max="5122" width="13.6640625" style="27" customWidth="1"/>
    <col min="5123" max="5123" width="17.109375" style="27" bestFit="1" customWidth="1"/>
    <col min="5124" max="5124" width="4" style="27" customWidth="1"/>
    <col min="5125" max="5125" width="13.6640625" style="27" customWidth="1"/>
    <col min="5126" max="5367" width="13.6640625" style="27"/>
    <col min="5368" max="5368" width="22.109375" style="27" customWidth="1"/>
    <col min="5369" max="5375" width="13.6640625" style="27" customWidth="1"/>
    <col min="5376" max="5376" width="15.88671875" style="27" customWidth="1"/>
    <col min="5377" max="5377" width="16.5546875" style="27" bestFit="1" customWidth="1"/>
    <col min="5378" max="5378" width="13.6640625" style="27" customWidth="1"/>
    <col min="5379" max="5379" width="17.109375" style="27" bestFit="1" customWidth="1"/>
    <col min="5380" max="5380" width="4" style="27" customWidth="1"/>
    <col min="5381" max="5381" width="13.6640625" style="27" customWidth="1"/>
    <col min="5382" max="5623" width="13.6640625" style="27"/>
    <col min="5624" max="5624" width="22.109375" style="27" customWidth="1"/>
    <col min="5625" max="5631" width="13.6640625" style="27" customWidth="1"/>
    <col min="5632" max="5632" width="15.88671875" style="27" customWidth="1"/>
    <col min="5633" max="5633" width="16.5546875" style="27" bestFit="1" customWidth="1"/>
    <col min="5634" max="5634" width="13.6640625" style="27" customWidth="1"/>
    <col min="5635" max="5635" width="17.109375" style="27" bestFit="1" customWidth="1"/>
    <col min="5636" max="5636" width="4" style="27" customWidth="1"/>
    <col min="5637" max="5637" width="13.6640625" style="27" customWidth="1"/>
    <col min="5638" max="5879" width="13.6640625" style="27"/>
    <col min="5880" max="5880" width="22.109375" style="27" customWidth="1"/>
    <col min="5881" max="5887" width="13.6640625" style="27" customWidth="1"/>
    <col min="5888" max="5888" width="15.88671875" style="27" customWidth="1"/>
    <col min="5889" max="5889" width="16.5546875" style="27" bestFit="1" customWidth="1"/>
    <col min="5890" max="5890" width="13.6640625" style="27" customWidth="1"/>
    <col min="5891" max="5891" width="17.109375" style="27" bestFit="1" customWidth="1"/>
    <col min="5892" max="5892" width="4" style="27" customWidth="1"/>
    <col min="5893" max="5893" width="13.6640625" style="27" customWidth="1"/>
    <col min="5894" max="6135" width="13.6640625" style="27"/>
    <col min="6136" max="6136" width="22.109375" style="27" customWidth="1"/>
    <col min="6137" max="6143" width="13.6640625" style="27" customWidth="1"/>
    <col min="6144" max="6144" width="15.88671875" style="27" customWidth="1"/>
    <col min="6145" max="6145" width="16.5546875" style="27" bestFit="1" customWidth="1"/>
    <col min="6146" max="6146" width="13.6640625" style="27" customWidth="1"/>
    <col min="6147" max="6147" width="17.109375" style="27" bestFit="1" customWidth="1"/>
    <col min="6148" max="6148" width="4" style="27" customWidth="1"/>
    <col min="6149" max="6149" width="13.6640625" style="27" customWidth="1"/>
    <col min="6150" max="6391" width="13.6640625" style="27"/>
    <col min="6392" max="6392" width="22.109375" style="27" customWidth="1"/>
    <col min="6393" max="6399" width="13.6640625" style="27" customWidth="1"/>
    <col min="6400" max="6400" width="15.88671875" style="27" customWidth="1"/>
    <col min="6401" max="6401" width="16.5546875" style="27" bestFit="1" customWidth="1"/>
    <col min="6402" max="6402" width="13.6640625" style="27" customWidth="1"/>
    <col min="6403" max="6403" width="17.109375" style="27" bestFit="1" customWidth="1"/>
    <col min="6404" max="6404" width="4" style="27" customWidth="1"/>
    <col min="6405" max="6405" width="13.6640625" style="27" customWidth="1"/>
    <col min="6406" max="6647" width="13.6640625" style="27"/>
    <col min="6648" max="6648" width="22.109375" style="27" customWidth="1"/>
    <col min="6649" max="6655" width="13.6640625" style="27" customWidth="1"/>
    <col min="6656" max="6656" width="15.88671875" style="27" customWidth="1"/>
    <col min="6657" max="6657" width="16.5546875" style="27" bestFit="1" customWidth="1"/>
    <col min="6658" max="6658" width="13.6640625" style="27" customWidth="1"/>
    <col min="6659" max="6659" width="17.109375" style="27" bestFit="1" customWidth="1"/>
    <col min="6660" max="6660" width="4" style="27" customWidth="1"/>
    <col min="6661" max="6661" width="13.6640625" style="27" customWidth="1"/>
    <col min="6662" max="6903" width="13.6640625" style="27"/>
    <col min="6904" max="6904" width="22.109375" style="27" customWidth="1"/>
    <col min="6905" max="6911" width="13.6640625" style="27" customWidth="1"/>
    <col min="6912" max="6912" width="15.88671875" style="27" customWidth="1"/>
    <col min="6913" max="6913" width="16.5546875" style="27" bestFit="1" customWidth="1"/>
    <col min="6914" max="6914" width="13.6640625" style="27" customWidth="1"/>
    <col min="6915" max="6915" width="17.109375" style="27" bestFit="1" customWidth="1"/>
    <col min="6916" max="6916" width="4" style="27" customWidth="1"/>
    <col min="6917" max="6917" width="13.6640625" style="27" customWidth="1"/>
    <col min="6918" max="7159" width="13.6640625" style="27"/>
    <col min="7160" max="7160" width="22.109375" style="27" customWidth="1"/>
    <col min="7161" max="7167" width="13.6640625" style="27" customWidth="1"/>
    <col min="7168" max="7168" width="15.88671875" style="27" customWidth="1"/>
    <col min="7169" max="7169" width="16.5546875" style="27" bestFit="1" customWidth="1"/>
    <col min="7170" max="7170" width="13.6640625" style="27" customWidth="1"/>
    <col min="7171" max="7171" width="17.109375" style="27" bestFit="1" customWidth="1"/>
    <col min="7172" max="7172" width="4" style="27" customWidth="1"/>
    <col min="7173" max="7173" width="13.6640625" style="27" customWidth="1"/>
    <col min="7174" max="7415" width="13.6640625" style="27"/>
    <col min="7416" max="7416" width="22.109375" style="27" customWidth="1"/>
    <col min="7417" max="7423" width="13.6640625" style="27" customWidth="1"/>
    <col min="7424" max="7424" width="15.88671875" style="27" customWidth="1"/>
    <col min="7425" max="7425" width="16.5546875" style="27" bestFit="1" customWidth="1"/>
    <col min="7426" max="7426" width="13.6640625" style="27" customWidth="1"/>
    <col min="7427" max="7427" width="17.109375" style="27" bestFit="1" customWidth="1"/>
    <col min="7428" max="7428" width="4" style="27" customWidth="1"/>
    <col min="7429" max="7429" width="13.6640625" style="27" customWidth="1"/>
    <col min="7430" max="7671" width="13.6640625" style="27"/>
    <col min="7672" max="7672" width="22.109375" style="27" customWidth="1"/>
    <col min="7673" max="7679" width="13.6640625" style="27" customWidth="1"/>
    <col min="7680" max="7680" width="15.88671875" style="27" customWidth="1"/>
    <col min="7681" max="7681" width="16.5546875" style="27" bestFit="1" customWidth="1"/>
    <col min="7682" max="7682" width="13.6640625" style="27" customWidth="1"/>
    <col min="7683" max="7683" width="17.109375" style="27" bestFit="1" customWidth="1"/>
    <col min="7684" max="7684" width="4" style="27" customWidth="1"/>
    <col min="7685" max="7685" width="13.6640625" style="27" customWidth="1"/>
    <col min="7686" max="7927" width="13.6640625" style="27"/>
    <col min="7928" max="7928" width="22.109375" style="27" customWidth="1"/>
    <col min="7929" max="7935" width="13.6640625" style="27" customWidth="1"/>
    <col min="7936" max="7936" width="15.88671875" style="27" customWidth="1"/>
    <col min="7937" max="7937" width="16.5546875" style="27" bestFit="1" customWidth="1"/>
    <col min="7938" max="7938" width="13.6640625" style="27" customWidth="1"/>
    <col min="7939" max="7939" width="17.109375" style="27" bestFit="1" customWidth="1"/>
    <col min="7940" max="7940" width="4" style="27" customWidth="1"/>
    <col min="7941" max="7941" width="13.6640625" style="27" customWidth="1"/>
    <col min="7942" max="8183" width="13.6640625" style="27"/>
    <col min="8184" max="8184" width="22.109375" style="27" customWidth="1"/>
    <col min="8185" max="8191" width="13.6640625" style="27" customWidth="1"/>
    <col min="8192" max="8192" width="15.88671875" style="27" customWidth="1"/>
    <col min="8193" max="8193" width="16.5546875" style="27" bestFit="1" customWidth="1"/>
    <col min="8194" max="8194" width="13.6640625" style="27" customWidth="1"/>
    <col min="8195" max="8195" width="17.109375" style="27" bestFit="1" customWidth="1"/>
    <col min="8196" max="8196" width="4" style="27" customWidth="1"/>
    <col min="8197" max="8197" width="13.6640625" style="27" customWidth="1"/>
    <col min="8198" max="8439" width="13.6640625" style="27"/>
    <col min="8440" max="8440" width="22.109375" style="27" customWidth="1"/>
    <col min="8441" max="8447" width="13.6640625" style="27" customWidth="1"/>
    <col min="8448" max="8448" width="15.88671875" style="27" customWidth="1"/>
    <col min="8449" max="8449" width="16.5546875" style="27" bestFit="1" customWidth="1"/>
    <col min="8450" max="8450" width="13.6640625" style="27" customWidth="1"/>
    <col min="8451" max="8451" width="17.109375" style="27" bestFit="1" customWidth="1"/>
    <col min="8452" max="8452" width="4" style="27" customWidth="1"/>
    <col min="8453" max="8453" width="13.6640625" style="27" customWidth="1"/>
    <col min="8454" max="8695" width="13.6640625" style="27"/>
    <col min="8696" max="8696" width="22.109375" style="27" customWidth="1"/>
    <col min="8697" max="8703" width="13.6640625" style="27" customWidth="1"/>
    <col min="8704" max="8704" width="15.88671875" style="27" customWidth="1"/>
    <col min="8705" max="8705" width="16.5546875" style="27" bestFit="1" customWidth="1"/>
    <col min="8706" max="8706" width="13.6640625" style="27" customWidth="1"/>
    <col min="8707" max="8707" width="17.109375" style="27" bestFit="1" customWidth="1"/>
    <col min="8708" max="8708" width="4" style="27" customWidth="1"/>
    <col min="8709" max="8709" width="13.6640625" style="27" customWidth="1"/>
    <col min="8710" max="8951" width="13.6640625" style="27"/>
    <col min="8952" max="8952" width="22.109375" style="27" customWidth="1"/>
    <col min="8953" max="8959" width="13.6640625" style="27" customWidth="1"/>
    <col min="8960" max="8960" width="15.88671875" style="27" customWidth="1"/>
    <col min="8961" max="8961" width="16.5546875" style="27" bestFit="1" customWidth="1"/>
    <col min="8962" max="8962" width="13.6640625" style="27" customWidth="1"/>
    <col min="8963" max="8963" width="17.109375" style="27" bestFit="1" customWidth="1"/>
    <col min="8964" max="8964" width="4" style="27" customWidth="1"/>
    <col min="8965" max="8965" width="13.6640625" style="27" customWidth="1"/>
    <col min="8966" max="9207" width="13.6640625" style="27"/>
    <col min="9208" max="9208" width="22.109375" style="27" customWidth="1"/>
    <col min="9209" max="9215" width="13.6640625" style="27" customWidth="1"/>
    <col min="9216" max="9216" width="15.88671875" style="27" customWidth="1"/>
    <col min="9217" max="9217" width="16.5546875" style="27" bestFit="1" customWidth="1"/>
    <col min="9218" max="9218" width="13.6640625" style="27" customWidth="1"/>
    <col min="9219" max="9219" width="17.109375" style="27" bestFit="1" customWidth="1"/>
    <col min="9220" max="9220" width="4" style="27" customWidth="1"/>
    <col min="9221" max="9221" width="13.6640625" style="27" customWidth="1"/>
    <col min="9222" max="9463" width="13.6640625" style="27"/>
    <col min="9464" max="9464" width="22.109375" style="27" customWidth="1"/>
    <col min="9465" max="9471" width="13.6640625" style="27" customWidth="1"/>
    <col min="9472" max="9472" width="15.88671875" style="27" customWidth="1"/>
    <col min="9473" max="9473" width="16.5546875" style="27" bestFit="1" customWidth="1"/>
    <col min="9474" max="9474" width="13.6640625" style="27" customWidth="1"/>
    <col min="9475" max="9475" width="17.109375" style="27" bestFit="1" customWidth="1"/>
    <col min="9476" max="9476" width="4" style="27" customWidth="1"/>
    <col min="9477" max="9477" width="13.6640625" style="27" customWidth="1"/>
    <col min="9478" max="9719" width="13.6640625" style="27"/>
    <col min="9720" max="9720" width="22.109375" style="27" customWidth="1"/>
    <col min="9721" max="9727" width="13.6640625" style="27" customWidth="1"/>
    <col min="9728" max="9728" width="15.88671875" style="27" customWidth="1"/>
    <col min="9729" max="9729" width="16.5546875" style="27" bestFit="1" customWidth="1"/>
    <col min="9730" max="9730" width="13.6640625" style="27" customWidth="1"/>
    <col min="9731" max="9731" width="17.109375" style="27" bestFit="1" customWidth="1"/>
    <col min="9732" max="9732" width="4" style="27" customWidth="1"/>
    <col min="9733" max="9733" width="13.6640625" style="27" customWidth="1"/>
    <col min="9734" max="9975" width="13.6640625" style="27"/>
    <col min="9976" max="9976" width="22.109375" style="27" customWidth="1"/>
    <col min="9977" max="9983" width="13.6640625" style="27" customWidth="1"/>
    <col min="9984" max="9984" width="15.88671875" style="27" customWidth="1"/>
    <col min="9985" max="9985" width="16.5546875" style="27" bestFit="1" customWidth="1"/>
    <col min="9986" max="9986" width="13.6640625" style="27" customWidth="1"/>
    <col min="9987" max="9987" width="17.109375" style="27" bestFit="1" customWidth="1"/>
    <col min="9988" max="9988" width="4" style="27" customWidth="1"/>
    <col min="9989" max="9989" width="13.6640625" style="27" customWidth="1"/>
    <col min="9990" max="10231" width="13.6640625" style="27"/>
    <col min="10232" max="10232" width="22.109375" style="27" customWidth="1"/>
    <col min="10233" max="10239" width="13.6640625" style="27" customWidth="1"/>
    <col min="10240" max="10240" width="15.88671875" style="27" customWidth="1"/>
    <col min="10241" max="10241" width="16.5546875" style="27" bestFit="1" customWidth="1"/>
    <col min="10242" max="10242" width="13.6640625" style="27" customWidth="1"/>
    <col min="10243" max="10243" width="17.109375" style="27" bestFit="1" customWidth="1"/>
    <col min="10244" max="10244" width="4" style="27" customWidth="1"/>
    <col min="10245" max="10245" width="13.6640625" style="27" customWidth="1"/>
    <col min="10246" max="10487" width="13.6640625" style="27"/>
    <col min="10488" max="10488" width="22.109375" style="27" customWidth="1"/>
    <col min="10489" max="10495" width="13.6640625" style="27" customWidth="1"/>
    <col min="10496" max="10496" width="15.88671875" style="27" customWidth="1"/>
    <col min="10497" max="10497" width="16.5546875" style="27" bestFit="1" customWidth="1"/>
    <col min="10498" max="10498" width="13.6640625" style="27" customWidth="1"/>
    <col min="10499" max="10499" width="17.109375" style="27" bestFit="1" customWidth="1"/>
    <col min="10500" max="10500" width="4" style="27" customWidth="1"/>
    <col min="10501" max="10501" width="13.6640625" style="27" customWidth="1"/>
    <col min="10502" max="10743" width="13.6640625" style="27"/>
    <col min="10744" max="10744" width="22.109375" style="27" customWidth="1"/>
    <col min="10745" max="10751" width="13.6640625" style="27" customWidth="1"/>
    <col min="10752" max="10752" width="15.88671875" style="27" customWidth="1"/>
    <col min="10753" max="10753" width="16.5546875" style="27" bestFit="1" customWidth="1"/>
    <col min="10754" max="10754" width="13.6640625" style="27" customWidth="1"/>
    <col min="10755" max="10755" width="17.109375" style="27" bestFit="1" customWidth="1"/>
    <col min="10756" max="10756" width="4" style="27" customWidth="1"/>
    <col min="10757" max="10757" width="13.6640625" style="27" customWidth="1"/>
    <col min="10758" max="10999" width="13.6640625" style="27"/>
    <col min="11000" max="11000" width="22.109375" style="27" customWidth="1"/>
    <col min="11001" max="11007" width="13.6640625" style="27" customWidth="1"/>
    <col min="11008" max="11008" width="15.88671875" style="27" customWidth="1"/>
    <col min="11009" max="11009" width="16.5546875" style="27" bestFit="1" customWidth="1"/>
    <col min="11010" max="11010" width="13.6640625" style="27" customWidth="1"/>
    <col min="11011" max="11011" width="17.109375" style="27" bestFit="1" customWidth="1"/>
    <col min="11012" max="11012" width="4" style="27" customWidth="1"/>
    <col min="11013" max="11013" width="13.6640625" style="27" customWidth="1"/>
    <col min="11014" max="11255" width="13.6640625" style="27"/>
    <col min="11256" max="11256" width="22.109375" style="27" customWidth="1"/>
    <col min="11257" max="11263" width="13.6640625" style="27" customWidth="1"/>
    <col min="11264" max="11264" width="15.88671875" style="27" customWidth="1"/>
    <col min="11265" max="11265" width="16.5546875" style="27" bestFit="1" customWidth="1"/>
    <col min="11266" max="11266" width="13.6640625" style="27" customWidth="1"/>
    <col min="11267" max="11267" width="17.109375" style="27" bestFit="1" customWidth="1"/>
    <col min="11268" max="11268" width="4" style="27" customWidth="1"/>
    <col min="11269" max="11269" width="13.6640625" style="27" customWidth="1"/>
    <col min="11270" max="11511" width="13.6640625" style="27"/>
    <col min="11512" max="11512" width="22.109375" style="27" customWidth="1"/>
    <col min="11513" max="11519" width="13.6640625" style="27" customWidth="1"/>
    <col min="11520" max="11520" width="15.88671875" style="27" customWidth="1"/>
    <col min="11521" max="11521" width="16.5546875" style="27" bestFit="1" customWidth="1"/>
    <col min="11522" max="11522" width="13.6640625" style="27" customWidth="1"/>
    <col min="11523" max="11523" width="17.109375" style="27" bestFit="1" customWidth="1"/>
    <col min="11524" max="11524" width="4" style="27" customWidth="1"/>
    <col min="11525" max="11525" width="13.6640625" style="27" customWidth="1"/>
    <col min="11526" max="11767" width="13.6640625" style="27"/>
    <col min="11768" max="11768" width="22.109375" style="27" customWidth="1"/>
    <col min="11769" max="11775" width="13.6640625" style="27" customWidth="1"/>
    <col min="11776" max="11776" width="15.88671875" style="27" customWidth="1"/>
    <col min="11777" max="11777" width="16.5546875" style="27" bestFit="1" customWidth="1"/>
    <col min="11778" max="11778" width="13.6640625" style="27" customWidth="1"/>
    <col min="11779" max="11779" width="17.109375" style="27" bestFit="1" customWidth="1"/>
    <col min="11780" max="11780" width="4" style="27" customWidth="1"/>
    <col min="11781" max="11781" width="13.6640625" style="27" customWidth="1"/>
    <col min="11782" max="12023" width="13.6640625" style="27"/>
    <col min="12024" max="12024" width="22.109375" style="27" customWidth="1"/>
    <col min="12025" max="12031" width="13.6640625" style="27" customWidth="1"/>
    <col min="12032" max="12032" width="15.88671875" style="27" customWidth="1"/>
    <col min="12033" max="12033" width="16.5546875" style="27" bestFit="1" customWidth="1"/>
    <col min="12034" max="12034" width="13.6640625" style="27" customWidth="1"/>
    <col min="12035" max="12035" width="17.109375" style="27" bestFit="1" customWidth="1"/>
    <col min="12036" max="12036" width="4" style="27" customWidth="1"/>
    <col min="12037" max="12037" width="13.6640625" style="27" customWidth="1"/>
    <col min="12038" max="12279" width="13.6640625" style="27"/>
    <col min="12280" max="12280" width="22.109375" style="27" customWidth="1"/>
    <col min="12281" max="12287" width="13.6640625" style="27" customWidth="1"/>
    <col min="12288" max="12288" width="15.88671875" style="27" customWidth="1"/>
    <col min="12289" max="12289" width="16.5546875" style="27" bestFit="1" customWidth="1"/>
    <col min="12290" max="12290" width="13.6640625" style="27" customWidth="1"/>
    <col min="12291" max="12291" width="17.109375" style="27" bestFit="1" customWidth="1"/>
    <col min="12292" max="12292" width="4" style="27" customWidth="1"/>
    <col min="12293" max="12293" width="13.6640625" style="27" customWidth="1"/>
    <col min="12294" max="12535" width="13.6640625" style="27"/>
    <col min="12536" max="12536" width="22.109375" style="27" customWidth="1"/>
    <col min="12537" max="12543" width="13.6640625" style="27" customWidth="1"/>
    <col min="12544" max="12544" width="15.88671875" style="27" customWidth="1"/>
    <col min="12545" max="12545" width="16.5546875" style="27" bestFit="1" customWidth="1"/>
    <col min="12546" max="12546" width="13.6640625" style="27" customWidth="1"/>
    <col min="12547" max="12547" width="17.109375" style="27" bestFit="1" customWidth="1"/>
    <col min="12548" max="12548" width="4" style="27" customWidth="1"/>
    <col min="12549" max="12549" width="13.6640625" style="27" customWidth="1"/>
    <col min="12550" max="12791" width="13.6640625" style="27"/>
    <col min="12792" max="12792" width="22.109375" style="27" customWidth="1"/>
    <col min="12793" max="12799" width="13.6640625" style="27" customWidth="1"/>
    <col min="12800" max="12800" width="15.88671875" style="27" customWidth="1"/>
    <col min="12801" max="12801" width="16.5546875" style="27" bestFit="1" customWidth="1"/>
    <col min="12802" max="12802" width="13.6640625" style="27" customWidth="1"/>
    <col min="12803" max="12803" width="17.109375" style="27" bestFit="1" customWidth="1"/>
    <col min="12804" max="12804" width="4" style="27" customWidth="1"/>
    <col min="12805" max="12805" width="13.6640625" style="27" customWidth="1"/>
    <col min="12806" max="13047" width="13.6640625" style="27"/>
    <col min="13048" max="13048" width="22.109375" style="27" customWidth="1"/>
    <col min="13049" max="13055" width="13.6640625" style="27" customWidth="1"/>
    <col min="13056" max="13056" width="15.88671875" style="27" customWidth="1"/>
    <col min="13057" max="13057" width="16.5546875" style="27" bestFit="1" customWidth="1"/>
    <col min="13058" max="13058" width="13.6640625" style="27" customWidth="1"/>
    <col min="13059" max="13059" width="17.109375" style="27" bestFit="1" customWidth="1"/>
    <col min="13060" max="13060" width="4" style="27" customWidth="1"/>
    <col min="13061" max="13061" width="13.6640625" style="27" customWidth="1"/>
    <col min="13062" max="13303" width="13.6640625" style="27"/>
    <col min="13304" max="13304" width="22.109375" style="27" customWidth="1"/>
    <col min="13305" max="13311" width="13.6640625" style="27" customWidth="1"/>
    <col min="13312" max="13312" width="15.88671875" style="27" customWidth="1"/>
    <col min="13313" max="13313" width="16.5546875" style="27" bestFit="1" customWidth="1"/>
    <col min="13314" max="13314" width="13.6640625" style="27" customWidth="1"/>
    <col min="13315" max="13315" width="17.109375" style="27" bestFit="1" customWidth="1"/>
    <col min="13316" max="13316" width="4" style="27" customWidth="1"/>
    <col min="13317" max="13317" width="13.6640625" style="27" customWidth="1"/>
    <col min="13318" max="13559" width="13.6640625" style="27"/>
    <col min="13560" max="13560" width="22.109375" style="27" customWidth="1"/>
    <col min="13561" max="13567" width="13.6640625" style="27" customWidth="1"/>
    <col min="13568" max="13568" width="15.88671875" style="27" customWidth="1"/>
    <col min="13569" max="13569" width="16.5546875" style="27" bestFit="1" customWidth="1"/>
    <col min="13570" max="13570" width="13.6640625" style="27" customWidth="1"/>
    <col min="13571" max="13571" width="17.109375" style="27" bestFit="1" customWidth="1"/>
    <col min="13572" max="13572" width="4" style="27" customWidth="1"/>
    <col min="13573" max="13573" width="13.6640625" style="27" customWidth="1"/>
    <col min="13574" max="13815" width="13.6640625" style="27"/>
    <col min="13816" max="13816" width="22.109375" style="27" customWidth="1"/>
    <col min="13817" max="13823" width="13.6640625" style="27" customWidth="1"/>
    <col min="13824" max="13824" width="15.88671875" style="27" customWidth="1"/>
    <col min="13825" max="13825" width="16.5546875" style="27" bestFit="1" customWidth="1"/>
    <col min="13826" max="13826" width="13.6640625" style="27" customWidth="1"/>
    <col min="13827" max="13827" width="17.109375" style="27" bestFit="1" customWidth="1"/>
    <col min="13828" max="13828" width="4" style="27" customWidth="1"/>
    <col min="13829" max="13829" width="13.6640625" style="27" customWidth="1"/>
    <col min="13830" max="14071" width="13.6640625" style="27"/>
    <col min="14072" max="14072" width="22.109375" style="27" customWidth="1"/>
    <col min="14073" max="14079" width="13.6640625" style="27" customWidth="1"/>
    <col min="14080" max="14080" width="15.88671875" style="27" customWidth="1"/>
    <col min="14081" max="14081" width="16.5546875" style="27" bestFit="1" customWidth="1"/>
    <col min="14082" max="14082" width="13.6640625" style="27" customWidth="1"/>
    <col min="14083" max="14083" width="17.109375" style="27" bestFit="1" customWidth="1"/>
    <col min="14084" max="14084" width="4" style="27" customWidth="1"/>
    <col min="14085" max="14085" width="13.6640625" style="27" customWidth="1"/>
    <col min="14086" max="14327" width="13.6640625" style="27"/>
    <col min="14328" max="14328" width="22.109375" style="27" customWidth="1"/>
    <col min="14329" max="14335" width="13.6640625" style="27" customWidth="1"/>
    <col min="14336" max="14336" width="15.88671875" style="27" customWidth="1"/>
    <col min="14337" max="14337" width="16.5546875" style="27" bestFit="1" customWidth="1"/>
    <col min="14338" max="14338" width="13.6640625" style="27" customWidth="1"/>
    <col min="14339" max="14339" width="17.109375" style="27" bestFit="1" customWidth="1"/>
    <col min="14340" max="14340" width="4" style="27" customWidth="1"/>
    <col min="14341" max="14341" width="13.6640625" style="27" customWidth="1"/>
    <col min="14342" max="14583" width="13.6640625" style="27"/>
    <col min="14584" max="14584" width="22.109375" style="27" customWidth="1"/>
    <col min="14585" max="14591" width="13.6640625" style="27" customWidth="1"/>
    <col min="14592" max="14592" width="15.88671875" style="27" customWidth="1"/>
    <col min="14593" max="14593" width="16.5546875" style="27" bestFit="1" customWidth="1"/>
    <col min="14594" max="14594" width="13.6640625" style="27" customWidth="1"/>
    <col min="14595" max="14595" width="17.109375" style="27" bestFit="1" customWidth="1"/>
    <col min="14596" max="14596" width="4" style="27" customWidth="1"/>
    <col min="14597" max="14597" width="13.6640625" style="27" customWidth="1"/>
    <col min="14598" max="14839" width="13.6640625" style="27"/>
    <col min="14840" max="14840" width="22.109375" style="27" customWidth="1"/>
    <col min="14841" max="14847" width="13.6640625" style="27" customWidth="1"/>
    <col min="14848" max="14848" width="15.88671875" style="27" customWidth="1"/>
    <col min="14849" max="14849" width="16.5546875" style="27" bestFit="1" customWidth="1"/>
    <col min="14850" max="14850" width="13.6640625" style="27" customWidth="1"/>
    <col min="14851" max="14851" width="17.109375" style="27" bestFit="1" customWidth="1"/>
    <col min="14852" max="14852" width="4" style="27" customWidth="1"/>
    <col min="14853" max="14853" width="13.6640625" style="27" customWidth="1"/>
    <col min="14854" max="15095" width="13.6640625" style="27"/>
    <col min="15096" max="15096" width="22.109375" style="27" customWidth="1"/>
    <col min="15097" max="15103" width="13.6640625" style="27" customWidth="1"/>
    <col min="15104" max="15104" width="15.88671875" style="27" customWidth="1"/>
    <col min="15105" max="15105" width="16.5546875" style="27" bestFit="1" customWidth="1"/>
    <col min="15106" max="15106" width="13.6640625" style="27" customWidth="1"/>
    <col min="15107" max="15107" width="17.109375" style="27" bestFit="1" customWidth="1"/>
    <col min="15108" max="15108" width="4" style="27" customWidth="1"/>
    <col min="15109" max="15109" width="13.6640625" style="27" customWidth="1"/>
    <col min="15110" max="15351" width="13.6640625" style="27"/>
    <col min="15352" max="15352" width="22.109375" style="27" customWidth="1"/>
    <col min="15353" max="15359" width="13.6640625" style="27" customWidth="1"/>
    <col min="15360" max="15360" width="15.88671875" style="27" customWidth="1"/>
    <col min="15361" max="15361" width="16.5546875" style="27" bestFit="1" customWidth="1"/>
    <col min="15362" max="15362" width="13.6640625" style="27" customWidth="1"/>
    <col min="15363" max="15363" width="17.109375" style="27" bestFit="1" customWidth="1"/>
    <col min="15364" max="15364" width="4" style="27" customWidth="1"/>
    <col min="15365" max="15365" width="13.6640625" style="27" customWidth="1"/>
    <col min="15366" max="15607" width="13.6640625" style="27"/>
    <col min="15608" max="15608" width="22.109375" style="27" customWidth="1"/>
    <col min="15609" max="15615" width="13.6640625" style="27" customWidth="1"/>
    <col min="15616" max="15616" width="15.88671875" style="27" customWidth="1"/>
    <col min="15617" max="15617" width="16.5546875" style="27" bestFit="1" customWidth="1"/>
    <col min="15618" max="15618" width="13.6640625" style="27" customWidth="1"/>
    <col min="15619" max="15619" width="17.109375" style="27" bestFit="1" customWidth="1"/>
    <col min="15620" max="15620" width="4" style="27" customWidth="1"/>
    <col min="15621" max="15621" width="13.6640625" style="27" customWidth="1"/>
    <col min="15622" max="15863" width="13.6640625" style="27"/>
    <col min="15864" max="15864" width="22.109375" style="27" customWidth="1"/>
    <col min="15865" max="15871" width="13.6640625" style="27" customWidth="1"/>
    <col min="15872" max="15872" width="15.88671875" style="27" customWidth="1"/>
    <col min="15873" max="15873" width="16.5546875" style="27" bestFit="1" customWidth="1"/>
    <col min="15874" max="15874" width="13.6640625" style="27" customWidth="1"/>
    <col min="15875" max="15875" width="17.109375" style="27" bestFit="1" customWidth="1"/>
    <col min="15876" max="15876" width="4" style="27" customWidth="1"/>
    <col min="15877" max="15877" width="13.6640625" style="27" customWidth="1"/>
    <col min="15878" max="16119" width="13.6640625" style="27"/>
    <col min="16120" max="16120" width="22.109375" style="27" customWidth="1"/>
    <col min="16121" max="16127" width="13.6640625" style="27" customWidth="1"/>
    <col min="16128" max="16128" width="15.88671875" style="27" customWidth="1"/>
    <col min="16129" max="16129" width="16.5546875" style="27" bestFit="1" customWidth="1"/>
    <col min="16130" max="16130" width="13.6640625" style="27" customWidth="1"/>
    <col min="16131" max="16131" width="17.109375" style="27" bestFit="1" customWidth="1"/>
    <col min="16132" max="16132" width="4" style="27" customWidth="1"/>
    <col min="16133" max="16133" width="13.6640625" style="27" customWidth="1"/>
    <col min="16134" max="16384" width="13.6640625" style="27"/>
  </cols>
  <sheetData>
    <row r="1" spans="1:26" s="21" customFormat="1" ht="16.2">
      <c r="A1" s="297" t="s">
        <v>22</v>
      </c>
      <c r="B1" s="217"/>
      <c r="C1" s="217"/>
      <c r="D1" s="90"/>
      <c r="E1" s="90"/>
      <c r="F1" s="218"/>
      <c r="G1" s="90"/>
      <c r="H1" s="90"/>
    </row>
    <row r="2" spans="1:26" s="21" customFormat="1" ht="16.2">
      <c r="A2" s="298"/>
      <c r="B2" s="217"/>
      <c r="C2" s="217"/>
      <c r="D2" s="219"/>
      <c r="E2" s="451" t="s">
        <v>1062</v>
      </c>
      <c r="F2" s="451" t="s">
        <v>1063</v>
      </c>
      <c r="G2" s="219"/>
      <c r="H2" s="90"/>
    </row>
    <row r="3" spans="1:26" s="21" customFormat="1" ht="18.600000000000001">
      <c r="A3" s="287" t="str">
        <f>'[7]2-Kosten per locatie'!A3</f>
        <v>Naam opdrachtgever</v>
      </c>
      <c r="B3" s="195" t="str">
        <f>'[7]2-Kosten per locatie'!B3</f>
        <v>Basis calculatiemodel</v>
      </c>
      <c r="C3" s="195"/>
      <c r="D3" s="219"/>
      <c r="E3" s="220" t="s">
        <v>1064</v>
      </c>
      <c r="F3" s="412">
        <v>0</v>
      </c>
      <c r="G3" s="219"/>
      <c r="H3" s="90"/>
    </row>
    <row r="4" spans="1:26" s="21" customFormat="1" ht="18.600000000000001">
      <c r="A4" s="287" t="str">
        <f>'[7]2-Kosten per locatie'!A4</f>
        <v>Calculatie onderdeel</v>
      </c>
      <c r="B4" s="195" t="str">
        <f ca="1">MID(CELL("bestandsnaam",$C$9),SEARCH("]",CELL("bestandsnaam",$C$9),1)+1,256)</f>
        <v>10-Glasbewassing</v>
      </c>
      <c r="C4" s="195"/>
      <c r="D4" s="219"/>
      <c r="E4" s="220" t="s">
        <v>1065</v>
      </c>
      <c r="F4" s="412">
        <v>0</v>
      </c>
      <c r="G4" s="219"/>
      <c r="H4" s="90"/>
    </row>
    <row r="5" spans="1:26" s="21" customFormat="1" ht="18.600000000000001">
      <c r="A5" s="287" t="str">
        <f>'[7]2-Kosten per locatie'!A5</f>
        <v>Gebouw/plaats</v>
      </c>
      <c r="B5" s="195" t="str">
        <f>'2-Kosten per locatie'!B5</f>
        <v>Heerhugowaard en regio</v>
      </c>
      <c r="C5" s="195"/>
      <c r="D5" s="219"/>
      <c r="E5" s="452" t="s">
        <v>1066</v>
      </c>
      <c r="F5" s="412">
        <v>0</v>
      </c>
      <c r="G5" s="219"/>
      <c r="H5" s="90"/>
      <c r="M5" s="23"/>
      <c r="N5" s="22"/>
      <c r="O5" s="24"/>
      <c r="P5" s="23"/>
      <c r="Q5" s="22"/>
      <c r="R5" s="23"/>
      <c r="S5" s="23"/>
      <c r="T5" s="22"/>
      <c r="U5" s="23"/>
      <c r="V5" s="23"/>
      <c r="W5" s="22"/>
      <c r="X5" s="23"/>
      <c r="Y5" s="23"/>
      <c r="Z5" s="22"/>
    </row>
    <row r="6" spans="1:26" s="21" customFormat="1" ht="17.25" customHeight="1">
      <c r="A6" s="287" t="str">
        <f>'[7]2-Kosten per locatie'!A6</f>
        <v>Referentie nummer</v>
      </c>
      <c r="B6" s="195" t="str">
        <f>'2-Kosten per locatie'!B6</f>
        <v>Blosse-EU-RT-MVD-2024</v>
      </c>
      <c r="C6" s="195"/>
      <c r="D6" s="219"/>
      <c r="E6" s="220" t="s">
        <v>1073</v>
      </c>
      <c r="F6" s="412">
        <v>0</v>
      </c>
      <c r="G6" s="219"/>
      <c r="H6" s="459" t="s">
        <v>1109</v>
      </c>
      <c r="I6" s="460"/>
      <c r="N6" s="26"/>
      <c r="O6" s="24"/>
      <c r="P6" s="25"/>
      <c r="Q6" s="26"/>
      <c r="R6" s="23"/>
      <c r="S6" s="25"/>
      <c r="T6" s="26"/>
      <c r="U6" s="23"/>
      <c r="V6" s="25"/>
      <c r="W6" s="26"/>
      <c r="X6" s="23"/>
      <c r="Y6" s="25"/>
      <c r="Z6" s="26"/>
    </row>
    <row r="7" spans="1:26" s="21" customFormat="1" ht="17.25" customHeight="1">
      <c r="A7" s="287" t="str">
        <f>'[7]2-Kosten per locatie'!A7</f>
        <v>Naam dienstverlener</v>
      </c>
      <c r="B7" s="195" t="str">
        <f>'2-Kosten per locatie'!B7</f>
        <v>…............................</v>
      </c>
      <c r="C7" s="129"/>
      <c r="D7" s="219"/>
      <c r="E7" s="220" t="s">
        <v>1108</v>
      </c>
      <c r="F7" s="412">
        <v>0</v>
      </c>
      <c r="G7" s="219"/>
      <c r="H7" s="90"/>
      <c r="J7" s="23"/>
      <c r="K7" s="22"/>
      <c r="L7" s="23"/>
    </row>
    <row r="8" spans="1:26" s="21" customFormat="1" ht="17.25" customHeight="1">
      <c r="A8" s="287" t="str">
        <f>'[7]2-Kosten per locatie'!A8</f>
        <v>Prijspeil</v>
      </c>
      <c r="B8" s="458">
        <f>'2-Kosten per locatie'!B8</f>
        <v>45474</v>
      </c>
      <c r="C8" s="45"/>
      <c r="D8" s="219"/>
      <c r="E8" s="220" t="s">
        <v>1067</v>
      </c>
      <c r="F8" s="412">
        <v>0</v>
      </c>
      <c r="G8" s="219"/>
      <c r="H8" s="90"/>
    </row>
    <row r="9" spans="1:26" s="21" customFormat="1" ht="17.25" customHeight="1">
      <c r="A9" s="219"/>
      <c r="B9" s="219"/>
      <c r="C9" s="219"/>
      <c r="D9" s="219"/>
      <c r="E9" s="219"/>
      <c r="F9" s="219"/>
      <c r="G9" s="219"/>
      <c r="H9" s="221"/>
    </row>
    <row r="10" spans="1:26" s="28" customFormat="1" ht="43.5" customHeight="1">
      <c r="A10" s="453" t="s">
        <v>94</v>
      </c>
      <c r="B10" s="454" t="s">
        <v>1062</v>
      </c>
      <c r="C10" s="454" t="s">
        <v>1068</v>
      </c>
      <c r="D10" s="451" t="s">
        <v>124</v>
      </c>
      <c r="E10" s="454" t="s">
        <v>1069</v>
      </c>
      <c r="F10" s="454" t="s">
        <v>1070</v>
      </c>
      <c r="G10" s="454" t="s">
        <v>1071</v>
      </c>
      <c r="H10" s="454" t="s">
        <v>1072</v>
      </c>
    </row>
    <row r="11" spans="1:26">
      <c r="A11" s="222" t="s">
        <v>820</v>
      </c>
      <c r="B11" s="220" t="s">
        <v>1064</v>
      </c>
      <c r="C11" s="220"/>
      <c r="D11" s="413">
        <v>643</v>
      </c>
      <c r="E11" s="455">
        <f t="shared" ref="E11:E42" si="0">VLOOKUP(B11,$E$3:$F$9,2,FALSE)</f>
        <v>0</v>
      </c>
      <c r="F11" s="414">
        <f t="shared" ref="F11:F30" si="1">(D11*E11)</f>
        <v>0</v>
      </c>
      <c r="G11" s="415" t="s">
        <v>1074</v>
      </c>
      <c r="H11" s="414">
        <f t="shared" ref="H11:H30" si="2">G11*F11</f>
        <v>0</v>
      </c>
    </row>
    <row r="12" spans="1:26">
      <c r="A12" s="222" t="s">
        <v>820</v>
      </c>
      <c r="B12" s="220" t="s">
        <v>1065</v>
      </c>
      <c r="C12" s="220"/>
      <c r="D12" s="456"/>
      <c r="E12" s="455">
        <f t="shared" si="0"/>
        <v>0</v>
      </c>
      <c r="F12" s="414">
        <f t="shared" si="1"/>
        <v>0</v>
      </c>
      <c r="G12" s="415" t="s">
        <v>1074</v>
      </c>
      <c r="H12" s="414">
        <f t="shared" si="2"/>
        <v>0</v>
      </c>
    </row>
    <row r="13" spans="1:26">
      <c r="A13" s="222" t="s">
        <v>820</v>
      </c>
      <c r="B13" s="452" t="s">
        <v>1066</v>
      </c>
      <c r="C13" s="452"/>
      <c r="D13" s="456"/>
      <c r="E13" s="455">
        <f t="shared" si="0"/>
        <v>0</v>
      </c>
      <c r="F13" s="414">
        <f t="shared" si="1"/>
        <v>0</v>
      </c>
      <c r="G13" s="415" t="s">
        <v>1074</v>
      </c>
      <c r="H13" s="414">
        <f t="shared" si="2"/>
        <v>0</v>
      </c>
    </row>
    <row r="14" spans="1:26">
      <c r="A14" s="222" t="s">
        <v>820</v>
      </c>
      <c r="B14" s="452" t="s">
        <v>1073</v>
      </c>
      <c r="C14" s="452"/>
      <c r="D14" s="413">
        <v>507</v>
      </c>
      <c r="E14" s="455">
        <f t="shared" si="0"/>
        <v>0</v>
      </c>
      <c r="F14" s="414">
        <f t="shared" si="1"/>
        <v>0</v>
      </c>
      <c r="G14" s="415" t="s">
        <v>179</v>
      </c>
      <c r="H14" s="414">
        <f t="shared" si="2"/>
        <v>0</v>
      </c>
    </row>
    <row r="15" spans="1:26">
      <c r="A15" s="222" t="s">
        <v>822</v>
      </c>
      <c r="B15" s="220" t="s">
        <v>1064</v>
      </c>
      <c r="C15" s="220"/>
      <c r="D15" s="413">
        <v>275</v>
      </c>
      <c r="E15" s="455">
        <f t="shared" si="0"/>
        <v>0</v>
      </c>
      <c r="F15" s="414">
        <f t="shared" si="1"/>
        <v>0</v>
      </c>
      <c r="G15" s="415" t="s">
        <v>1074</v>
      </c>
      <c r="H15" s="414">
        <f t="shared" si="2"/>
        <v>0</v>
      </c>
    </row>
    <row r="16" spans="1:26">
      <c r="A16" s="222" t="s">
        <v>822</v>
      </c>
      <c r="B16" s="220" t="s">
        <v>1065</v>
      </c>
      <c r="C16" s="220"/>
      <c r="D16" s="456"/>
      <c r="E16" s="455">
        <f t="shared" si="0"/>
        <v>0</v>
      </c>
      <c r="F16" s="414">
        <f t="shared" si="1"/>
        <v>0</v>
      </c>
      <c r="G16" s="415" t="s">
        <v>1074</v>
      </c>
      <c r="H16" s="414">
        <f t="shared" si="2"/>
        <v>0</v>
      </c>
    </row>
    <row r="17" spans="1:8">
      <c r="A17" s="222" t="s">
        <v>822</v>
      </c>
      <c r="B17" s="452" t="s">
        <v>1066</v>
      </c>
      <c r="C17" s="452"/>
      <c r="D17" s="456"/>
      <c r="E17" s="455">
        <f t="shared" si="0"/>
        <v>0</v>
      </c>
      <c r="F17" s="414">
        <f t="shared" si="1"/>
        <v>0</v>
      </c>
      <c r="G17" s="415" t="s">
        <v>1074</v>
      </c>
      <c r="H17" s="414">
        <f t="shared" si="2"/>
        <v>0</v>
      </c>
    </row>
    <row r="18" spans="1:8">
      <c r="A18" s="222" t="s">
        <v>822</v>
      </c>
      <c r="B18" s="452" t="s">
        <v>1073</v>
      </c>
      <c r="C18" s="452"/>
      <c r="D18" s="456"/>
      <c r="E18" s="455">
        <f t="shared" si="0"/>
        <v>0</v>
      </c>
      <c r="F18" s="414">
        <f t="shared" si="1"/>
        <v>0</v>
      </c>
      <c r="G18" s="415" t="s">
        <v>179</v>
      </c>
      <c r="H18" s="414">
        <f t="shared" si="2"/>
        <v>0</v>
      </c>
    </row>
    <row r="19" spans="1:8">
      <c r="A19" s="222" t="s">
        <v>817</v>
      </c>
      <c r="B19" s="220" t="s">
        <v>1064</v>
      </c>
      <c r="C19" s="220"/>
      <c r="D19" s="413">
        <v>276</v>
      </c>
      <c r="E19" s="455">
        <f t="shared" si="0"/>
        <v>0</v>
      </c>
      <c r="F19" s="414">
        <f t="shared" si="1"/>
        <v>0</v>
      </c>
      <c r="G19" s="415" t="s">
        <v>1074</v>
      </c>
      <c r="H19" s="414">
        <f t="shared" si="2"/>
        <v>0</v>
      </c>
    </row>
    <row r="20" spans="1:8">
      <c r="A20" s="222" t="s">
        <v>817</v>
      </c>
      <c r="B20" s="220" t="s">
        <v>1065</v>
      </c>
      <c r="C20" s="220"/>
      <c r="D20" s="413">
        <v>467</v>
      </c>
      <c r="E20" s="455">
        <f t="shared" si="0"/>
        <v>0</v>
      </c>
      <c r="F20" s="414">
        <f t="shared" si="1"/>
        <v>0</v>
      </c>
      <c r="G20" s="415" t="s">
        <v>1074</v>
      </c>
      <c r="H20" s="414">
        <f t="shared" si="2"/>
        <v>0</v>
      </c>
    </row>
    <row r="21" spans="1:8">
      <c r="A21" s="222" t="s">
        <v>817</v>
      </c>
      <c r="B21" s="452" t="s">
        <v>1066</v>
      </c>
      <c r="C21" s="452"/>
      <c r="D21" s="456"/>
      <c r="E21" s="455">
        <f t="shared" si="0"/>
        <v>0</v>
      </c>
      <c r="F21" s="414">
        <f t="shared" si="1"/>
        <v>0</v>
      </c>
      <c r="G21" s="415" t="s">
        <v>1074</v>
      </c>
      <c r="H21" s="414">
        <f t="shared" si="2"/>
        <v>0</v>
      </c>
    </row>
    <row r="22" spans="1:8">
      <c r="A22" s="222" t="s">
        <v>817</v>
      </c>
      <c r="B22" s="452" t="s">
        <v>1073</v>
      </c>
      <c r="C22" s="452"/>
      <c r="D22" s="456"/>
      <c r="E22" s="455">
        <f t="shared" si="0"/>
        <v>0</v>
      </c>
      <c r="F22" s="414">
        <f t="shared" si="1"/>
        <v>0</v>
      </c>
      <c r="G22" s="415" t="s">
        <v>179</v>
      </c>
      <c r="H22" s="414">
        <f t="shared" si="2"/>
        <v>0</v>
      </c>
    </row>
    <row r="23" spans="1:8">
      <c r="A23" s="51" t="s">
        <v>823</v>
      </c>
      <c r="B23" s="220" t="s">
        <v>1064</v>
      </c>
      <c r="C23" s="220" t="s">
        <v>1045</v>
      </c>
      <c r="D23" s="413">
        <v>192</v>
      </c>
      <c r="E23" s="455">
        <f t="shared" si="0"/>
        <v>0</v>
      </c>
      <c r="F23" s="414">
        <f t="shared" si="1"/>
        <v>0</v>
      </c>
      <c r="G23" s="415" t="s">
        <v>1074</v>
      </c>
      <c r="H23" s="414">
        <f t="shared" si="2"/>
        <v>0</v>
      </c>
    </row>
    <row r="24" spans="1:8">
      <c r="A24" s="51" t="s">
        <v>823</v>
      </c>
      <c r="B24" s="220" t="s">
        <v>1065</v>
      </c>
      <c r="C24" s="220" t="s">
        <v>1045</v>
      </c>
      <c r="D24" s="413">
        <v>192</v>
      </c>
      <c r="E24" s="455">
        <f t="shared" si="0"/>
        <v>0</v>
      </c>
      <c r="F24" s="414">
        <f t="shared" si="1"/>
        <v>0</v>
      </c>
      <c r="G24" s="415" t="s">
        <v>1074</v>
      </c>
      <c r="H24" s="414">
        <f t="shared" si="2"/>
        <v>0</v>
      </c>
    </row>
    <row r="25" spans="1:8">
      <c r="A25" s="51" t="s">
        <v>823</v>
      </c>
      <c r="B25" s="452" t="s">
        <v>1066</v>
      </c>
      <c r="C25" s="452" t="s">
        <v>1045</v>
      </c>
      <c r="D25" s="413">
        <v>110</v>
      </c>
      <c r="E25" s="455">
        <f t="shared" si="0"/>
        <v>0</v>
      </c>
      <c r="F25" s="414">
        <f t="shared" si="1"/>
        <v>0</v>
      </c>
      <c r="G25" s="415" t="s">
        <v>1074</v>
      </c>
      <c r="H25" s="414">
        <f t="shared" si="2"/>
        <v>0</v>
      </c>
    </row>
    <row r="26" spans="1:8">
      <c r="A26" s="51" t="s">
        <v>823</v>
      </c>
      <c r="B26" s="452" t="s">
        <v>1073</v>
      </c>
      <c r="C26" s="452" t="s">
        <v>1045</v>
      </c>
      <c r="D26" s="413">
        <v>102.57</v>
      </c>
      <c r="E26" s="455">
        <f t="shared" si="0"/>
        <v>0</v>
      </c>
      <c r="F26" s="414">
        <f t="shared" si="1"/>
        <v>0</v>
      </c>
      <c r="G26" s="415" t="s">
        <v>179</v>
      </c>
      <c r="H26" s="414">
        <f t="shared" si="2"/>
        <v>0</v>
      </c>
    </row>
    <row r="27" spans="1:8">
      <c r="A27" s="222" t="s">
        <v>816</v>
      </c>
      <c r="B27" s="220" t="s">
        <v>1064</v>
      </c>
      <c r="C27" s="220"/>
      <c r="D27" s="413">
        <v>192</v>
      </c>
      <c r="E27" s="455">
        <f t="shared" si="0"/>
        <v>0</v>
      </c>
      <c r="F27" s="414">
        <f t="shared" si="1"/>
        <v>0</v>
      </c>
      <c r="G27" s="415" t="s">
        <v>1074</v>
      </c>
      <c r="H27" s="414">
        <f t="shared" si="2"/>
        <v>0</v>
      </c>
    </row>
    <row r="28" spans="1:8">
      <c r="A28" s="222" t="s">
        <v>816</v>
      </c>
      <c r="B28" s="220" t="s">
        <v>1065</v>
      </c>
      <c r="C28" s="220"/>
      <c r="D28" s="413">
        <v>282</v>
      </c>
      <c r="E28" s="455">
        <f t="shared" si="0"/>
        <v>0</v>
      </c>
      <c r="F28" s="414">
        <f t="shared" si="1"/>
        <v>0</v>
      </c>
      <c r="G28" s="415" t="s">
        <v>1074</v>
      </c>
      <c r="H28" s="414">
        <f t="shared" si="2"/>
        <v>0</v>
      </c>
    </row>
    <row r="29" spans="1:8">
      <c r="A29" s="222" t="s">
        <v>816</v>
      </c>
      <c r="B29" s="452" t="s">
        <v>1066</v>
      </c>
      <c r="C29" s="452"/>
      <c r="D29" s="456"/>
      <c r="E29" s="455">
        <f t="shared" si="0"/>
        <v>0</v>
      </c>
      <c r="F29" s="414">
        <f t="shared" si="1"/>
        <v>0</v>
      </c>
      <c r="G29" s="415" t="s">
        <v>1074</v>
      </c>
      <c r="H29" s="414">
        <f t="shared" si="2"/>
        <v>0</v>
      </c>
    </row>
    <row r="30" spans="1:8">
      <c r="A30" s="222" t="s">
        <v>816</v>
      </c>
      <c r="B30" s="452" t="s">
        <v>1073</v>
      </c>
      <c r="C30" s="452"/>
      <c r="D30" s="456"/>
      <c r="E30" s="455">
        <f t="shared" si="0"/>
        <v>0</v>
      </c>
      <c r="F30" s="414">
        <f t="shared" si="1"/>
        <v>0</v>
      </c>
      <c r="G30" s="415" t="s">
        <v>179</v>
      </c>
      <c r="H30" s="414">
        <f t="shared" si="2"/>
        <v>0</v>
      </c>
    </row>
    <row r="31" spans="1:8">
      <c r="A31" s="50" t="s">
        <v>815</v>
      </c>
      <c r="B31" s="220" t="s">
        <v>1064</v>
      </c>
      <c r="C31" s="220"/>
      <c r="D31" s="413">
        <v>123</v>
      </c>
      <c r="E31" s="455">
        <f t="shared" si="0"/>
        <v>0</v>
      </c>
      <c r="F31" s="414">
        <f t="shared" ref="F31:F50" si="3">(D31*E31)</f>
        <v>0</v>
      </c>
      <c r="G31" s="415" t="s">
        <v>1074</v>
      </c>
      <c r="H31" s="414">
        <f t="shared" ref="H31:H42" si="4">G31*F31</f>
        <v>0</v>
      </c>
    </row>
    <row r="32" spans="1:8">
      <c r="A32" s="50" t="s">
        <v>815</v>
      </c>
      <c r="B32" s="220" t="s">
        <v>1065</v>
      </c>
      <c r="C32" s="220"/>
      <c r="D32" s="413">
        <v>368</v>
      </c>
      <c r="E32" s="455">
        <f t="shared" si="0"/>
        <v>0</v>
      </c>
      <c r="F32" s="414">
        <f t="shared" si="3"/>
        <v>0</v>
      </c>
      <c r="G32" s="415" t="s">
        <v>1074</v>
      </c>
      <c r="H32" s="414">
        <f t="shared" si="4"/>
        <v>0</v>
      </c>
    </row>
    <row r="33" spans="1:8">
      <c r="A33" s="50" t="s">
        <v>815</v>
      </c>
      <c r="B33" s="452" t="s">
        <v>1066</v>
      </c>
      <c r="C33" s="452"/>
      <c r="D33" s="456"/>
      <c r="E33" s="455">
        <f t="shared" si="0"/>
        <v>0</v>
      </c>
      <c r="F33" s="414">
        <f t="shared" si="3"/>
        <v>0</v>
      </c>
      <c r="G33" s="415" t="s">
        <v>1074</v>
      </c>
      <c r="H33" s="414">
        <f t="shared" si="4"/>
        <v>0</v>
      </c>
    </row>
    <row r="34" spans="1:8">
      <c r="A34" s="50" t="s">
        <v>815</v>
      </c>
      <c r="B34" s="452" t="s">
        <v>1073</v>
      </c>
      <c r="C34" s="452"/>
      <c r="D34" s="456"/>
      <c r="E34" s="455">
        <f t="shared" si="0"/>
        <v>0</v>
      </c>
      <c r="F34" s="414">
        <f t="shared" si="3"/>
        <v>0</v>
      </c>
      <c r="G34" s="415" t="s">
        <v>179</v>
      </c>
      <c r="H34" s="414">
        <f t="shared" si="4"/>
        <v>0</v>
      </c>
    </row>
    <row r="35" spans="1:8">
      <c r="A35" s="51" t="s">
        <v>813</v>
      </c>
      <c r="B35" s="220" t="s">
        <v>1064</v>
      </c>
      <c r="C35" s="220"/>
      <c r="D35" s="413">
        <v>204</v>
      </c>
      <c r="E35" s="455">
        <f t="shared" si="0"/>
        <v>0</v>
      </c>
      <c r="F35" s="414">
        <f t="shared" si="3"/>
        <v>0</v>
      </c>
      <c r="G35" s="415" t="s">
        <v>1074</v>
      </c>
      <c r="H35" s="414">
        <f t="shared" si="4"/>
        <v>0</v>
      </c>
    </row>
    <row r="36" spans="1:8">
      <c r="A36" s="51" t="s">
        <v>813</v>
      </c>
      <c r="B36" s="220" t="s">
        <v>1065</v>
      </c>
      <c r="C36" s="220"/>
      <c r="D36" s="413">
        <v>370</v>
      </c>
      <c r="E36" s="455">
        <f t="shared" si="0"/>
        <v>0</v>
      </c>
      <c r="F36" s="414">
        <f t="shared" si="3"/>
        <v>0</v>
      </c>
      <c r="G36" s="415" t="s">
        <v>1074</v>
      </c>
      <c r="H36" s="414">
        <f t="shared" si="4"/>
        <v>0</v>
      </c>
    </row>
    <row r="37" spans="1:8">
      <c r="A37" s="51" t="s">
        <v>813</v>
      </c>
      <c r="B37" s="452" t="s">
        <v>1066</v>
      </c>
      <c r="C37" s="452"/>
      <c r="D37" s="456"/>
      <c r="E37" s="455">
        <f t="shared" si="0"/>
        <v>0</v>
      </c>
      <c r="F37" s="414">
        <f t="shared" si="3"/>
        <v>0</v>
      </c>
      <c r="G37" s="415" t="s">
        <v>1074</v>
      </c>
      <c r="H37" s="414">
        <f t="shared" si="4"/>
        <v>0</v>
      </c>
    </row>
    <row r="38" spans="1:8">
      <c r="A38" s="51" t="s">
        <v>813</v>
      </c>
      <c r="B38" s="452" t="s">
        <v>1073</v>
      </c>
      <c r="C38" s="452"/>
      <c r="D38" s="456"/>
      <c r="E38" s="455">
        <f t="shared" si="0"/>
        <v>0</v>
      </c>
      <c r="F38" s="414">
        <f t="shared" si="3"/>
        <v>0</v>
      </c>
      <c r="G38" s="415" t="s">
        <v>179</v>
      </c>
      <c r="H38" s="414">
        <f t="shared" si="4"/>
        <v>0</v>
      </c>
    </row>
    <row r="39" spans="1:8">
      <c r="A39" s="222" t="s">
        <v>812</v>
      </c>
      <c r="B39" s="220" t="s">
        <v>1064</v>
      </c>
      <c r="C39" s="220"/>
      <c r="D39" s="413">
        <v>185</v>
      </c>
      <c r="E39" s="455">
        <f t="shared" si="0"/>
        <v>0</v>
      </c>
      <c r="F39" s="414">
        <f t="shared" si="3"/>
        <v>0</v>
      </c>
      <c r="G39" s="415" t="s">
        <v>1074</v>
      </c>
      <c r="H39" s="414">
        <f t="shared" si="4"/>
        <v>0</v>
      </c>
    </row>
    <row r="40" spans="1:8">
      <c r="A40" s="222" t="s">
        <v>812</v>
      </c>
      <c r="B40" s="220" t="s">
        <v>1065</v>
      </c>
      <c r="C40" s="220"/>
      <c r="D40" s="413">
        <v>246</v>
      </c>
      <c r="E40" s="455">
        <f t="shared" si="0"/>
        <v>0</v>
      </c>
      <c r="F40" s="414">
        <f t="shared" si="3"/>
        <v>0</v>
      </c>
      <c r="G40" s="415" t="s">
        <v>1074</v>
      </c>
      <c r="H40" s="414">
        <f t="shared" si="4"/>
        <v>0</v>
      </c>
    </row>
    <row r="41" spans="1:8">
      <c r="A41" s="222" t="s">
        <v>812</v>
      </c>
      <c r="B41" s="452" t="s">
        <v>1066</v>
      </c>
      <c r="C41" s="452"/>
      <c r="D41" s="456"/>
      <c r="E41" s="455">
        <f t="shared" si="0"/>
        <v>0</v>
      </c>
      <c r="F41" s="414">
        <f t="shared" si="3"/>
        <v>0</v>
      </c>
      <c r="G41" s="415" t="s">
        <v>1074</v>
      </c>
      <c r="H41" s="414">
        <f t="shared" si="4"/>
        <v>0</v>
      </c>
    </row>
    <row r="42" spans="1:8">
      <c r="A42" s="222" t="s">
        <v>812</v>
      </c>
      <c r="B42" s="452" t="s">
        <v>1073</v>
      </c>
      <c r="C42" s="452"/>
      <c r="D42" s="456"/>
      <c r="E42" s="455">
        <f t="shared" si="0"/>
        <v>0</v>
      </c>
      <c r="F42" s="414">
        <f t="shared" si="3"/>
        <v>0</v>
      </c>
      <c r="G42" s="415" t="s">
        <v>179</v>
      </c>
      <c r="H42" s="414">
        <f t="shared" si="4"/>
        <v>0</v>
      </c>
    </row>
    <row r="43" spans="1:8">
      <c r="A43" s="51" t="s">
        <v>814</v>
      </c>
      <c r="B43" s="220" t="s">
        <v>1064</v>
      </c>
      <c r="C43" s="220"/>
      <c r="D43" s="413">
        <v>460</v>
      </c>
      <c r="E43" s="455">
        <f t="shared" ref="E43:E74" si="5">VLOOKUP(B43,$E$3:$F$9,2,FALSE)</f>
        <v>0</v>
      </c>
      <c r="F43" s="414">
        <f t="shared" si="3"/>
        <v>0</v>
      </c>
      <c r="G43" s="415" t="s">
        <v>1074</v>
      </c>
      <c r="H43" s="414">
        <f t="shared" ref="H43:H63" si="6">G43*F43</f>
        <v>0</v>
      </c>
    </row>
    <row r="44" spans="1:8">
      <c r="A44" s="51" t="s">
        <v>814</v>
      </c>
      <c r="B44" s="220" t="s">
        <v>1065</v>
      </c>
      <c r="C44" s="220"/>
      <c r="D44" s="413">
        <v>669</v>
      </c>
      <c r="E44" s="455">
        <f t="shared" si="5"/>
        <v>0</v>
      </c>
      <c r="F44" s="414">
        <f t="shared" si="3"/>
        <v>0</v>
      </c>
      <c r="G44" s="415" t="s">
        <v>1074</v>
      </c>
      <c r="H44" s="414">
        <f t="shared" si="6"/>
        <v>0</v>
      </c>
    </row>
    <row r="45" spans="1:8">
      <c r="A45" s="51" t="s">
        <v>814</v>
      </c>
      <c r="B45" s="452" t="s">
        <v>1066</v>
      </c>
      <c r="C45" s="452"/>
      <c r="D45" s="456"/>
      <c r="E45" s="455">
        <f t="shared" si="5"/>
        <v>0</v>
      </c>
      <c r="F45" s="414">
        <f t="shared" si="3"/>
        <v>0</v>
      </c>
      <c r="G45" s="415" t="s">
        <v>1074</v>
      </c>
      <c r="H45" s="414">
        <f t="shared" si="6"/>
        <v>0</v>
      </c>
    </row>
    <row r="46" spans="1:8">
      <c r="A46" s="51" t="s">
        <v>814</v>
      </c>
      <c r="B46" s="452" t="s">
        <v>1073</v>
      </c>
      <c r="C46" s="452"/>
      <c r="D46" s="456"/>
      <c r="E46" s="455">
        <f t="shared" si="5"/>
        <v>0</v>
      </c>
      <c r="F46" s="414">
        <f t="shared" si="3"/>
        <v>0</v>
      </c>
      <c r="G46" s="415" t="s">
        <v>179</v>
      </c>
      <c r="H46" s="414">
        <f t="shared" si="6"/>
        <v>0</v>
      </c>
    </row>
    <row r="47" spans="1:8">
      <c r="A47" s="51" t="s">
        <v>814</v>
      </c>
      <c r="B47" s="220" t="s">
        <v>1064</v>
      </c>
      <c r="C47" s="220" t="s">
        <v>1045</v>
      </c>
      <c r="D47" s="413">
        <v>192.7</v>
      </c>
      <c r="E47" s="455">
        <f t="shared" si="5"/>
        <v>0</v>
      </c>
      <c r="F47" s="414">
        <f t="shared" si="3"/>
        <v>0</v>
      </c>
      <c r="G47" s="415" t="s">
        <v>1074</v>
      </c>
      <c r="H47" s="414">
        <f t="shared" si="6"/>
        <v>0</v>
      </c>
    </row>
    <row r="48" spans="1:8">
      <c r="A48" s="51" t="s">
        <v>814</v>
      </c>
      <c r="B48" s="220" t="s">
        <v>1065</v>
      </c>
      <c r="C48" s="220" t="s">
        <v>1045</v>
      </c>
      <c r="D48" s="456"/>
      <c r="E48" s="455">
        <f t="shared" si="5"/>
        <v>0</v>
      </c>
      <c r="F48" s="414">
        <f t="shared" si="3"/>
        <v>0</v>
      </c>
      <c r="G48" s="415" t="s">
        <v>1074</v>
      </c>
      <c r="H48" s="414">
        <f t="shared" si="6"/>
        <v>0</v>
      </c>
    </row>
    <row r="49" spans="1:8">
      <c r="A49" s="51" t="s">
        <v>814</v>
      </c>
      <c r="B49" s="452" t="s">
        <v>1066</v>
      </c>
      <c r="C49" s="220" t="s">
        <v>1045</v>
      </c>
      <c r="D49" s="456"/>
      <c r="E49" s="455">
        <f t="shared" si="5"/>
        <v>0</v>
      </c>
      <c r="F49" s="414">
        <f t="shared" si="3"/>
        <v>0</v>
      </c>
      <c r="G49" s="415" t="s">
        <v>1074</v>
      </c>
      <c r="H49" s="414">
        <f t="shared" si="6"/>
        <v>0</v>
      </c>
    </row>
    <row r="50" spans="1:8">
      <c r="A50" s="51" t="s">
        <v>814</v>
      </c>
      <c r="B50" s="452" t="s">
        <v>1073</v>
      </c>
      <c r="C50" s="220" t="s">
        <v>1045</v>
      </c>
      <c r="D50" s="456"/>
      <c r="E50" s="455">
        <f t="shared" si="5"/>
        <v>0</v>
      </c>
      <c r="F50" s="414">
        <f t="shared" si="3"/>
        <v>0</v>
      </c>
      <c r="G50" s="415" t="s">
        <v>179</v>
      </c>
      <c r="H50" s="414">
        <f t="shared" si="6"/>
        <v>0</v>
      </c>
    </row>
    <row r="51" spans="1:8">
      <c r="A51" s="429" t="s">
        <v>808</v>
      </c>
      <c r="B51" s="220" t="s">
        <v>1108</v>
      </c>
      <c r="C51" s="220"/>
      <c r="D51" s="467">
        <v>628</v>
      </c>
      <c r="E51" s="455">
        <f t="shared" si="5"/>
        <v>0</v>
      </c>
      <c r="F51" s="414">
        <f t="shared" ref="F51:F70" si="7">(D51*E51)</f>
        <v>0</v>
      </c>
      <c r="G51" s="415" t="s">
        <v>1074</v>
      </c>
      <c r="H51" s="414">
        <f t="shared" si="6"/>
        <v>0</v>
      </c>
    </row>
    <row r="52" spans="1:8">
      <c r="A52" s="429" t="s">
        <v>808</v>
      </c>
      <c r="B52" s="220" t="s">
        <v>1065</v>
      </c>
      <c r="C52" s="220"/>
      <c r="D52" s="456"/>
      <c r="E52" s="455">
        <f t="shared" si="5"/>
        <v>0</v>
      </c>
      <c r="F52" s="414">
        <f t="shared" si="7"/>
        <v>0</v>
      </c>
      <c r="G52" s="415" t="s">
        <v>1074</v>
      </c>
      <c r="H52" s="414">
        <f t="shared" si="6"/>
        <v>0</v>
      </c>
    </row>
    <row r="53" spans="1:8">
      <c r="A53" s="429" t="s">
        <v>808</v>
      </c>
      <c r="B53" s="452" t="s">
        <v>1066</v>
      </c>
      <c r="C53" s="452"/>
      <c r="D53" s="456"/>
      <c r="E53" s="455">
        <f t="shared" si="5"/>
        <v>0</v>
      </c>
      <c r="F53" s="414">
        <f t="shared" si="7"/>
        <v>0</v>
      </c>
      <c r="G53" s="415" t="s">
        <v>1074</v>
      </c>
      <c r="H53" s="414">
        <f t="shared" si="6"/>
        <v>0</v>
      </c>
    </row>
    <row r="54" spans="1:8">
      <c r="A54" s="429" t="s">
        <v>808</v>
      </c>
      <c r="B54" s="452" t="s">
        <v>1073</v>
      </c>
      <c r="C54" s="452"/>
      <c r="D54" s="456"/>
      <c r="E54" s="455">
        <f t="shared" si="5"/>
        <v>0</v>
      </c>
      <c r="F54" s="414">
        <f t="shared" si="7"/>
        <v>0</v>
      </c>
      <c r="G54" s="415" t="s">
        <v>179</v>
      </c>
      <c r="H54" s="414">
        <f t="shared" si="6"/>
        <v>0</v>
      </c>
    </row>
    <row r="55" spans="1:8">
      <c r="A55" s="429" t="s">
        <v>809</v>
      </c>
      <c r="B55" s="220" t="s">
        <v>1064</v>
      </c>
      <c r="C55" s="220" t="s">
        <v>1045</v>
      </c>
      <c r="D55" s="413">
        <v>56</v>
      </c>
      <c r="E55" s="455">
        <f t="shared" si="5"/>
        <v>0</v>
      </c>
      <c r="F55" s="414">
        <f t="shared" si="7"/>
        <v>0</v>
      </c>
      <c r="G55" s="415" t="s">
        <v>1074</v>
      </c>
      <c r="H55" s="414">
        <f t="shared" si="6"/>
        <v>0</v>
      </c>
    </row>
    <row r="56" spans="1:8">
      <c r="A56" s="429" t="s">
        <v>809</v>
      </c>
      <c r="B56" s="220" t="s">
        <v>1065</v>
      </c>
      <c r="C56" s="220" t="s">
        <v>1045</v>
      </c>
      <c r="D56" s="456"/>
      <c r="E56" s="455">
        <f t="shared" si="5"/>
        <v>0</v>
      </c>
      <c r="F56" s="414">
        <f t="shared" si="7"/>
        <v>0</v>
      </c>
      <c r="G56" s="415" t="s">
        <v>1074</v>
      </c>
      <c r="H56" s="414">
        <f t="shared" si="6"/>
        <v>0</v>
      </c>
    </row>
    <row r="57" spans="1:8">
      <c r="A57" s="429" t="s">
        <v>809</v>
      </c>
      <c r="B57" s="452" t="s">
        <v>1066</v>
      </c>
      <c r="C57" s="220" t="s">
        <v>1045</v>
      </c>
      <c r="D57" s="456"/>
      <c r="E57" s="455">
        <f t="shared" si="5"/>
        <v>0</v>
      </c>
      <c r="F57" s="414">
        <f t="shared" si="7"/>
        <v>0</v>
      </c>
      <c r="G57" s="415" t="s">
        <v>1074</v>
      </c>
      <c r="H57" s="414">
        <f t="shared" si="6"/>
        <v>0</v>
      </c>
    </row>
    <row r="58" spans="1:8">
      <c r="A58" s="429" t="s">
        <v>809</v>
      </c>
      <c r="B58" s="452" t="s">
        <v>1073</v>
      </c>
      <c r="C58" s="220" t="s">
        <v>1045</v>
      </c>
      <c r="D58" s="456"/>
      <c r="E58" s="455">
        <f t="shared" si="5"/>
        <v>0</v>
      </c>
      <c r="F58" s="414">
        <f t="shared" si="7"/>
        <v>0</v>
      </c>
      <c r="G58" s="415" t="s">
        <v>179</v>
      </c>
      <c r="H58" s="414">
        <f t="shared" si="6"/>
        <v>0</v>
      </c>
    </row>
    <row r="59" spans="1:8">
      <c r="A59" s="222" t="s">
        <v>810</v>
      </c>
      <c r="B59" s="220" t="s">
        <v>1064</v>
      </c>
      <c r="C59" s="220"/>
      <c r="D59" s="413">
        <v>155</v>
      </c>
      <c r="E59" s="455">
        <f t="shared" si="5"/>
        <v>0</v>
      </c>
      <c r="F59" s="414">
        <f t="shared" si="7"/>
        <v>0</v>
      </c>
      <c r="G59" s="415" t="s">
        <v>1074</v>
      </c>
      <c r="H59" s="414">
        <f t="shared" si="6"/>
        <v>0</v>
      </c>
    </row>
    <row r="60" spans="1:8">
      <c r="A60" s="222" t="s">
        <v>810</v>
      </c>
      <c r="B60" s="220" t="s">
        <v>1065</v>
      </c>
      <c r="C60" s="220"/>
      <c r="D60" s="413">
        <v>229</v>
      </c>
      <c r="E60" s="455">
        <f t="shared" si="5"/>
        <v>0</v>
      </c>
      <c r="F60" s="414">
        <f t="shared" si="7"/>
        <v>0</v>
      </c>
      <c r="G60" s="415" t="s">
        <v>1074</v>
      </c>
      <c r="H60" s="414">
        <f t="shared" si="6"/>
        <v>0</v>
      </c>
    </row>
    <row r="61" spans="1:8">
      <c r="A61" s="222" t="s">
        <v>810</v>
      </c>
      <c r="B61" s="452" t="s">
        <v>1066</v>
      </c>
      <c r="C61" s="452"/>
      <c r="D61" s="456"/>
      <c r="E61" s="455">
        <f t="shared" si="5"/>
        <v>0</v>
      </c>
      <c r="F61" s="414">
        <f t="shared" si="7"/>
        <v>0</v>
      </c>
      <c r="G61" s="415" t="s">
        <v>1074</v>
      </c>
      <c r="H61" s="414">
        <f t="shared" si="6"/>
        <v>0</v>
      </c>
    </row>
    <row r="62" spans="1:8">
      <c r="A62" s="222" t="s">
        <v>810</v>
      </c>
      <c r="B62" s="452" t="s">
        <v>1073</v>
      </c>
      <c r="C62" s="452"/>
      <c r="D62" s="456"/>
      <c r="E62" s="455">
        <f t="shared" si="5"/>
        <v>0</v>
      </c>
      <c r="F62" s="414">
        <f t="shared" si="7"/>
        <v>0</v>
      </c>
      <c r="G62" s="415" t="s">
        <v>179</v>
      </c>
      <c r="H62" s="414">
        <f t="shared" si="6"/>
        <v>0</v>
      </c>
    </row>
    <row r="63" spans="1:8">
      <c r="A63" s="222" t="s">
        <v>810</v>
      </c>
      <c r="B63" s="220" t="s">
        <v>1064</v>
      </c>
      <c r="C63" s="220" t="s">
        <v>1034</v>
      </c>
      <c r="D63" s="413">
        <v>72.599999999999994</v>
      </c>
      <c r="E63" s="455">
        <f t="shared" si="5"/>
        <v>0</v>
      </c>
      <c r="F63" s="414">
        <f t="shared" si="7"/>
        <v>0</v>
      </c>
      <c r="G63" s="415" t="s">
        <v>1074</v>
      </c>
      <c r="H63" s="414">
        <f t="shared" si="6"/>
        <v>0</v>
      </c>
    </row>
    <row r="64" spans="1:8">
      <c r="A64" s="222" t="s">
        <v>810</v>
      </c>
      <c r="B64" s="220" t="s">
        <v>1065</v>
      </c>
      <c r="C64" s="220" t="s">
        <v>1034</v>
      </c>
      <c r="D64" s="456"/>
      <c r="E64" s="455">
        <f t="shared" si="5"/>
        <v>0</v>
      </c>
      <c r="F64" s="414">
        <f t="shared" si="7"/>
        <v>0</v>
      </c>
      <c r="G64" s="415" t="s">
        <v>1074</v>
      </c>
      <c r="H64" s="414">
        <f t="shared" ref="H64:H70" si="8">G64*F64</f>
        <v>0</v>
      </c>
    </row>
    <row r="65" spans="1:8">
      <c r="A65" s="222" t="s">
        <v>810</v>
      </c>
      <c r="B65" s="452" t="s">
        <v>1066</v>
      </c>
      <c r="C65" s="220" t="s">
        <v>1034</v>
      </c>
      <c r="D65" s="456"/>
      <c r="E65" s="455">
        <f t="shared" si="5"/>
        <v>0</v>
      </c>
      <c r="F65" s="414">
        <f t="shared" si="7"/>
        <v>0</v>
      </c>
      <c r="G65" s="415" t="s">
        <v>1074</v>
      </c>
      <c r="H65" s="414">
        <f t="shared" si="8"/>
        <v>0</v>
      </c>
    </row>
    <row r="66" spans="1:8">
      <c r="A66" s="222" t="s">
        <v>810</v>
      </c>
      <c r="B66" s="452" t="s">
        <v>1073</v>
      </c>
      <c r="C66" s="452"/>
      <c r="D66" s="456"/>
      <c r="E66" s="455">
        <f t="shared" si="5"/>
        <v>0</v>
      </c>
      <c r="F66" s="414">
        <f t="shared" si="7"/>
        <v>0</v>
      </c>
      <c r="G66" s="415" t="s">
        <v>179</v>
      </c>
      <c r="H66" s="414">
        <f t="shared" si="8"/>
        <v>0</v>
      </c>
    </row>
    <row r="67" spans="1:8">
      <c r="A67" s="222" t="s">
        <v>819</v>
      </c>
      <c r="B67" s="220" t="s">
        <v>1064</v>
      </c>
      <c r="C67" s="220"/>
      <c r="D67" s="413">
        <v>212</v>
      </c>
      <c r="E67" s="455">
        <f t="shared" si="5"/>
        <v>0</v>
      </c>
      <c r="F67" s="414">
        <f t="shared" si="7"/>
        <v>0</v>
      </c>
      <c r="G67" s="415" t="s">
        <v>1074</v>
      </c>
      <c r="H67" s="414">
        <f t="shared" si="8"/>
        <v>0</v>
      </c>
    </row>
    <row r="68" spans="1:8">
      <c r="A68" s="222" t="s">
        <v>819</v>
      </c>
      <c r="B68" s="220" t="s">
        <v>1065</v>
      </c>
      <c r="C68" s="220"/>
      <c r="D68" s="413">
        <v>400</v>
      </c>
      <c r="E68" s="455">
        <f t="shared" si="5"/>
        <v>0</v>
      </c>
      <c r="F68" s="414">
        <f t="shared" si="7"/>
        <v>0</v>
      </c>
      <c r="G68" s="415" t="s">
        <v>1074</v>
      </c>
      <c r="H68" s="414">
        <f t="shared" si="8"/>
        <v>0</v>
      </c>
    </row>
    <row r="69" spans="1:8">
      <c r="A69" s="222" t="s">
        <v>819</v>
      </c>
      <c r="B69" s="452" t="s">
        <v>1066</v>
      </c>
      <c r="C69" s="452"/>
      <c r="D69" s="456"/>
      <c r="E69" s="455">
        <f t="shared" si="5"/>
        <v>0</v>
      </c>
      <c r="F69" s="414">
        <f t="shared" si="7"/>
        <v>0</v>
      </c>
      <c r="G69" s="415" t="s">
        <v>1074</v>
      </c>
      <c r="H69" s="414">
        <f t="shared" si="8"/>
        <v>0</v>
      </c>
    </row>
    <row r="70" spans="1:8">
      <c r="A70" s="222" t="s">
        <v>819</v>
      </c>
      <c r="B70" s="452" t="s">
        <v>1073</v>
      </c>
      <c r="C70" s="452"/>
      <c r="D70" s="456"/>
      <c r="E70" s="455">
        <f t="shared" si="5"/>
        <v>0</v>
      </c>
      <c r="F70" s="414">
        <f t="shared" si="7"/>
        <v>0</v>
      </c>
      <c r="G70" s="415" t="s">
        <v>179</v>
      </c>
      <c r="H70" s="414">
        <f t="shared" si="8"/>
        <v>0</v>
      </c>
    </row>
    <row r="71" spans="1:8">
      <c r="A71" s="50" t="s">
        <v>805</v>
      </c>
      <c r="B71" s="220" t="s">
        <v>1064</v>
      </c>
      <c r="C71" s="220"/>
      <c r="D71" s="413">
        <v>1412</v>
      </c>
      <c r="E71" s="455">
        <f t="shared" si="5"/>
        <v>0</v>
      </c>
      <c r="F71" s="414">
        <f t="shared" ref="F71:F78" si="9">(D71*E71)</f>
        <v>0</v>
      </c>
      <c r="G71" s="415" t="s">
        <v>1074</v>
      </c>
      <c r="H71" s="414">
        <f t="shared" ref="H71:H78" si="10">G71*F71</f>
        <v>0</v>
      </c>
    </row>
    <row r="72" spans="1:8">
      <c r="A72" s="50" t="s">
        <v>805</v>
      </c>
      <c r="B72" s="220" t="s">
        <v>1065</v>
      </c>
      <c r="C72" s="220"/>
      <c r="D72" s="456"/>
      <c r="E72" s="455">
        <f t="shared" si="5"/>
        <v>0</v>
      </c>
      <c r="F72" s="414">
        <f t="shared" si="9"/>
        <v>0</v>
      </c>
      <c r="G72" s="415" t="s">
        <v>1074</v>
      </c>
      <c r="H72" s="414">
        <f t="shared" si="10"/>
        <v>0</v>
      </c>
    </row>
    <row r="73" spans="1:8">
      <c r="A73" s="50" t="s">
        <v>805</v>
      </c>
      <c r="B73" s="452" t="s">
        <v>1066</v>
      </c>
      <c r="C73" s="452"/>
      <c r="D73" s="456"/>
      <c r="E73" s="455">
        <f t="shared" si="5"/>
        <v>0</v>
      </c>
      <c r="F73" s="414">
        <f t="shared" si="9"/>
        <v>0</v>
      </c>
      <c r="G73" s="415" t="s">
        <v>1074</v>
      </c>
      <c r="H73" s="414">
        <f t="shared" si="10"/>
        <v>0</v>
      </c>
    </row>
    <row r="74" spans="1:8">
      <c r="A74" s="50" t="s">
        <v>805</v>
      </c>
      <c r="B74" s="452" t="s">
        <v>1073</v>
      </c>
      <c r="C74" s="452"/>
      <c r="D74" s="456"/>
      <c r="E74" s="455">
        <f t="shared" si="5"/>
        <v>0</v>
      </c>
      <c r="F74" s="414">
        <f t="shared" si="9"/>
        <v>0</v>
      </c>
      <c r="G74" s="415" t="s">
        <v>179</v>
      </c>
      <c r="H74" s="414">
        <f t="shared" si="10"/>
        <v>0</v>
      </c>
    </row>
    <row r="75" spans="1:8">
      <c r="A75" s="50" t="s">
        <v>805</v>
      </c>
      <c r="B75" s="220" t="s">
        <v>1064</v>
      </c>
      <c r="C75" s="220" t="s">
        <v>1045</v>
      </c>
      <c r="D75" s="413">
        <v>194</v>
      </c>
      <c r="E75" s="455">
        <f t="shared" ref="E75:E102" si="11">VLOOKUP(B75,$E$3:$F$9,2,FALSE)</f>
        <v>0</v>
      </c>
      <c r="F75" s="414">
        <f t="shared" si="9"/>
        <v>0</v>
      </c>
      <c r="G75" s="415" t="s">
        <v>1074</v>
      </c>
      <c r="H75" s="414">
        <f t="shared" si="10"/>
        <v>0</v>
      </c>
    </row>
    <row r="76" spans="1:8">
      <c r="A76" s="50" t="s">
        <v>805</v>
      </c>
      <c r="B76" s="220" t="s">
        <v>1065</v>
      </c>
      <c r="C76" s="220" t="s">
        <v>1045</v>
      </c>
      <c r="D76" s="456"/>
      <c r="E76" s="455">
        <f t="shared" si="11"/>
        <v>0</v>
      </c>
      <c r="F76" s="414">
        <f t="shared" si="9"/>
        <v>0</v>
      </c>
      <c r="G76" s="415" t="s">
        <v>1074</v>
      </c>
      <c r="H76" s="414">
        <f t="shared" si="10"/>
        <v>0</v>
      </c>
    </row>
    <row r="77" spans="1:8">
      <c r="A77" s="50" t="s">
        <v>805</v>
      </c>
      <c r="B77" s="452" t="s">
        <v>1066</v>
      </c>
      <c r="C77" s="452" t="s">
        <v>1045</v>
      </c>
      <c r="D77" s="456"/>
      <c r="E77" s="455">
        <f t="shared" si="11"/>
        <v>0</v>
      </c>
      <c r="F77" s="414">
        <f t="shared" si="9"/>
        <v>0</v>
      </c>
      <c r="G77" s="415" t="s">
        <v>1074</v>
      </c>
      <c r="H77" s="414">
        <f t="shared" si="10"/>
        <v>0</v>
      </c>
    </row>
    <row r="78" spans="1:8">
      <c r="A78" s="50" t="s">
        <v>805</v>
      </c>
      <c r="B78" s="452" t="s">
        <v>1073</v>
      </c>
      <c r="C78" s="452"/>
      <c r="D78" s="456"/>
      <c r="E78" s="455">
        <f t="shared" si="11"/>
        <v>0</v>
      </c>
      <c r="F78" s="414">
        <f t="shared" si="9"/>
        <v>0</v>
      </c>
      <c r="G78" s="415" t="s">
        <v>179</v>
      </c>
      <c r="H78" s="414">
        <f t="shared" si="10"/>
        <v>0</v>
      </c>
    </row>
    <row r="79" spans="1:8">
      <c r="A79" s="50" t="s">
        <v>1112</v>
      </c>
      <c r="B79" s="220" t="s">
        <v>1108</v>
      </c>
      <c r="C79" s="220"/>
      <c r="D79" s="466">
        <v>1899</v>
      </c>
      <c r="E79" s="455">
        <f t="shared" si="11"/>
        <v>0</v>
      </c>
      <c r="F79" s="414">
        <f t="shared" ref="F79:F102" si="12">(D79*E79)</f>
        <v>0</v>
      </c>
      <c r="G79" s="415" t="s">
        <v>1074</v>
      </c>
      <c r="H79" s="414">
        <f t="shared" ref="H79:H102" si="13">G79*F79</f>
        <v>0</v>
      </c>
    </row>
    <row r="80" spans="1:8">
      <c r="A80" s="50" t="s">
        <v>1112</v>
      </c>
      <c r="B80" s="220" t="s">
        <v>1065</v>
      </c>
      <c r="C80" s="220"/>
      <c r="D80" s="456"/>
      <c r="E80" s="455">
        <f t="shared" si="11"/>
        <v>0</v>
      </c>
      <c r="F80" s="414">
        <f t="shared" si="12"/>
        <v>0</v>
      </c>
      <c r="G80" s="415" t="s">
        <v>1074</v>
      </c>
      <c r="H80" s="414">
        <f t="shared" si="13"/>
        <v>0</v>
      </c>
    </row>
    <row r="81" spans="1:8">
      <c r="A81" s="50" t="s">
        <v>1112</v>
      </c>
      <c r="B81" s="452" t="s">
        <v>1066</v>
      </c>
      <c r="C81" s="452"/>
      <c r="D81" s="456"/>
      <c r="E81" s="455">
        <f t="shared" si="11"/>
        <v>0</v>
      </c>
      <c r="F81" s="414">
        <f t="shared" si="12"/>
        <v>0</v>
      </c>
      <c r="G81" s="415" t="s">
        <v>1074</v>
      </c>
      <c r="H81" s="414">
        <f t="shared" si="13"/>
        <v>0</v>
      </c>
    </row>
    <row r="82" spans="1:8">
      <c r="A82" s="50" t="s">
        <v>1112</v>
      </c>
      <c r="B82" s="452" t="s">
        <v>1073</v>
      </c>
      <c r="C82" s="452"/>
      <c r="D82" s="456"/>
      <c r="E82" s="455">
        <f t="shared" si="11"/>
        <v>0</v>
      </c>
      <c r="F82" s="414">
        <f t="shared" si="12"/>
        <v>0</v>
      </c>
      <c r="G82" s="415" t="s">
        <v>179</v>
      </c>
      <c r="H82" s="414">
        <f t="shared" si="13"/>
        <v>0</v>
      </c>
    </row>
    <row r="83" spans="1:8">
      <c r="A83" s="50" t="s">
        <v>1112</v>
      </c>
      <c r="B83" s="220" t="s">
        <v>1064</v>
      </c>
      <c r="C83" s="220" t="s">
        <v>1034</v>
      </c>
      <c r="D83" s="413">
        <v>264</v>
      </c>
      <c r="E83" s="455">
        <f t="shared" si="11"/>
        <v>0</v>
      </c>
      <c r="F83" s="414">
        <f t="shared" si="12"/>
        <v>0</v>
      </c>
      <c r="G83" s="415" t="s">
        <v>1074</v>
      </c>
      <c r="H83" s="414">
        <f t="shared" si="13"/>
        <v>0</v>
      </c>
    </row>
    <row r="84" spans="1:8">
      <c r="A84" s="50" t="s">
        <v>1112</v>
      </c>
      <c r="B84" s="220" t="s">
        <v>1065</v>
      </c>
      <c r="C84" s="220" t="s">
        <v>1034</v>
      </c>
      <c r="D84" s="456"/>
      <c r="E84" s="455">
        <f t="shared" si="11"/>
        <v>0</v>
      </c>
      <c r="F84" s="414">
        <f t="shared" si="12"/>
        <v>0</v>
      </c>
      <c r="G84" s="415" t="s">
        <v>1074</v>
      </c>
      <c r="H84" s="414">
        <f t="shared" si="13"/>
        <v>0</v>
      </c>
    </row>
    <row r="85" spans="1:8">
      <c r="A85" s="50" t="s">
        <v>1112</v>
      </c>
      <c r="B85" s="452" t="s">
        <v>1066</v>
      </c>
      <c r="C85" s="220" t="s">
        <v>1034</v>
      </c>
      <c r="D85" s="456"/>
      <c r="E85" s="455">
        <f t="shared" si="11"/>
        <v>0</v>
      </c>
      <c r="F85" s="414">
        <f t="shared" si="12"/>
        <v>0</v>
      </c>
      <c r="G85" s="415" t="s">
        <v>1074</v>
      </c>
      <c r="H85" s="414">
        <f t="shared" si="13"/>
        <v>0</v>
      </c>
    </row>
    <row r="86" spans="1:8">
      <c r="A86" s="50" t="s">
        <v>1112</v>
      </c>
      <c r="B86" s="452" t="s">
        <v>1073</v>
      </c>
      <c r="C86" s="220" t="s">
        <v>1034</v>
      </c>
      <c r="D86" s="413">
        <v>28</v>
      </c>
      <c r="E86" s="455">
        <f t="shared" si="11"/>
        <v>0</v>
      </c>
      <c r="F86" s="414">
        <f t="shared" si="12"/>
        <v>0</v>
      </c>
      <c r="G86" s="415" t="s">
        <v>179</v>
      </c>
      <c r="H86" s="414">
        <f t="shared" si="13"/>
        <v>0</v>
      </c>
    </row>
    <row r="87" spans="1:8">
      <c r="A87" s="429" t="s">
        <v>807</v>
      </c>
      <c r="B87" s="220" t="s">
        <v>1064</v>
      </c>
      <c r="C87" s="220"/>
      <c r="D87" s="413">
        <v>969</v>
      </c>
      <c r="E87" s="455">
        <f t="shared" si="11"/>
        <v>0</v>
      </c>
      <c r="F87" s="414">
        <f t="shared" si="12"/>
        <v>0</v>
      </c>
      <c r="G87" s="415" t="s">
        <v>1074</v>
      </c>
      <c r="H87" s="414">
        <f t="shared" si="13"/>
        <v>0</v>
      </c>
    </row>
    <row r="88" spans="1:8">
      <c r="A88" s="429" t="s">
        <v>807</v>
      </c>
      <c r="B88" s="220" t="s">
        <v>1065</v>
      </c>
      <c r="C88" s="220"/>
      <c r="D88" s="456"/>
      <c r="E88" s="455">
        <f t="shared" si="11"/>
        <v>0</v>
      </c>
      <c r="F88" s="414">
        <f t="shared" si="12"/>
        <v>0</v>
      </c>
      <c r="G88" s="415" t="s">
        <v>1074</v>
      </c>
      <c r="H88" s="414">
        <f t="shared" si="13"/>
        <v>0</v>
      </c>
    </row>
    <row r="89" spans="1:8">
      <c r="A89" s="429" t="s">
        <v>807</v>
      </c>
      <c r="B89" s="452" t="s">
        <v>1066</v>
      </c>
      <c r="C89" s="452"/>
      <c r="D89" s="456"/>
      <c r="E89" s="455">
        <f t="shared" si="11"/>
        <v>0</v>
      </c>
      <c r="F89" s="414">
        <f t="shared" si="12"/>
        <v>0</v>
      </c>
      <c r="G89" s="415" t="s">
        <v>1074</v>
      </c>
      <c r="H89" s="414">
        <f t="shared" si="13"/>
        <v>0</v>
      </c>
    </row>
    <row r="90" spans="1:8">
      <c r="A90" s="429" t="s">
        <v>807</v>
      </c>
      <c r="B90" s="452" t="s">
        <v>1073</v>
      </c>
      <c r="C90" s="452"/>
      <c r="D90" s="456"/>
      <c r="E90" s="455">
        <f t="shared" si="11"/>
        <v>0</v>
      </c>
      <c r="F90" s="414">
        <f t="shared" si="12"/>
        <v>0</v>
      </c>
      <c r="G90" s="415" t="s">
        <v>179</v>
      </c>
      <c r="H90" s="414">
        <f t="shared" si="13"/>
        <v>0</v>
      </c>
    </row>
    <row r="91" spans="1:8">
      <c r="A91" s="429" t="s">
        <v>818</v>
      </c>
      <c r="B91" s="220" t="s">
        <v>1108</v>
      </c>
      <c r="C91" s="220"/>
      <c r="D91" s="466">
        <v>1021</v>
      </c>
      <c r="E91" s="455">
        <f t="shared" si="11"/>
        <v>0</v>
      </c>
      <c r="F91" s="414">
        <f t="shared" si="12"/>
        <v>0</v>
      </c>
      <c r="G91" s="415" t="s">
        <v>1074</v>
      </c>
      <c r="H91" s="414">
        <f t="shared" si="13"/>
        <v>0</v>
      </c>
    </row>
    <row r="92" spans="1:8">
      <c r="A92" s="429" t="s">
        <v>818</v>
      </c>
      <c r="B92" s="220" t="s">
        <v>1065</v>
      </c>
      <c r="C92" s="220"/>
      <c r="D92" s="456"/>
      <c r="E92" s="455">
        <f t="shared" si="11"/>
        <v>0</v>
      </c>
      <c r="F92" s="414">
        <f t="shared" si="12"/>
        <v>0</v>
      </c>
      <c r="G92" s="415" t="s">
        <v>1074</v>
      </c>
      <c r="H92" s="414">
        <f t="shared" si="13"/>
        <v>0</v>
      </c>
    </row>
    <row r="93" spans="1:8">
      <c r="A93" s="429" t="s">
        <v>818</v>
      </c>
      <c r="B93" s="452" t="s">
        <v>1066</v>
      </c>
      <c r="C93" s="452"/>
      <c r="D93" s="456"/>
      <c r="E93" s="455">
        <f t="shared" si="11"/>
        <v>0</v>
      </c>
      <c r="F93" s="414">
        <f t="shared" si="12"/>
        <v>0</v>
      </c>
      <c r="G93" s="415" t="s">
        <v>1074</v>
      </c>
      <c r="H93" s="414">
        <f t="shared" si="13"/>
        <v>0</v>
      </c>
    </row>
    <row r="94" spans="1:8">
      <c r="A94" s="429" t="s">
        <v>818</v>
      </c>
      <c r="B94" s="452" t="s">
        <v>1073</v>
      </c>
      <c r="C94" s="452"/>
      <c r="D94" s="456"/>
      <c r="E94" s="455">
        <f t="shared" si="11"/>
        <v>0</v>
      </c>
      <c r="F94" s="414">
        <f t="shared" si="12"/>
        <v>0</v>
      </c>
      <c r="G94" s="415" t="s">
        <v>179</v>
      </c>
      <c r="H94" s="414">
        <f t="shared" si="13"/>
        <v>0</v>
      </c>
    </row>
    <row r="95" spans="1:8">
      <c r="A95" s="429" t="s">
        <v>818</v>
      </c>
      <c r="B95" s="220" t="s">
        <v>1064</v>
      </c>
      <c r="C95" s="220" t="s">
        <v>1034</v>
      </c>
      <c r="D95" s="456"/>
      <c r="E95" s="455">
        <f t="shared" si="11"/>
        <v>0</v>
      </c>
      <c r="F95" s="414">
        <f t="shared" si="12"/>
        <v>0</v>
      </c>
      <c r="G95" s="415" t="s">
        <v>1074</v>
      </c>
      <c r="H95" s="414">
        <f t="shared" si="13"/>
        <v>0</v>
      </c>
    </row>
    <row r="96" spans="1:8">
      <c r="A96" s="429" t="s">
        <v>818</v>
      </c>
      <c r="B96" s="220" t="s">
        <v>1065</v>
      </c>
      <c r="C96" s="220" t="s">
        <v>1034</v>
      </c>
      <c r="D96" s="413">
        <v>257</v>
      </c>
      <c r="E96" s="455">
        <f t="shared" si="11"/>
        <v>0</v>
      </c>
      <c r="F96" s="414">
        <f t="shared" si="12"/>
        <v>0</v>
      </c>
      <c r="G96" s="415" t="s">
        <v>1074</v>
      </c>
      <c r="H96" s="414">
        <f t="shared" si="13"/>
        <v>0</v>
      </c>
    </row>
    <row r="97" spans="1:8">
      <c r="A97" s="429" t="s">
        <v>818</v>
      </c>
      <c r="B97" s="452" t="s">
        <v>1066</v>
      </c>
      <c r="C97" s="220" t="s">
        <v>1034</v>
      </c>
      <c r="D97" s="456"/>
      <c r="E97" s="455">
        <f t="shared" si="11"/>
        <v>0</v>
      </c>
      <c r="F97" s="414">
        <f t="shared" si="12"/>
        <v>0</v>
      </c>
      <c r="G97" s="415" t="s">
        <v>1074</v>
      </c>
      <c r="H97" s="414">
        <f t="shared" si="13"/>
        <v>0</v>
      </c>
    </row>
    <row r="98" spans="1:8">
      <c r="A98" s="429" t="s">
        <v>818</v>
      </c>
      <c r="B98" s="452" t="s">
        <v>1073</v>
      </c>
      <c r="C98" s="220" t="s">
        <v>1034</v>
      </c>
      <c r="D98" s="456"/>
      <c r="E98" s="455">
        <f t="shared" si="11"/>
        <v>0</v>
      </c>
      <c r="F98" s="414">
        <f t="shared" si="12"/>
        <v>0</v>
      </c>
      <c r="G98" s="415" t="s">
        <v>179</v>
      </c>
      <c r="H98" s="414">
        <f t="shared" si="13"/>
        <v>0</v>
      </c>
    </row>
    <row r="99" spans="1:8">
      <c r="A99" s="222" t="s">
        <v>806</v>
      </c>
      <c r="B99" s="220" t="s">
        <v>1064</v>
      </c>
      <c r="C99" s="220"/>
      <c r="D99" s="413">
        <v>236</v>
      </c>
      <c r="E99" s="455">
        <f t="shared" si="11"/>
        <v>0</v>
      </c>
      <c r="F99" s="414">
        <f t="shared" si="12"/>
        <v>0</v>
      </c>
      <c r="G99" s="415" t="s">
        <v>1074</v>
      </c>
      <c r="H99" s="414">
        <f t="shared" si="13"/>
        <v>0</v>
      </c>
    </row>
    <row r="100" spans="1:8">
      <c r="A100" s="222" t="s">
        <v>806</v>
      </c>
      <c r="B100" s="220" t="s">
        <v>1065</v>
      </c>
      <c r="C100" s="220"/>
      <c r="D100" s="413">
        <v>503</v>
      </c>
      <c r="E100" s="455">
        <f t="shared" si="11"/>
        <v>0</v>
      </c>
      <c r="F100" s="414">
        <f t="shared" si="12"/>
        <v>0</v>
      </c>
      <c r="G100" s="415" t="s">
        <v>1074</v>
      </c>
      <c r="H100" s="414">
        <f t="shared" si="13"/>
        <v>0</v>
      </c>
    </row>
    <row r="101" spans="1:8">
      <c r="A101" s="222" t="s">
        <v>806</v>
      </c>
      <c r="B101" s="452" t="s">
        <v>1066</v>
      </c>
      <c r="C101" s="452"/>
      <c r="D101" s="456"/>
      <c r="E101" s="455">
        <f t="shared" si="11"/>
        <v>0</v>
      </c>
      <c r="F101" s="414">
        <f t="shared" si="12"/>
        <v>0</v>
      </c>
      <c r="G101" s="415" t="s">
        <v>1074</v>
      </c>
      <c r="H101" s="414">
        <f t="shared" si="13"/>
        <v>0</v>
      </c>
    </row>
    <row r="102" spans="1:8">
      <c r="A102" s="222" t="s">
        <v>806</v>
      </c>
      <c r="B102" s="452" t="s">
        <v>1073</v>
      </c>
      <c r="C102" s="452"/>
      <c r="D102" s="456"/>
      <c r="E102" s="455">
        <f t="shared" si="11"/>
        <v>0</v>
      </c>
      <c r="F102" s="414">
        <f t="shared" si="12"/>
        <v>0</v>
      </c>
      <c r="G102" s="415" t="s">
        <v>179</v>
      </c>
      <c r="H102" s="414">
        <f t="shared" si="13"/>
        <v>0</v>
      </c>
    </row>
    <row r="103" spans="1:8">
      <c r="B103" s="225"/>
      <c r="C103" s="225"/>
      <c r="D103" s="416"/>
      <c r="E103" s="416"/>
      <c r="F103" s="416"/>
      <c r="G103" s="416"/>
      <c r="H103" s="416"/>
    </row>
    <row r="104" spans="1:8">
      <c r="A104" s="227" t="s">
        <v>8</v>
      </c>
      <c r="B104" s="228"/>
      <c r="C104" s="229"/>
      <c r="D104" s="417">
        <f>SUM(D11:D102)</f>
        <v>14591.869999999999</v>
      </c>
      <c r="E104" s="418"/>
      <c r="F104" s="419"/>
      <c r="G104" s="420"/>
      <c r="H104" s="421">
        <f>SUM(H11:H102)</f>
        <v>0</v>
      </c>
    </row>
    <row r="105" spans="1:8">
      <c r="D105" s="457"/>
    </row>
  </sheetData>
  <autoFilter ref="A10:Z102"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D46"/>
  <sheetViews>
    <sheetView showGridLines="0" showZeros="0" tabSelected="1" zoomScale="70" zoomScaleNormal="70" workbookViewId="0">
      <pane xSplit="1" ySplit="13" topLeftCell="B14" activePane="bottomRight" state="frozen"/>
      <selection pane="topRight" activeCell="B1" sqref="B1"/>
      <selection pane="bottomLeft" activeCell="A15" sqref="A15"/>
      <selection pane="bottomRight" activeCell="D6" sqref="D6"/>
    </sheetView>
  </sheetViews>
  <sheetFormatPr defaultColWidth="8.6640625" defaultRowHeight="14.1" customHeight="1"/>
  <cols>
    <col min="1" max="1" width="34.6640625" style="37" customWidth="1"/>
    <col min="2" max="2" width="16.44140625" style="37" customWidth="1"/>
    <col min="3" max="3" width="21.109375" style="37" customWidth="1"/>
    <col min="4" max="4" width="16.44140625" style="38" customWidth="1"/>
    <col min="5" max="5" width="22.109375" style="38" customWidth="1"/>
    <col min="6" max="6" width="17.88671875" style="38" customWidth="1"/>
    <col min="7" max="7" width="20.33203125" style="38" customWidth="1"/>
    <col min="8" max="8" width="15.6640625" style="38" customWidth="1"/>
    <col min="9" max="9" width="21.5546875" style="38" customWidth="1"/>
    <col min="10" max="10" width="18.5546875" style="38" customWidth="1"/>
    <col min="11" max="11" width="17.44140625" style="38" customWidth="1"/>
    <col min="12" max="12" width="16.21875" style="38" customWidth="1"/>
    <col min="13" max="13" width="25.109375" style="38" customWidth="1"/>
    <col min="14" max="14" width="23.5546875" style="38" customWidth="1"/>
    <col min="15" max="15" width="20.21875" style="38" customWidth="1"/>
    <col min="16" max="16" width="16.6640625" style="38" bestFit="1" customWidth="1"/>
    <col min="17" max="17" width="16.21875" bestFit="1" customWidth="1"/>
    <col min="18" max="18" width="16.6640625" style="38" bestFit="1" customWidth="1"/>
    <col min="19" max="19" width="13.6640625" style="38" customWidth="1"/>
    <col min="20" max="24" width="13.33203125" style="38" customWidth="1"/>
    <col min="25" max="25" width="14.77734375" style="38" customWidth="1"/>
    <col min="26" max="29" width="13.33203125" style="38" customWidth="1"/>
    <col min="30" max="16384" width="8.6640625" style="37"/>
  </cols>
  <sheetData>
    <row r="1" spans="1:30" ht="14.1" customHeight="1">
      <c r="A1" s="314" t="s">
        <v>22</v>
      </c>
      <c r="D1" s="315" t="s">
        <v>168</v>
      </c>
      <c r="E1" s="316"/>
      <c r="F1" s="39"/>
      <c r="G1" s="317" t="s">
        <v>167</v>
      </c>
      <c r="H1" s="318"/>
      <c r="I1" s="318"/>
      <c r="J1" s="318"/>
      <c r="K1" s="318"/>
      <c r="L1" s="319"/>
      <c r="M1" s="300" t="e">
        <f>M36</f>
        <v>#DIV/0!</v>
      </c>
      <c r="N1" s="445"/>
      <c r="O1"/>
      <c r="P1"/>
      <c r="R1"/>
      <c r="AA1" s="37"/>
      <c r="AB1" s="37"/>
      <c r="AC1" s="37"/>
    </row>
    <row r="2" spans="1:30" ht="14.1" customHeight="1">
      <c r="D2" s="301">
        <v>0</v>
      </c>
      <c r="E2" s="40" t="s">
        <v>169</v>
      </c>
      <c r="F2" s="39"/>
      <c r="G2" s="41" t="s">
        <v>9</v>
      </c>
      <c r="H2" s="42"/>
      <c r="I2" s="42"/>
      <c r="J2" s="42"/>
      <c r="K2" s="42"/>
      <c r="L2" s="43">
        <v>0.21</v>
      </c>
      <c r="M2" s="303" t="e">
        <f>L2*M1</f>
        <v>#DIV/0!</v>
      </c>
      <c r="N2" s="445"/>
      <c r="O2"/>
      <c r="P2"/>
      <c r="R2"/>
      <c r="AA2" s="37"/>
      <c r="AB2" s="37"/>
      <c r="AC2" s="37"/>
    </row>
    <row r="3" spans="1:30" ht="14.1" customHeight="1">
      <c r="A3" s="35" t="s">
        <v>26</v>
      </c>
      <c r="B3" s="36" t="s">
        <v>1051</v>
      </c>
      <c r="D3" s="39"/>
      <c r="F3" s="39"/>
      <c r="G3" s="41" t="s">
        <v>23</v>
      </c>
      <c r="H3" s="42"/>
      <c r="I3" s="42"/>
      <c r="J3" s="42"/>
      <c r="K3" s="42"/>
      <c r="L3" s="42"/>
      <c r="M3" s="304" t="e">
        <f>M1+M2</f>
        <v>#DIV/0!</v>
      </c>
      <c r="N3" s="445"/>
      <c r="O3"/>
      <c r="P3"/>
      <c r="R3"/>
      <c r="Y3" s="39"/>
      <c r="Z3" s="39"/>
      <c r="AA3" s="37"/>
      <c r="AB3" s="37"/>
      <c r="AC3" s="37"/>
    </row>
    <row r="4" spans="1:30" ht="14.1" customHeight="1">
      <c r="A4" s="35" t="s">
        <v>13</v>
      </c>
      <c r="B4" s="36" t="str">
        <f ca="1">MID(CELL("bestandsnaam",$B$12),SEARCH("]",CELL("bestandsnaam",$B$12),1)+1,256)</f>
        <v>2-Kosten per locatie</v>
      </c>
      <c r="D4" s="315" t="s">
        <v>170</v>
      </c>
      <c r="E4" s="316"/>
      <c r="F4" s="39"/>
      <c r="G4" s="42"/>
      <c r="H4" s="42"/>
      <c r="I4" s="42"/>
      <c r="J4" s="42"/>
      <c r="K4" s="42"/>
      <c r="L4" s="42"/>
      <c r="M4" s="302"/>
      <c r="N4" s="445"/>
      <c r="O4"/>
      <c r="P4"/>
      <c r="R4"/>
      <c r="Y4" s="39"/>
      <c r="Z4" s="39"/>
      <c r="AA4" s="37"/>
      <c r="AB4" s="37"/>
      <c r="AC4" s="37"/>
    </row>
    <row r="5" spans="1:30" ht="14.1" customHeight="1">
      <c r="A5" s="35" t="s">
        <v>72</v>
      </c>
      <c r="B5" s="36" t="s">
        <v>1052</v>
      </c>
      <c r="D5" s="305">
        <v>0</v>
      </c>
      <c r="E5" s="40" t="s">
        <v>171</v>
      </c>
      <c r="F5" s="39"/>
      <c r="G5" s="320" t="s">
        <v>175</v>
      </c>
      <c r="H5" s="321"/>
      <c r="I5" s="321"/>
      <c r="J5" s="321"/>
      <c r="K5" s="321"/>
      <c r="L5" s="321"/>
      <c r="M5" s="306">
        <v>590000</v>
      </c>
      <c r="N5" s="445"/>
      <c r="O5"/>
      <c r="P5"/>
      <c r="R5"/>
      <c r="Y5" s="39"/>
      <c r="Z5" s="39"/>
      <c r="AA5" s="37"/>
      <c r="AB5" s="37"/>
      <c r="AC5" s="37"/>
    </row>
    <row r="6" spans="1:30" ht="14.1" customHeight="1">
      <c r="A6" s="35" t="s">
        <v>162</v>
      </c>
      <c r="B6" s="36" t="s">
        <v>1106</v>
      </c>
      <c r="D6" s="39"/>
      <c r="E6" s="39"/>
      <c r="F6" s="39"/>
      <c r="G6" s="320" t="s">
        <v>176</v>
      </c>
      <c r="H6" s="321"/>
      <c r="I6" s="321"/>
      <c r="J6" s="321"/>
      <c r="K6" s="321"/>
      <c r="L6" s="321"/>
      <c r="M6" s="306">
        <v>531000</v>
      </c>
      <c r="N6" s="445"/>
      <c r="Y6" s="39"/>
      <c r="Z6" s="39"/>
      <c r="AA6" s="37"/>
      <c r="AB6" s="37"/>
      <c r="AC6" s="37"/>
    </row>
    <row r="7" spans="1:30" ht="14.1" customHeight="1">
      <c r="A7" s="35" t="s">
        <v>148</v>
      </c>
      <c r="B7" s="240" t="s">
        <v>1107</v>
      </c>
      <c r="C7" s="513"/>
      <c r="D7" s="39"/>
      <c r="E7" s="39"/>
      <c r="F7" s="39"/>
      <c r="G7"/>
      <c r="H7"/>
      <c r="I7"/>
      <c r="J7"/>
      <c r="K7"/>
      <c r="L7"/>
      <c r="M7"/>
      <c r="N7"/>
      <c r="O7"/>
      <c r="P7"/>
      <c r="R7" s="37"/>
      <c r="Y7" s="39"/>
      <c r="Z7" s="39"/>
      <c r="AA7" s="37"/>
      <c r="AB7" s="37"/>
      <c r="AC7" s="37"/>
    </row>
    <row r="8" spans="1:30" ht="14.1" customHeight="1">
      <c r="A8" s="35" t="s">
        <v>10</v>
      </c>
      <c r="B8" s="45">
        <v>45474</v>
      </c>
      <c r="D8" s="39"/>
      <c r="E8" s="39"/>
      <c r="F8" s="39"/>
      <c r="G8"/>
      <c r="H8"/>
      <c r="I8"/>
      <c r="J8"/>
      <c r="K8"/>
      <c r="L8"/>
      <c r="M8"/>
      <c r="N8"/>
      <c r="O8"/>
      <c r="P8"/>
      <c r="R8" s="39"/>
      <c r="S8" s="39"/>
      <c r="T8" s="39"/>
      <c r="U8" s="46"/>
      <c r="V8" s="46"/>
      <c r="W8" s="46"/>
      <c r="X8" s="46"/>
      <c r="Y8" s="46"/>
      <c r="Z8" s="39"/>
      <c r="AA8" s="39"/>
      <c r="AB8" s="37"/>
      <c r="AC8" s="37"/>
    </row>
    <row r="9" spans="1:30" ht="14.1" customHeight="1">
      <c r="A9" s="35" t="s">
        <v>190</v>
      </c>
      <c r="B9" s="47" t="s">
        <v>191</v>
      </c>
      <c r="D9" s="39"/>
      <c r="E9" s="39"/>
      <c r="F9" s="39"/>
      <c r="G9"/>
      <c r="H9"/>
      <c r="I9"/>
      <c r="J9"/>
      <c r="K9"/>
      <c r="L9"/>
      <c r="M9"/>
      <c r="N9"/>
      <c r="O9"/>
      <c r="P9"/>
      <c r="R9" s="37"/>
      <c r="S9" s="481"/>
      <c r="T9" s="37"/>
      <c r="U9" s="37"/>
      <c r="V9" s="37"/>
      <c r="W9" s="37"/>
      <c r="X9" s="37"/>
      <c r="Y9" s="37"/>
      <c r="Z9" s="39"/>
      <c r="AA9" s="39"/>
      <c r="AB9" s="37"/>
      <c r="AC9" s="37"/>
    </row>
    <row r="10" spans="1:30" ht="13.8" customHeight="1">
      <c r="A10" s="35" t="s">
        <v>1147</v>
      </c>
      <c r="B10" s="487">
        <v>1</v>
      </c>
      <c r="C10" s="35"/>
      <c r="D10" s="39"/>
      <c r="E10" s="39"/>
      <c r="F10" s="39"/>
      <c r="G10"/>
      <c r="H10"/>
      <c r="I10"/>
      <c r="J10"/>
      <c r="K10"/>
      <c r="L10"/>
      <c r="M10"/>
      <c r="N10"/>
      <c r="O10"/>
      <c r="P10"/>
      <c r="R10" s="480"/>
      <c r="S10" s="482"/>
      <c r="T10" s="39"/>
      <c r="U10" s="39"/>
      <c r="V10" s="39"/>
      <c r="W10" s="39"/>
      <c r="X10" s="39"/>
      <c r="Y10" s="39"/>
      <c r="Z10" s="39"/>
      <c r="AA10" s="39"/>
      <c r="AB10" s="39"/>
      <c r="AC10" s="39"/>
    </row>
    <row r="11" spans="1:30" ht="18" customHeight="1">
      <c r="A11" s="35"/>
      <c r="B11" s="35"/>
      <c r="C11" s="35"/>
      <c r="D11" s="39"/>
      <c r="E11" s="39"/>
      <c r="F11" s="39"/>
      <c r="G11"/>
      <c r="H11"/>
      <c r="I11"/>
      <c r="J11"/>
      <c r="K11"/>
      <c r="L11"/>
      <c r="M11"/>
      <c r="N11"/>
      <c r="O11"/>
      <c r="P11"/>
      <c r="R11" s="39"/>
      <c r="S11" s="39"/>
      <c r="T11" s="39"/>
      <c r="U11" s="39"/>
      <c r="V11" s="39"/>
      <c r="W11" s="39"/>
      <c r="X11" s="39"/>
      <c r="Y11" s="39"/>
      <c r="Z11" s="39"/>
      <c r="AA11" s="39"/>
      <c r="AB11" s="39"/>
      <c r="AC11" s="39"/>
    </row>
    <row r="12" spans="1:30" ht="18" customHeight="1">
      <c r="A12" s="49"/>
      <c r="B12" s="49"/>
      <c r="C12" s="49"/>
      <c r="D12" s="49"/>
      <c r="E12" s="49"/>
      <c r="F12" s="49"/>
      <c r="J12" s="48"/>
      <c r="N12" s="445"/>
      <c r="X12" s="39"/>
      <c r="Y12" s="39"/>
      <c r="Z12" s="39"/>
      <c r="AA12" s="39"/>
      <c r="AB12" s="39"/>
      <c r="AC12" s="39"/>
      <c r="AD12" s="39"/>
    </row>
    <row r="13" spans="1:30" ht="76.2" customHeight="1">
      <c r="A13" s="322" t="s">
        <v>94</v>
      </c>
      <c r="B13" s="322" t="s">
        <v>1113</v>
      </c>
      <c r="C13" s="323" t="s">
        <v>137</v>
      </c>
      <c r="D13" s="324" t="s">
        <v>174</v>
      </c>
      <c r="E13" s="325" t="s">
        <v>172</v>
      </c>
      <c r="F13" s="326" t="s">
        <v>194</v>
      </c>
      <c r="G13" s="327" t="s">
        <v>183</v>
      </c>
      <c r="H13" s="327" t="s">
        <v>138</v>
      </c>
      <c r="I13" s="329" t="s">
        <v>184</v>
      </c>
      <c r="J13" s="329" t="s">
        <v>182</v>
      </c>
      <c r="K13" s="329" t="s">
        <v>181</v>
      </c>
      <c r="L13" s="329" t="s">
        <v>1075</v>
      </c>
      <c r="M13" s="329" t="s">
        <v>139</v>
      </c>
      <c r="N13" s="329" t="s">
        <v>140</v>
      </c>
      <c r="O13" s="445"/>
      <c r="P13"/>
      <c r="Q13" s="37"/>
      <c r="R13" s="37"/>
      <c r="S13" s="37"/>
      <c r="T13" s="37"/>
      <c r="U13" s="37"/>
      <c r="V13" s="37"/>
      <c r="W13" s="37"/>
      <c r="X13" s="37"/>
      <c r="Y13" s="37"/>
      <c r="Z13" s="37"/>
      <c r="AA13" s="37"/>
      <c r="AB13" s="37"/>
      <c r="AC13" s="37"/>
    </row>
    <row r="14" spans="1:30" s="52" customFormat="1" ht="15" customHeight="1">
      <c r="A14" s="50" t="s">
        <v>810</v>
      </c>
      <c r="B14" s="469" t="s">
        <v>1121</v>
      </c>
      <c r="C14" s="465">
        <f>SUMIF('4-Basis ruimtestaat'!B:B,'2-Kosten per locatie'!A14,'4-Basis ruimtestaat'!J:J)</f>
        <v>1373.0699996519093</v>
      </c>
      <c r="D14" s="307">
        <v>1</v>
      </c>
      <c r="E14" s="308">
        <f>_xlfn.MAXIFS('4-Basis ruimtestaat'!L:L,'4-Basis ruimtestaat'!B:B,'2-Kosten per locatie'!A14)</f>
        <v>236</v>
      </c>
      <c r="F14" s="438" t="e">
        <f>SUMIF('4-Basis ruimtestaat'!B:B,'2-Kosten per locatie'!A14,'4-Basis ruimtestaat'!N:N)</f>
        <v>#DIV/0!</v>
      </c>
      <c r="G14" s="310" t="e">
        <f t="shared" ref="G14:G35" si="0">IF(F14&lt;(E14*$D$2),E14*$D$2-F14,0)</f>
        <v>#DIV/0!</v>
      </c>
      <c r="H14" s="309" t="e">
        <f t="shared" ref="H14:H35" si="1">F14*$D$5</f>
        <v>#DIV/0!</v>
      </c>
      <c r="I14" s="440" t="e">
        <f>(F14+G14)*'6-Opbouw uurtarief productie'!$E$47</f>
        <v>#DIV/0!</v>
      </c>
      <c r="J14" s="441" t="e">
        <f>H14*'7-Opbouw uurtarief toezicht'!$E$46</f>
        <v>#DIV/0!</v>
      </c>
      <c r="K14" s="442">
        <f>SUMIF('9-Vloeronderhoud'!A:A,A14,'9-Vloeronderhoud'!K:K)</f>
        <v>0</v>
      </c>
      <c r="L14" s="443">
        <f>SUMIF('10-Glasbewassing'!A:A,A14,'10-Glasbewassing'!H:H)</f>
        <v>0</v>
      </c>
      <c r="M14" s="443" t="e">
        <f t="shared" ref="M14:M35" si="2">SUM(I14:K14)</f>
        <v>#DIV/0!</v>
      </c>
      <c r="N14" s="443" t="e">
        <f>M14/12</f>
        <v>#DIV/0!</v>
      </c>
      <c r="O14" s="445"/>
    </row>
    <row r="15" spans="1:30" ht="15" customHeight="1">
      <c r="A15" s="50" t="s">
        <v>805</v>
      </c>
      <c r="B15" s="468" t="s">
        <v>1117</v>
      </c>
      <c r="C15" s="465">
        <f>SUMIF('4-Basis ruimtestaat'!B:B,'2-Kosten per locatie'!A15,'4-Basis ruimtestaat'!J:J)</f>
        <v>2337.8400044965751</v>
      </c>
      <c r="D15" s="307">
        <v>1</v>
      </c>
      <c r="E15" s="308">
        <f>_xlfn.MAXIFS('4-Basis ruimtestaat'!L:L,'4-Basis ruimtestaat'!B:B,'2-Kosten per locatie'!A15)</f>
        <v>255</v>
      </c>
      <c r="F15" s="438" t="e">
        <f>SUMIF('4-Basis ruimtestaat'!B:B,'2-Kosten per locatie'!A15,'4-Basis ruimtestaat'!N:N)</f>
        <v>#DIV/0!</v>
      </c>
      <c r="G15" s="310" t="e">
        <f t="shared" si="0"/>
        <v>#DIV/0!</v>
      </c>
      <c r="H15" s="309" t="e">
        <f t="shared" si="1"/>
        <v>#DIV/0!</v>
      </c>
      <c r="I15" s="440" t="e">
        <f>(F15+G15)*'6-Opbouw uurtarief productie'!$E$47</f>
        <v>#DIV/0!</v>
      </c>
      <c r="J15" s="441" t="e">
        <f>H15*'7-Opbouw uurtarief toezicht'!$E$46</f>
        <v>#DIV/0!</v>
      </c>
      <c r="K15" s="442">
        <f>SUMIF('9-Vloeronderhoud'!A:A,A15,'9-Vloeronderhoud'!K:K)</f>
        <v>0</v>
      </c>
      <c r="L15" s="443">
        <f>SUMIF('10-Glasbewassing'!A:A,A15,'10-Glasbewassing'!H:H)</f>
        <v>0</v>
      </c>
      <c r="M15" s="443" t="e">
        <f t="shared" si="2"/>
        <v>#DIV/0!</v>
      </c>
      <c r="N15" s="443" t="e">
        <f t="shared" ref="N15:N16" si="3">M15/12</f>
        <v>#DIV/0!</v>
      </c>
      <c r="O15" s="445"/>
      <c r="P15"/>
      <c r="Q15" s="37"/>
      <c r="R15" s="37"/>
      <c r="S15" s="37"/>
      <c r="T15" s="37"/>
      <c r="U15" s="37"/>
      <c r="V15" s="37"/>
      <c r="W15" s="37"/>
      <c r="X15" s="37"/>
      <c r="Y15" s="37"/>
      <c r="Z15" s="37"/>
      <c r="AA15" s="37"/>
      <c r="AB15" s="37"/>
      <c r="AC15" s="37"/>
    </row>
    <row r="16" spans="1:30" ht="15" customHeight="1">
      <c r="A16" s="50" t="s">
        <v>815</v>
      </c>
      <c r="B16" s="468" t="s">
        <v>1115</v>
      </c>
      <c r="C16" s="465">
        <f>SUMIF('4-Basis ruimtestaat'!B:B,'2-Kosten per locatie'!A16,'4-Basis ruimtestaat'!J:J)</f>
        <v>1728.9400048160553</v>
      </c>
      <c r="D16" s="307">
        <v>1</v>
      </c>
      <c r="E16" s="308">
        <f>_xlfn.MAXIFS('4-Basis ruimtestaat'!L:L,'4-Basis ruimtestaat'!B:B,'2-Kosten per locatie'!A16)</f>
        <v>255</v>
      </c>
      <c r="F16" s="438" t="e">
        <f>SUMIF('4-Basis ruimtestaat'!B:B,'2-Kosten per locatie'!A16,'4-Basis ruimtestaat'!N:N)</f>
        <v>#DIV/0!</v>
      </c>
      <c r="G16" s="310" t="e">
        <f t="shared" si="0"/>
        <v>#DIV/0!</v>
      </c>
      <c r="H16" s="309" t="e">
        <f t="shared" si="1"/>
        <v>#DIV/0!</v>
      </c>
      <c r="I16" s="440" t="e">
        <f>(F16+G16)*'6-Opbouw uurtarief productie'!$E$47</f>
        <v>#DIV/0!</v>
      </c>
      <c r="J16" s="441" t="e">
        <f>H16*'7-Opbouw uurtarief toezicht'!$E$46</f>
        <v>#DIV/0!</v>
      </c>
      <c r="K16" s="442">
        <f>SUMIF('9-Vloeronderhoud'!A:A,A16,'9-Vloeronderhoud'!K:K)</f>
        <v>0</v>
      </c>
      <c r="L16" s="443">
        <f>SUMIF('10-Glasbewassing'!A:A,A16,'10-Glasbewassing'!H:H)</f>
        <v>0</v>
      </c>
      <c r="M16" s="443" t="e">
        <f t="shared" si="2"/>
        <v>#DIV/0!</v>
      </c>
      <c r="N16" s="443" t="e">
        <f t="shared" si="3"/>
        <v>#DIV/0!</v>
      </c>
      <c r="O16" s="445"/>
      <c r="P16"/>
      <c r="Q16" s="37"/>
      <c r="R16" s="37"/>
      <c r="S16" s="37"/>
      <c r="T16" s="37"/>
      <c r="U16" s="37"/>
      <c r="V16" s="37"/>
      <c r="W16" s="37"/>
      <c r="X16" s="37"/>
      <c r="Y16" s="37"/>
      <c r="Z16" s="37"/>
      <c r="AA16" s="37"/>
      <c r="AB16" s="37"/>
      <c r="AC16" s="37"/>
    </row>
    <row r="17" spans="1:29" ht="15" customHeight="1">
      <c r="A17" s="51" t="s">
        <v>812</v>
      </c>
      <c r="B17" s="469" t="s">
        <v>1127</v>
      </c>
      <c r="C17" s="465">
        <f>SUMIF('4-Basis ruimtestaat'!B:B,'2-Kosten per locatie'!A17,'4-Basis ruimtestaat'!J:J)</f>
        <v>929.57999933242797</v>
      </c>
      <c r="D17" s="307">
        <v>1</v>
      </c>
      <c r="E17" s="308">
        <f>_xlfn.MAXIFS('4-Basis ruimtestaat'!L:L,'4-Basis ruimtestaat'!B:B,'2-Kosten per locatie'!A17)</f>
        <v>201</v>
      </c>
      <c r="F17" s="438" t="e">
        <f>SUMIF('4-Basis ruimtestaat'!B:B,'2-Kosten per locatie'!A17,'4-Basis ruimtestaat'!N:N)</f>
        <v>#DIV/0!</v>
      </c>
      <c r="G17" s="310" t="e">
        <f t="shared" si="0"/>
        <v>#DIV/0!</v>
      </c>
      <c r="H17" s="309" t="e">
        <f t="shared" si="1"/>
        <v>#DIV/0!</v>
      </c>
      <c r="I17" s="440" t="e">
        <f>(F17+G17)*'6-Opbouw uurtarief productie'!$E$47</f>
        <v>#DIV/0!</v>
      </c>
      <c r="J17" s="441" t="e">
        <f>H17*'7-Opbouw uurtarief toezicht'!$E$46</f>
        <v>#DIV/0!</v>
      </c>
      <c r="K17" s="442">
        <f>SUMIF('9-Vloeronderhoud'!A:A,A17,'9-Vloeronderhoud'!K:K)</f>
        <v>0</v>
      </c>
      <c r="L17" s="443">
        <f>SUMIF('10-Glasbewassing'!A:A,A17,'10-Glasbewassing'!H:H)</f>
        <v>0</v>
      </c>
      <c r="M17" s="443" t="e">
        <f t="shared" si="2"/>
        <v>#DIV/0!</v>
      </c>
      <c r="N17" s="443" t="e">
        <f t="shared" ref="N17:N18" si="4">M17/12</f>
        <v>#DIV/0!</v>
      </c>
      <c r="O17" s="445"/>
      <c r="P17"/>
      <c r="Q17" s="37"/>
      <c r="R17" s="37"/>
      <c r="S17" s="37"/>
      <c r="T17" s="37"/>
      <c r="U17" s="37"/>
      <c r="V17" s="37"/>
      <c r="W17" s="37"/>
      <c r="X17" s="37"/>
      <c r="Y17" s="37"/>
      <c r="Z17" s="37"/>
      <c r="AA17" s="37"/>
      <c r="AB17" s="37"/>
      <c r="AC17" s="37"/>
    </row>
    <row r="18" spans="1:29" ht="15" customHeight="1">
      <c r="A18" s="51" t="s">
        <v>813</v>
      </c>
      <c r="B18" s="468" t="s">
        <v>1114</v>
      </c>
      <c r="C18" s="465">
        <f>SUMIF('4-Basis ruimtestaat'!B:B,'2-Kosten per locatie'!A18,'4-Basis ruimtestaat'!J:J)</f>
        <v>1289.170003693104</v>
      </c>
      <c r="D18" s="307">
        <v>1</v>
      </c>
      <c r="E18" s="308">
        <f>_xlfn.MAXIFS('4-Basis ruimtestaat'!L:L,'4-Basis ruimtestaat'!B:B,'2-Kosten per locatie'!A18)</f>
        <v>255</v>
      </c>
      <c r="F18" s="438" t="e">
        <f>SUMIF('4-Basis ruimtestaat'!B:B,'2-Kosten per locatie'!A18,'4-Basis ruimtestaat'!N:N)</f>
        <v>#DIV/0!</v>
      </c>
      <c r="G18" s="310" t="e">
        <f t="shared" si="0"/>
        <v>#DIV/0!</v>
      </c>
      <c r="H18" s="309" t="e">
        <f t="shared" si="1"/>
        <v>#DIV/0!</v>
      </c>
      <c r="I18" s="440" t="e">
        <f>(F18+G18)*'6-Opbouw uurtarief productie'!$E$47</f>
        <v>#DIV/0!</v>
      </c>
      <c r="J18" s="441" t="e">
        <f>H18*'7-Opbouw uurtarief toezicht'!$E$46</f>
        <v>#DIV/0!</v>
      </c>
      <c r="K18" s="442">
        <f>SUMIF('9-Vloeronderhoud'!A:A,A18,'9-Vloeronderhoud'!K:K)</f>
        <v>0</v>
      </c>
      <c r="L18" s="443">
        <f>SUMIF('10-Glasbewassing'!A:A,A18,'10-Glasbewassing'!H:H)</f>
        <v>0</v>
      </c>
      <c r="M18" s="443" t="e">
        <f t="shared" si="2"/>
        <v>#DIV/0!</v>
      </c>
      <c r="N18" s="443" t="e">
        <f t="shared" si="4"/>
        <v>#DIV/0!</v>
      </c>
      <c r="O18" s="445"/>
      <c r="P18"/>
      <c r="Q18" s="37"/>
      <c r="R18" s="37"/>
      <c r="S18" s="37"/>
      <c r="T18" s="37"/>
      <c r="U18" s="37"/>
      <c r="V18" s="37"/>
      <c r="W18" s="37"/>
      <c r="X18" s="37"/>
      <c r="Y18" s="37"/>
      <c r="Z18" s="37"/>
      <c r="AA18" s="37"/>
      <c r="AB18" s="37"/>
      <c r="AC18" s="37"/>
    </row>
    <row r="19" spans="1:29" ht="15" customHeight="1">
      <c r="A19" s="51" t="s">
        <v>814</v>
      </c>
      <c r="B19" s="469" t="s">
        <v>1125</v>
      </c>
      <c r="C19" s="465">
        <f>SUMIF('4-Basis ruimtestaat'!B:B,'2-Kosten per locatie'!A19,'4-Basis ruimtestaat'!J:J)</f>
        <v>2664.1600000047692</v>
      </c>
      <c r="D19" s="307">
        <v>1</v>
      </c>
      <c r="E19" s="308">
        <f>_xlfn.MAXIFS('4-Basis ruimtestaat'!L:L,'4-Basis ruimtestaat'!B:B,'2-Kosten per locatie'!A19)</f>
        <v>255</v>
      </c>
      <c r="F19" s="438" t="e">
        <f>SUMIF('4-Basis ruimtestaat'!B:B,'2-Kosten per locatie'!A19,'4-Basis ruimtestaat'!N:N)</f>
        <v>#DIV/0!</v>
      </c>
      <c r="G19" s="310" t="e">
        <f t="shared" si="0"/>
        <v>#DIV/0!</v>
      </c>
      <c r="H19" s="309" t="e">
        <f t="shared" si="1"/>
        <v>#DIV/0!</v>
      </c>
      <c r="I19" s="440" t="e">
        <f>(F19+G19)*'6-Opbouw uurtarief productie'!$E$47</f>
        <v>#DIV/0!</v>
      </c>
      <c r="J19" s="441" t="e">
        <f>H19*'7-Opbouw uurtarief toezicht'!$E$46</f>
        <v>#DIV/0!</v>
      </c>
      <c r="K19" s="442">
        <f>SUMIF('9-Vloeronderhoud'!A:A,A19,'9-Vloeronderhoud'!K:K)</f>
        <v>0</v>
      </c>
      <c r="L19" s="443">
        <f>SUMIF('10-Glasbewassing'!A:A,A19,'10-Glasbewassing'!H:H)</f>
        <v>0</v>
      </c>
      <c r="M19" s="443" t="e">
        <f t="shared" si="2"/>
        <v>#DIV/0!</v>
      </c>
      <c r="N19" s="443" t="e">
        <f t="shared" ref="N19:N33" si="5">M19/12</f>
        <v>#DIV/0!</v>
      </c>
      <c r="O19" s="445"/>
      <c r="P19"/>
      <c r="Q19" s="37"/>
      <c r="R19" s="37"/>
      <c r="S19" s="37"/>
      <c r="T19" s="37"/>
      <c r="U19" s="37"/>
      <c r="V19" s="37"/>
      <c r="W19" s="37"/>
      <c r="X19" s="37"/>
      <c r="Y19" s="37"/>
      <c r="Z19" s="37"/>
      <c r="AA19" s="37"/>
      <c r="AB19" s="37"/>
      <c r="AC19" s="37"/>
    </row>
    <row r="20" spans="1:29" ht="15" customHeight="1">
      <c r="A20" s="51" t="s">
        <v>817</v>
      </c>
      <c r="B20" s="469" t="s">
        <v>1116</v>
      </c>
      <c r="C20" s="465">
        <f>SUMIF('4-Basis ruimtestaat'!B:B,'2-Kosten per locatie'!A20,'4-Basis ruimtestaat'!J:J)</f>
        <v>1411.8900003755091</v>
      </c>
      <c r="D20" s="307">
        <v>1</v>
      </c>
      <c r="E20" s="308">
        <f>_xlfn.MAXIFS('4-Basis ruimtestaat'!L:L,'4-Basis ruimtestaat'!B:B,'2-Kosten per locatie'!A20)</f>
        <v>255</v>
      </c>
      <c r="F20" s="438" t="e">
        <f>SUMIF('4-Basis ruimtestaat'!B:B,'2-Kosten per locatie'!A20,'4-Basis ruimtestaat'!N:N)</f>
        <v>#DIV/0!</v>
      </c>
      <c r="G20" s="310" t="e">
        <f t="shared" si="0"/>
        <v>#DIV/0!</v>
      </c>
      <c r="H20" s="309" t="e">
        <f t="shared" si="1"/>
        <v>#DIV/0!</v>
      </c>
      <c r="I20" s="440" t="e">
        <f>(F20+G20)*'6-Opbouw uurtarief productie'!$E$47</f>
        <v>#DIV/0!</v>
      </c>
      <c r="J20" s="441" t="e">
        <f>H20*'7-Opbouw uurtarief toezicht'!$E$46</f>
        <v>#DIV/0!</v>
      </c>
      <c r="K20" s="442">
        <f>SUMIF('9-Vloeronderhoud'!A:A,A20,'9-Vloeronderhoud'!K:K)</f>
        <v>0</v>
      </c>
      <c r="L20" s="443">
        <f>SUMIF('10-Glasbewassing'!A:A,A20,'10-Glasbewassing'!H:H)</f>
        <v>0</v>
      </c>
      <c r="M20" s="443" t="e">
        <f t="shared" si="2"/>
        <v>#DIV/0!</v>
      </c>
      <c r="N20" s="443" t="e">
        <f t="shared" si="5"/>
        <v>#DIV/0!</v>
      </c>
      <c r="O20" s="445"/>
      <c r="P20"/>
      <c r="Q20" s="37"/>
      <c r="R20" s="37"/>
      <c r="S20" s="37"/>
      <c r="T20" s="37"/>
      <c r="U20" s="37"/>
      <c r="V20" s="37"/>
      <c r="W20" s="37"/>
      <c r="X20" s="37"/>
      <c r="Y20" s="37"/>
      <c r="Z20" s="37"/>
      <c r="AA20" s="37"/>
      <c r="AB20" s="37"/>
      <c r="AC20" s="37"/>
    </row>
    <row r="21" spans="1:29" ht="15" customHeight="1">
      <c r="A21" s="51" t="s">
        <v>820</v>
      </c>
      <c r="B21" s="469" t="s">
        <v>1118</v>
      </c>
      <c r="C21" s="465">
        <f>SUMIF('4-Basis ruimtestaat'!B:B,'2-Kosten per locatie'!A21,'4-Basis ruimtestaat'!J:J)</f>
        <v>572.9799999999999</v>
      </c>
      <c r="D21" s="307">
        <v>1</v>
      </c>
      <c r="E21" s="308">
        <f>_xlfn.MAXIFS('4-Basis ruimtestaat'!L:L,'4-Basis ruimtestaat'!B:B,'2-Kosten per locatie'!A21)</f>
        <v>255</v>
      </c>
      <c r="F21" s="438" t="e">
        <f>SUMIF('4-Basis ruimtestaat'!B:B,'2-Kosten per locatie'!A21,'4-Basis ruimtestaat'!N:N)</f>
        <v>#DIV/0!</v>
      </c>
      <c r="G21" s="310" t="e">
        <f t="shared" si="0"/>
        <v>#DIV/0!</v>
      </c>
      <c r="H21" s="309" t="e">
        <f t="shared" si="1"/>
        <v>#DIV/0!</v>
      </c>
      <c r="I21" s="440" t="e">
        <f>(F21+G21)*'6-Opbouw uurtarief productie'!$E$47</f>
        <v>#DIV/0!</v>
      </c>
      <c r="J21" s="441" t="e">
        <f>H21*'7-Opbouw uurtarief toezicht'!$E$46</f>
        <v>#DIV/0!</v>
      </c>
      <c r="K21" s="442">
        <f>SUMIF('9-Vloeronderhoud'!A:A,A21,'9-Vloeronderhoud'!K:K)</f>
        <v>0</v>
      </c>
      <c r="L21" s="443">
        <f>SUMIF('10-Glasbewassing'!A:A,A21,'10-Glasbewassing'!H:H)</f>
        <v>0</v>
      </c>
      <c r="M21" s="443" t="e">
        <f t="shared" si="2"/>
        <v>#DIV/0!</v>
      </c>
      <c r="N21" s="443" t="e">
        <f t="shared" si="5"/>
        <v>#DIV/0!</v>
      </c>
      <c r="O21" s="445"/>
      <c r="P21"/>
      <c r="Q21" s="37"/>
      <c r="R21" s="37"/>
      <c r="S21" s="37"/>
      <c r="T21" s="37"/>
      <c r="U21" s="37"/>
      <c r="V21" s="37"/>
      <c r="W21" s="37"/>
      <c r="X21" s="37"/>
      <c r="Y21" s="37"/>
      <c r="Z21" s="37"/>
      <c r="AA21" s="37"/>
      <c r="AB21" s="37"/>
      <c r="AC21" s="37"/>
    </row>
    <row r="22" spans="1:29" ht="15" customHeight="1">
      <c r="A22" s="51" t="s">
        <v>811</v>
      </c>
      <c r="B22" s="469" t="s">
        <v>1122</v>
      </c>
      <c r="C22" s="465">
        <f>SUMIF('4-Basis ruimtestaat'!B:B,'2-Kosten per locatie'!A22,'4-Basis ruimtestaat'!J:J)</f>
        <v>307.82</v>
      </c>
      <c r="D22" s="307">
        <v>1</v>
      </c>
      <c r="E22" s="308">
        <f>_xlfn.MAXIFS('4-Basis ruimtestaat'!L:L,'4-Basis ruimtestaat'!B:B,'2-Kosten per locatie'!A22)</f>
        <v>255</v>
      </c>
      <c r="F22" s="438" t="e">
        <f>SUMIF('4-Basis ruimtestaat'!B:B,'2-Kosten per locatie'!A22,'4-Basis ruimtestaat'!N:N)</f>
        <v>#DIV/0!</v>
      </c>
      <c r="G22" s="310" t="e">
        <f t="shared" si="0"/>
        <v>#DIV/0!</v>
      </c>
      <c r="H22" s="309" t="e">
        <f t="shared" si="1"/>
        <v>#DIV/0!</v>
      </c>
      <c r="I22" s="440" t="e">
        <f>(F22+G22)*'6-Opbouw uurtarief productie'!$E$47</f>
        <v>#DIV/0!</v>
      </c>
      <c r="J22" s="441" t="e">
        <f>H22*'7-Opbouw uurtarief toezicht'!$E$46</f>
        <v>#DIV/0!</v>
      </c>
      <c r="K22" s="442">
        <f>SUMIF('9-Vloeronderhoud'!A:A,A22,'9-Vloeronderhoud'!K:K)</f>
        <v>0</v>
      </c>
      <c r="L22" s="443">
        <f>SUMIF('10-Glasbewassing'!A:A,A22,'10-Glasbewassing'!H:H)</f>
        <v>0</v>
      </c>
      <c r="M22" s="443" t="e">
        <f t="shared" si="2"/>
        <v>#DIV/0!</v>
      </c>
      <c r="N22" s="443" t="e">
        <f t="shared" si="5"/>
        <v>#DIV/0!</v>
      </c>
      <c r="O22" s="445"/>
      <c r="P22"/>
      <c r="Q22" s="37"/>
      <c r="R22" s="37"/>
      <c r="S22" s="37"/>
      <c r="T22" s="37"/>
      <c r="U22" s="37"/>
      <c r="V22" s="37"/>
      <c r="W22" s="37"/>
      <c r="X22" s="37"/>
      <c r="Y22" s="37"/>
      <c r="Z22" s="37"/>
      <c r="AA22" s="37"/>
      <c r="AB22" s="37"/>
      <c r="AC22" s="37"/>
    </row>
    <row r="23" spans="1:29" ht="15" customHeight="1">
      <c r="A23" s="51" t="s">
        <v>823</v>
      </c>
      <c r="B23" s="469" t="s">
        <v>1116</v>
      </c>
      <c r="C23" s="465">
        <f>SUMIF('4-Basis ruimtestaat'!B:B,'2-Kosten per locatie'!A23,'4-Basis ruimtestaat'!J:J)</f>
        <v>677.22999999999968</v>
      </c>
      <c r="D23" s="307">
        <v>1</v>
      </c>
      <c r="E23" s="308">
        <f>_xlfn.MAXIFS('4-Basis ruimtestaat'!L:L,'4-Basis ruimtestaat'!B:B,'2-Kosten per locatie'!A23)</f>
        <v>0</v>
      </c>
      <c r="F23" s="438">
        <f>SUMIF('4-Basis ruimtestaat'!B:B,'2-Kosten per locatie'!A23,'4-Basis ruimtestaat'!N:N)</f>
        <v>0</v>
      </c>
      <c r="G23" s="310">
        <f t="shared" si="0"/>
        <v>0</v>
      </c>
      <c r="H23" s="309">
        <f t="shared" si="1"/>
        <v>0</v>
      </c>
      <c r="I23" s="440" t="e">
        <f>(F23+G23)*'6-Opbouw uurtarief productie'!$E$47</f>
        <v>#DIV/0!</v>
      </c>
      <c r="J23" s="441" t="e">
        <f>H23*'7-Opbouw uurtarief toezicht'!$E$46</f>
        <v>#DIV/0!</v>
      </c>
      <c r="K23" s="442">
        <f>SUMIF('9-Vloeronderhoud'!A:A,A23,'9-Vloeronderhoud'!K:K)</f>
        <v>0</v>
      </c>
      <c r="L23" s="443">
        <f>SUMIF('10-Glasbewassing'!A:A,A23,'10-Glasbewassing'!H:H)</f>
        <v>0</v>
      </c>
      <c r="M23" s="443" t="e">
        <f t="shared" si="2"/>
        <v>#DIV/0!</v>
      </c>
      <c r="N23" s="443" t="e">
        <f t="shared" si="5"/>
        <v>#DIV/0!</v>
      </c>
      <c r="O23" s="445"/>
      <c r="P23"/>
      <c r="Q23" s="37"/>
      <c r="R23" s="37"/>
      <c r="S23" s="37"/>
      <c r="T23" s="37"/>
      <c r="U23" s="37"/>
      <c r="V23" s="37"/>
      <c r="W23" s="37"/>
      <c r="X23" s="37"/>
      <c r="Y23" s="37"/>
      <c r="Z23" s="37"/>
      <c r="AA23" s="37"/>
      <c r="AB23" s="37"/>
      <c r="AC23" s="37"/>
    </row>
    <row r="24" spans="1:29" ht="15" customHeight="1">
      <c r="A24" s="51" t="s">
        <v>822</v>
      </c>
      <c r="B24" s="468" t="s">
        <v>1125</v>
      </c>
      <c r="C24" s="465">
        <f>SUMIF('4-Basis ruimtestaat'!B:B,'2-Kosten per locatie'!A24,'4-Basis ruimtestaat'!J:J)</f>
        <v>455.50367199999982</v>
      </c>
      <c r="D24" s="307">
        <v>1</v>
      </c>
      <c r="E24" s="308">
        <f>_xlfn.MAXIFS('4-Basis ruimtestaat'!L:L,'4-Basis ruimtestaat'!B:B,'2-Kosten per locatie'!A24)</f>
        <v>255</v>
      </c>
      <c r="F24" s="438" t="e">
        <f>SUMIF('4-Basis ruimtestaat'!B:B,'2-Kosten per locatie'!A24,'4-Basis ruimtestaat'!N:N)</f>
        <v>#DIV/0!</v>
      </c>
      <c r="G24" s="310" t="e">
        <f t="shared" si="0"/>
        <v>#DIV/0!</v>
      </c>
      <c r="H24" s="309" t="e">
        <f t="shared" si="1"/>
        <v>#DIV/0!</v>
      </c>
      <c r="I24" s="440" t="e">
        <f>(F24+G24)*'6-Opbouw uurtarief productie'!$E$47</f>
        <v>#DIV/0!</v>
      </c>
      <c r="J24" s="441" t="e">
        <f>H24*'7-Opbouw uurtarief toezicht'!$E$46</f>
        <v>#DIV/0!</v>
      </c>
      <c r="K24" s="442">
        <f>SUMIF('9-Vloeronderhoud'!A:A,A24,'9-Vloeronderhoud'!K:K)</f>
        <v>0</v>
      </c>
      <c r="L24" s="443">
        <f>SUMIF('10-Glasbewassing'!A:A,A24,'10-Glasbewassing'!H:H)</f>
        <v>0</v>
      </c>
      <c r="M24" s="443" t="e">
        <f t="shared" si="2"/>
        <v>#DIV/0!</v>
      </c>
      <c r="N24" s="443" t="e">
        <f t="shared" si="5"/>
        <v>#DIV/0!</v>
      </c>
      <c r="O24" s="445"/>
      <c r="P24"/>
      <c r="Q24" s="37"/>
      <c r="R24" s="37"/>
      <c r="S24" s="37"/>
      <c r="T24" s="37"/>
      <c r="U24" s="37"/>
      <c r="V24" s="37"/>
      <c r="W24" s="37"/>
      <c r="X24" s="37"/>
      <c r="Y24" s="37"/>
      <c r="Z24" s="37"/>
      <c r="AA24" s="37"/>
      <c r="AB24" s="37"/>
      <c r="AC24" s="37"/>
    </row>
    <row r="25" spans="1:29" ht="16.2" customHeight="1">
      <c r="A25" s="51" t="s">
        <v>806</v>
      </c>
      <c r="B25" s="468" t="s">
        <v>1126</v>
      </c>
      <c r="C25" s="465">
        <f>SUMIF('4-Basis ruimtestaat'!B:B,'2-Kosten per locatie'!A25,'4-Basis ruimtestaat'!J:J)</f>
        <v>1537.2899946010107</v>
      </c>
      <c r="D25" s="307">
        <v>1</v>
      </c>
      <c r="E25" s="308">
        <f>_xlfn.MAXIFS('4-Basis ruimtestaat'!L:L,'4-Basis ruimtestaat'!B:B,'2-Kosten per locatie'!A25)</f>
        <v>224</v>
      </c>
      <c r="F25" s="438" t="e">
        <f>SUMIF('4-Basis ruimtestaat'!B:B,'2-Kosten per locatie'!A25,'4-Basis ruimtestaat'!N:N)</f>
        <v>#DIV/0!</v>
      </c>
      <c r="G25" s="310" t="e">
        <f t="shared" si="0"/>
        <v>#DIV/0!</v>
      </c>
      <c r="H25" s="309" t="e">
        <f t="shared" si="1"/>
        <v>#DIV/0!</v>
      </c>
      <c r="I25" s="440" t="e">
        <f>(F25+G25)*'6-Opbouw uurtarief productie'!$E$47</f>
        <v>#DIV/0!</v>
      </c>
      <c r="J25" s="441" t="e">
        <f>H25*'7-Opbouw uurtarief toezicht'!$E$46</f>
        <v>#DIV/0!</v>
      </c>
      <c r="K25" s="442">
        <f>SUMIF('9-Vloeronderhoud'!A:A,A25,'9-Vloeronderhoud'!K:K)</f>
        <v>0</v>
      </c>
      <c r="L25" s="443">
        <f>SUMIF('10-Glasbewassing'!A:A,A25,'10-Glasbewassing'!H:H)</f>
        <v>0</v>
      </c>
      <c r="M25" s="443" t="e">
        <f t="shared" si="2"/>
        <v>#DIV/0!</v>
      </c>
      <c r="N25" s="443" t="e">
        <f t="shared" si="5"/>
        <v>#DIV/0!</v>
      </c>
      <c r="O25" s="445"/>
      <c r="P25"/>
      <c r="Q25" s="37"/>
      <c r="R25" s="37"/>
      <c r="S25" s="37"/>
      <c r="T25" s="37"/>
      <c r="U25" s="37"/>
      <c r="V25" s="37"/>
      <c r="W25" s="37"/>
      <c r="X25" s="37"/>
      <c r="Y25" s="37"/>
      <c r="Z25" s="37"/>
      <c r="AA25" s="37"/>
      <c r="AB25" s="37"/>
      <c r="AC25" s="37"/>
    </row>
    <row r="26" spans="1:29" ht="16.2" customHeight="1">
      <c r="A26" s="50" t="s">
        <v>1110</v>
      </c>
      <c r="B26" s="468" t="s">
        <v>1129</v>
      </c>
      <c r="C26" s="465">
        <f>SUMIF('4-Basis ruimtestaat'!B:B,'2-Kosten per locatie'!A26,'4-Basis ruimtestaat'!J:J)</f>
        <v>548.85000260353104</v>
      </c>
      <c r="D26" s="307">
        <v>1</v>
      </c>
      <c r="E26" s="308">
        <f>_xlfn.MAXIFS('4-Basis ruimtestaat'!L:L,'4-Basis ruimtestaat'!B:B,'2-Kosten per locatie'!A26)</f>
        <v>255</v>
      </c>
      <c r="F26" s="438" t="e">
        <f>SUMIF('4-Basis ruimtestaat'!B:B,'2-Kosten per locatie'!A26,'4-Basis ruimtestaat'!N:N)</f>
        <v>#DIV/0!</v>
      </c>
      <c r="G26" s="310" t="e">
        <f t="shared" si="0"/>
        <v>#DIV/0!</v>
      </c>
      <c r="H26" s="309" t="e">
        <f t="shared" si="1"/>
        <v>#DIV/0!</v>
      </c>
      <c r="I26" s="440" t="e">
        <f>(F26+G26)*'6-Opbouw uurtarief productie'!$E$47</f>
        <v>#DIV/0!</v>
      </c>
      <c r="J26" s="441" t="e">
        <f>H26*'7-Opbouw uurtarief toezicht'!$E$46</f>
        <v>#DIV/0!</v>
      </c>
      <c r="K26" s="442">
        <f>SUMIF('9-Vloeronderhoud'!A:A,A26,'9-Vloeronderhoud'!K:K)</f>
        <v>0</v>
      </c>
      <c r="L26" s="443">
        <f>SUMIF('10-Glasbewassing'!A:A,A26,'10-Glasbewassing'!H:H)</f>
        <v>0</v>
      </c>
      <c r="M26" s="443" t="e">
        <f t="shared" si="2"/>
        <v>#DIV/0!</v>
      </c>
      <c r="N26" s="443" t="e">
        <f t="shared" si="5"/>
        <v>#DIV/0!</v>
      </c>
      <c r="O26" s="445"/>
      <c r="P26"/>
      <c r="Q26" s="37"/>
      <c r="R26" s="37"/>
      <c r="S26" s="37"/>
      <c r="T26" s="37"/>
      <c r="U26" s="37"/>
      <c r="V26" s="37"/>
      <c r="W26" s="37"/>
      <c r="X26" s="37"/>
      <c r="Y26" s="37"/>
      <c r="Z26" s="37"/>
      <c r="AA26" s="37"/>
      <c r="AB26" s="37"/>
      <c r="AC26" s="37"/>
    </row>
    <row r="27" spans="1:29" ht="16.2" customHeight="1">
      <c r="A27" s="50" t="s">
        <v>1111</v>
      </c>
      <c r="B27" s="468" t="s">
        <v>1130</v>
      </c>
      <c r="C27" s="465">
        <f>SUMIF('4-Basis ruimtestaat'!B:B,'2-Kosten per locatie'!A27,'4-Basis ruimtestaat'!J:J)</f>
        <v>922.10000154256818</v>
      </c>
      <c r="D27" s="307">
        <v>1</v>
      </c>
      <c r="E27" s="308">
        <f>_xlfn.MAXIFS('4-Basis ruimtestaat'!L:L,'4-Basis ruimtestaat'!B:B,'2-Kosten per locatie'!A27)</f>
        <v>201</v>
      </c>
      <c r="F27" s="438" t="e">
        <f>SUMIF('4-Basis ruimtestaat'!B:B,'2-Kosten per locatie'!A27,'4-Basis ruimtestaat'!N:N)</f>
        <v>#DIV/0!</v>
      </c>
      <c r="G27" s="310" t="e">
        <f t="shared" ref="G27:G28" si="6">IF(F27&lt;(E27*$D$2),E27*$D$2-F27,0)</f>
        <v>#DIV/0!</v>
      </c>
      <c r="H27" s="309" t="e">
        <f t="shared" ref="H27:H28" si="7">F27*$D$5</f>
        <v>#DIV/0!</v>
      </c>
      <c r="I27" s="440" t="e">
        <f>(F27+G27)*'6-Opbouw uurtarief productie'!$E$47</f>
        <v>#DIV/0!</v>
      </c>
      <c r="J27" s="441" t="e">
        <f>H27*'7-Opbouw uurtarief toezicht'!$E$46</f>
        <v>#DIV/0!</v>
      </c>
      <c r="K27" s="442">
        <f>SUMIF('9-Vloeronderhoud'!A:A,A27,'9-Vloeronderhoud'!K:K)</f>
        <v>0</v>
      </c>
      <c r="L27" s="443">
        <f>SUMIF('10-Glasbewassing'!A:A,A27,'10-Glasbewassing'!H:H)</f>
        <v>0</v>
      </c>
      <c r="M27" s="443" t="e">
        <f t="shared" si="2"/>
        <v>#DIV/0!</v>
      </c>
      <c r="N27" s="443" t="e">
        <f t="shared" ref="N27:N28" si="8">M27/12</f>
        <v>#DIV/0!</v>
      </c>
      <c r="O27" s="445"/>
      <c r="P27"/>
      <c r="Q27" s="37"/>
      <c r="R27" s="37"/>
      <c r="S27" s="37"/>
      <c r="T27" s="37"/>
      <c r="U27" s="37"/>
      <c r="V27" s="37"/>
      <c r="W27" s="37"/>
      <c r="X27" s="37"/>
      <c r="Y27" s="37"/>
      <c r="Z27" s="37"/>
      <c r="AA27" s="37"/>
      <c r="AB27" s="37"/>
      <c r="AC27" s="37"/>
    </row>
    <row r="28" spans="1:29" ht="16.2" customHeight="1">
      <c r="A28" s="50" t="s">
        <v>1112</v>
      </c>
      <c r="B28" s="468" t="s">
        <v>1120</v>
      </c>
      <c r="C28" s="465">
        <f>SUMIF('4-Basis ruimtestaat'!B:B,'2-Kosten per locatie'!A28,'4-Basis ruimtestaat'!J:J)</f>
        <v>1376.1200093960758</v>
      </c>
      <c r="D28" s="307">
        <v>1</v>
      </c>
      <c r="E28" s="308">
        <f>_xlfn.MAXIFS('4-Basis ruimtestaat'!L:L,'4-Basis ruimtestaat'!B:B,'2-Kosten per locatie'!A28)</f>
        <v>255</v>
      </c>
      <c r="F28" s="438" t="e">
        <f>SUMIF('4-Basis ruimtestaat'!B:B,'2-Kosten per locatie'!A28,'4-Basis ruimtestaat'!N:N)</f>
        <v>#DIV/0!</v>
      </c>
      <c r="G28" s="310" t="e">
        <f t="shared" si="6"/>
        <v>#DIV/0!</v>
      </c>
      <c r="H28" s="309" t="e">
        <f t="shared" si="7"/>
        <v>#DIV/0!</v>
      </c>
      <c r="I28" s="440" t="e">
        <f>(F28+G28)*'6-Opbouw uurtarief productie'!$E$47</f>
        <v>#DIV/0!</v>
      </c>
      <c r="J28" s="441" t="e">
        <f>H28*'7-Opbouw uurtarief toezicht'!$E$46</f>
        <v>#DIV/0!</v>
      </c>
      <c r="K28" s="442">
        <f>SUMIF('9-Vloeronderhoud'!A:A,A28,'9-Vloeronderhoud'!K:K)</f>
        <v>0</v>
      </c>
      <c r="L28" s="443">
        <f>SUMIF('10-Glasbewassing'!A:A,A28,'10-Glasbewassing'!H:H)</f>
        <v>0</v>
      </c>
      <c r="M28" s="443" t="e">
        <f t="shared" si="2"/>
        <v>#DIV/0!</v>
      </c>
      <c r="N28" s="443" t="e">
        <f t="shared" si="8"/>
        <v>#DIV/0!</v>
      </c>
      <c r="O28" s="445"/>
      <c r="P28"/>
      <c r="Q28" s="37"/>
      <c r="R28" s="37"/>
      <c r="S28" s="37"/>
      <c r="T28" s="37"/>
      <c r="U28" s="37"/>
      <c r="V28" s="37"/>
      <c r="W28" s="37"/>
      <c r="X28" s="37"/>
      <c r="Y28" s="37"/>
      <c r="Z28" s="37"/>
      <c r="AA28" s="37"/>
      <c r="AB28" s="37"/>
      <c r="AC28" s="37"/>
    </row>
    <row r="29" spans="1:29" ht="16.2" customHeight="1">
      <c r="A29" s="429" t="s">
        <v>816</v>
      </c>
      <c r="B29" s="468" t="s">
        <v>1128</v>
      </c>
      <c r="C29" s="465">
        <f>SUMIF('4-Basis ruimtestaat'!B:B,'2-Kosten per locatie'!A29,'4-Basis ruimtestaat'!J:J)</f>
        <v>931.60999881744408</v>
      </c>
      <c r="D29" s="307">
        <v>1</v>
      </c>
      <c r="E29" s="308">
        <f>_xlfn.MAXIFS('4-Basis ruimtestaat'!L:L,'4-Basis ruimtestaat'!B:B,'2-Kosten per locatie'!A29)</f>
        <v>201</v>
      </c>
      <c r="F29" s="438" t="e">
        <f>SUMIF('4-Basis ruimtestaat'!B:B,'2-Kosten per locatie'!A29,'4-Basis ruimtestaat'!N:N)</f>
        <v>#DIV/0!</v>
      </c>
      <c r="G29" s="310" t="e">
        <f t="shared" si="0"/>
        <v>#DIV/0!</v>
      </c>
      <c r="H29" s="309" t="e">
        <f t="shared" si="1"/>
        <v>#DIV/0!</v>
      </c>
      <c r="I29" s="440" t="e">
        <f>(F29+G29)*'6-Opbouw uurtarief productie'!$E$47</f>
        <v>#DIV/0!</v>
      </c>
      <c r="J29" s="441" t="e">
        <f>H29*'7-Opbouw uurtarief toezicht'!$E$46</f>
        <v>#DIV/0!</v>
      </c>
      <c r="K29" s="442">
        <f>SUMIF('9-Vloeronderhoud'!A:A,A29,'9-Vloeronderhoud'!K:K)</f>
        <v>0</v>
      </c>
      <c r="L29" s="443">
        <f>SUMIF('10-Glasbewassing'!A:A,A29,'10-Glasbewassing'!H:H)</f>
        <v>0</v>
      </c>
      <c r="M29" s="443" t="e">
        <f t="shared" si="2"/>
        <v>#DIV/0!</v>
      </c>
      <c r="N29" s="443" t="e">
        <f t="shared" si="5"/>
        <v>#DIV/0!</v>
      </c>
      <c r="O29" s="445"/>
      <c r="P29"/>
      <c r="Q29" s="37"/>
      <c r="R29" s="37"/>
      <c r="S29" s="37"/>
      <c r="T29" s="37"/>
      <c r="U29" s="37"/>
      <c r="V29" s="37"/>
      <c r="W29" s="37"/>
      <c r="X29" s="37"/>
      <c r="Y29" s="37"/>
      <c r="Z29" s="37"/>
      <c r="AA29" s="37"/>
      <c r="AB29" s="37"/>
      <c r="AC29" s="37"/>
    </row>
    <row r="30" spans="1:29" ht="16.2" customHeight="1">
      <c r="A30" s="429" t="s">
        <v>807</v>
      </c>
      <c r="B30" s="468" t="s">
        <v>1118</v>
      </c>
      <c r="C30" s="465">
        <f>SUMIF('4-Basis ruimtestaat'!B:B,'2-Kosten per locatie'!A30,'4-Basis ruimtestaat'!J:J)</f>
        <v>2521.8899965739247</v>
      </c>
      <c r="D30" s="307">
        <v>1</v>
      </c>
      <c r="E30" s="308">
        <f>_xlfn.MAXIFS('4-Basis ruimtestaat'!L:L,'4-Basis ruimtestaat'!B:B,'2-Kosten per locatie'!A30)</f>
        <v>201</v>
      </c>
      <c r="F30" s="438" t="e">
        <f>SUMIF('4-Basis ruimtestaat'!B:B,'2-Kosten per locatie'!A30,'4-Basis ruimtestaat'!N:N)</f>
        <v>#DIV/0!</v>
      </c>
      <c r="G30" s="310"/>
      <c r="H30" s="309" t="e">
        <f t="shared" si="1"/>
        <v>#DIV/0!</v>
      </c>
      <c r="I30" s="440" t="e">
        <f>(F30+G30)*'6-Opbouw uurtarief productie'!$E$47</f>
        <v>#DIV/0!</v>
      </c>
      <c r="J30" s="441" t="e">
        <f>H30*'7-Opbouw uurtarief toezicht'!$E$46</f>
        <v>#DIV/0!</v>
      </c>
      <c r="K30" s="442">
        <f>SUMIF('9-Vloeronderhoud'!A:A,A30,'9-Vloeronderhoud'!K:K)</f>
        <v>0</v>
      </c>
      <c r="L30" s="443">
        <f>SUMIF('10-Glasbewassing'!A:A,A30,'10-Glasbewassing'!H:H)</f>
        <v>0</v>
      </c>
      <c r="M30" s="443" t="e">
        <f t="shared" si="2"/>
        <v>#DIV/0!</v>
      </c>
      <c r="N30" s="443" t="e">
        <f t="shared" si="5"/>
        <v>#DIV/0!</v>
      </c>
      <c r="O30" s="445"/>
      <c r="P30"/>
      <c r="Q30" s="37"/>
      <c r="R30" s="37"/>
      <c r="S30" s="37"/>
      <c r="T30" s="37"/>
      <c r="U30" s="37"/>
      <c r="V30" s="37"/>
      <c r="W30" s="37"/>
      <c r="X30" s="37"/>
      <c r="Y30" s="37"/>
      <c r="Z30" s="37"/>
      <c r="AA30" s="37"/>
      <c r="AB30" s="37"/>
      <c r="AC30" s="37"/>
    </row>
    <row r="31" spans="1:29" ht="16.2" customHeight="1">
      <c r="A31" s="429" t="s">
        <v>808</v>
      </c>
      <c r="B31" s="469" t="s">
        <v>1123</v>
      </c>
      <c r="C31" s="465">
        <f>SUMIF('4-Basis ruimtestaat'!B:B,'2-Kosten per locatie'!A31,'4-Basis ruimtestaat'!J:J)</f>
        <v>1543.309999227524</v>
      </c>
      <c r="D31" s="307">
        <v>1</v>
      </c>
      <c r="E31" s="308">
        <f>_xlfn.MAXIFS('4-Basis ruimtestaat'!L:L,'4-Basis ruimtestaat'!B:B,'2-Kosten per locatie'!A31)</f>
        <v>201</v>
      </c>
      <c r="F31" s="438" t="e">
        <f>SUMIF('4-Basis ruimtestaat'!B:B,'2-Kosten per locatie'!A31,'4-Basis ruimtestaat'!N:N)</f>
        <v>#DIV/0!</v>
      </c>
      <c r="G31" s="310" t="e">
        <f t="shared" si="0"/>
        <v>#DIV/0!</v>
      </c>
      <c r="H31" s="309" t="e">
        <f t="shared" si="1"/>
        <v>#DIV/0!</v>
      </c>
      <c r="I31" s="440" t="e">
        <f>(F31+G31)*'6-Opbouw uurtarief productie'!$E$47</f>
        <v>#DIV/0!</v>
      </c>
      <c r="J31" s="441" t="e">
        <f>H31*'7-Opbouw uurtarief toezicht'!$E$46</f>
        <v>#DIV/0!</v>
      </c>
      <c r="K31" s="442">
        <f>SUMIF('9-Vloeronderhoud'!A:A,A31,'9-Vloeronderhoud'!K:K)</f>
        <v>0</v>
      </c>
      <c r="L31" s="443">
        <f>SUMIF('10-Glasbewassing'!A:A,A31,'10-Glasbewassing'!H:H)</f>
        <v>0</v>
      </c>
      <c r="M31" s="443" t="e">
        <f t="shared" si="2"/>
        <v>#DIV/0!</v>
      </c>
      <c r="N31" s="443" t="e">
        <f t="shared" si="5"/>
        <v>#DIV/0!</v>
      </c>
      <c r="O31" s="445"/>
      <c r="P31"/>
      <c r="Q31" s="37"/>
      <c r="R31" s="37"/>
      <c r="S31" s="37"/>
      <c r="T31" s="37"/>
      <c r="U31" s="37"/>
      <c r="V31" s="37"/>
      <c r="W31" s="37"/>
      <c r="X31" s="37"/>
      <c r="Y31" s="37"/>
      <c r="Z31" s="37"/>
      <c r="AA31" s="37"/>
      <c r="AB31" s="37"/>
      <c r="AC31" s="37"/>
    </row>
    <row r="32" spans="1:29" ht="16.2" customHeight="1">
      <c r="A32" s="429" t="s">
        <v>809</v>
      </c>
      <c r="B32" s="468" t="s">
        <v>1123</v>
      </c>
      <c r="C32" s="465">
        <f>SUMIF('4-Basis ruimtestaat'!B:B,'2-Kosten per locatie'!A32,'4-Basis ruimtestaat'!J:J)</f>
        <v>256.7</v>
      </c>
      <c r="D32" s="307">
        <v>1</v>
      </c>
      <c r="E32" s="308">
        <f>_xlfn.MAXIFS('4-Basis ruimtestaat'!L:L,'4-Basis ruimtestaat'!B:B,'2-Kosten per locatie'!A32)</f>
        <v>255</v>
      </c>
      <c r="F32" s="438" t="e">
        <f>SUMIF('4-Basis ruimtestaat'!B:B,'2-Kosten per locatie'!A32,'4-Basis ruimtestaat'!N:N)</f>
        <v>#DIV/0!</v>
      </c>
      <c r="G32" s="310" t="e">
        <f t="shared" si="0"/>
        <v>#DIV/0!</v>
      </c>
      <c r="H32" s="309" t="e">
        <f t="shared" si="1"/>
        <v>#DIV/0!</v>
      </c>
      <c r="I32" s="440" t="e">
        <f>(F32+G32)*'6-Opbouw uurtarief productie'!$E$47</f>
        <v>#DIV/0!</v>
      </c>
      <c r="J32" s="441" t="e">
        <f>H32*'7-Opbouw uurtarief toezicht'!$E$46</f>
        <v>#DIV/0!</v>
      </c>
      <c r="K32" s="442">
        <f>SUMIF('9-Vloeronderhoud'!A:A,A32,'9-Vloeronderhoud'!K:K)</f>
        <v>0</v>
      </c>
      <c r="L32" s="443">
        <f>SUMIF('10-Glasbewassing'!A:A,A32,'10-Glasbewassing'!H:H)</f>
        <v>0</v>
      </c>
      <c r="M32" s="443" t="e">
        <f t="shared" si="2"/>
        <v>#DIV/0!</v>
      </c>
      <c r="N32" s="443" t="e">
        <f t="shared" si="5"/>
        <v>#DIV/0!</v>
      </c>
      <c r="O32" s="445"/>
      <c r="P32"/>
      <c r="Q32" s="37"/>
      <c r="R32" s="37"/>
      <c r="S32" s="37"/>
      <c r="T32" s="37"/>
      <c r="U32" s="37"/>
      <c r="V32" s="37"/>
      <c r="W32" s="37"/>
      <c r="X32" s="37"/>
      <c r="Y32" s="37"/>
      <c r="Z32" s="37"/>
      <c r="AA32" s="37"/>
      <c r="AB32" s="37"/>
      <c r="AC32" s="37"/>
    </row>
    <row r="33" spans="1:29" ht="16.2" customHeight="1">
      <c r="A33" s="429" t="s">
        <v>818</v>
      </c>
      <c r="B33" s="468" t="s">
        <v>1119</v>
      </c>
      <c r="C33" s="465">
        <f>SUMIF('4-Basis ruimtestaat'!B:B,'2-Kosten per locatie'!A33,'4-Basis ruimtestaat'!J:J)</f>
        <v>2086.9800004005433</v>
      </c>
      <c r="D33" s="307">
        <v>1</v>
      </c>
      <c r="E33" s="308">
        <f>_xlfn.MAXIFS('4-Basis ruimtestaat'!L:L,'4-Basis ruimtestaat'!B:B,'2-Kosten per locatie'!A33)</f>
        <v>255</v>
      </c>
      <c r="F33" s="438" t="e">
        <f>SUMIF('4-Basis ruimtestaat'!B:B,'2-Kosten per locatie'!A33,'4-Basis ruimtestaat'!N:N)</f>
        <v>#DIV/0!</v>
      </c>
      <c r="G33" s="310" t="e">
        <f t="shared" si="0"/>
        <v>#DIV/0!</v>
      </c>
      <c r="H33" s="309" t="e">
        <f t="shared" si="1"/>
        <v>#DIV/0!</v>
      </c>
      <c r="I33" s="440" t="e">
        <f>(F33+G33)*'6-Opbouw uurtarief productie'!$E$47</f>
        <v>#DIV/0!</v>
      </c>
      <c r="J33" s="441" t="e">
        <f>H33*'7-Opbouw uurtarief toezicht'!$E$46</f>
        <v>#DIV/0!</v>
      </c>
      <c r="K33" s="442">
        <f>SUMIF('9-Vloeronderhoud'!A:A,A33,'9-Vloeronderhoud'!K:K)</f>
        <v>0</v>
      </c>
      <c r="L33" s="443">
        <f>SUMIF('10-Glasbewassing'!A:A,A33,'10-Glasbewassing'!H:H)</f>
        <v>0</v>
      </c>
      <c r="M33" s="443" t="e">
        <f t="shared" si="2"/>
        <v>#DIV/0!</v>
      </c>
      <c r="N33" s="443" t="e">
        <f t="shared" si="5"/>
        <v>#DIV/0!</v>
      </c>
      <c r="O33" s="445"/>
      <c r="P33"/>
      <c r="Q33" s="37"/>
      <c r="R33" s="37"/>
      <c r="S33" s="37"/>
      <c r="T33" s="37"/>
      <c r="U33" s="37"/>
      <c r="V33" s="37"/>
      <c r="W33" s="37"/>
      <c r="X33" s="37"/>
      <c r="Y33" s="37"/>
      <c r="Z33" s="37"/>
      <c r="AA33" s="37"/>
      <c r="AB33" s="37"/>
      <c r="AC33" s="37"/>
    </row>
    <row r="34" spans="1:29" ht="16.2" customHeight="1">
      <c r="A34" s="51" t="s">
        <v>819</v>
      </c>
      <c r="B34" s="469" t="s">
        <v>1124</v>
      </c>
      <c r="C34" s="465">
        <f>SUMIF('4-Basis ruimtestaat'!B:B,'2-Kosten per locatie'!A34,'4-Basis ruimtestaat'!J:J)</f>
        <v>1404.3099999999995</v>
      </c>
      <c r="D34" s="307">
        <v>1</v>
      </c>
      <c r="E34" s="308">
        <f>_xlfn.MAXIFS('4-Basis ruimtestaat'!L:L,'4-Basis ruimtestaat'!B:B,'2-Kosten per locatie'!A34)</f>
        <v>255</v>
      </c>
      <c r="F34" s="438" t="e">
        <f>SUMIF('4-Basis ruimtestaat'!B:B,'2-Kosten per locatie'!A34,'4-Basis ruimtestaat'!N:N)</f>
        <v>#DIV/0!</v>
      </c>
      <c r="G34" s="310" t="e">
        <f t="shared" si="0"/>
        <v>#DIV/0!</v>
      </c>
      <c r="H34" s="309" t="e">
        <f t="shared" si="1"/>
        <v>#DIV/0!</v>
      </c>
      <c r="I34" s="440" t="e">
        <f>(F34+G34)*'6-Opbouw uurtarief productie'!$E$47</f>
        <v>#DIV/0!</v>
      </c>
      <c r="J34" s="441" t="e">
        <f>H34*'7-Opbouw uurtarief toezicht'!$E$46</f>
        <v>#DIV/0!</v>
      </c>
      <c r="K34" s="442">
        <f>SUMIF('9-Vloeronderhoud'!A:A,A34,'9-Vloeronderhoud'!K:K)</f>
        <v>0</v>
      </c>
      <c r="L34" s="443">
        <f>SUMIF('10-Glasbewassing'!A:A,A34,'10-Glasbewassing'!H:H)</f>
        <v>0</v>
      </c>
      <c r="M34" s="443" t="e">
        <f t="shared" si="2"/>
        <v>#DIV/0!</v>
      </c>
      <c r="N34" s="443" t="e">
        <f t="shared" ref="N34:N35" si="9">M34/12</f>
        <v>#DIV/0!</v>
      </c>
      <c r="O34" s="445"/>
      <c r="P34"/>
      <c r="Q34" s="37"/>
      <c r="R34" s="37"/>
      <c r="S34" s="37"/>
      <c r="T34" s="37"/>
      <c r="U34" s="37"/>
      <c r="V34" s="37"/>
      <c r="W34" s="37"/>
      <c r="X34" s="37"/>
      <c r="Y34" s="37"/>
      <c r="Z34" s="37"/>
      <c r="AA34" s="37"/>
      <c r="AB34" s="37"/>
      <c r="AC34" s="37"/>
    </row>
    <row r="35" spans="1:29" ht="16.2" customHeight="1">
      <c r="A35" s="51" t="s">
        <v>821</v>
      </c>
      <c r="B35" s="468" t="s">
        <v>1120</v>
      </c>
      <c r="C35" s="465">
        <f>SUMIF('4-Basis ruimtestaat'!B:B,'2-Kosten per locatie'!A35,'4-Basis ruimtestaat'!J:J)</f>
        <v>497.39800000000014</v>
      </c>
      <c r="D35" s="307">
        <v>1</v>
      </c>
      <c r="E35" s="308">
        <f>_xlfn.MAXIFS('4-Basis ruimtestaat'!L:L,'4-Basis ruimtestaat'!B:B,'2-Kosten per locatie'!A35)</f>
        <v>255</v>
      </c>
      <c r="F35" s="438" t="e">
        <f>SUMIF('4-Basis ruimtestaat'!B:B,'2-Kosten per locatie'!A35,'4-Basis ruimtestaat'!N:N)</f>
        <v>#DIV/0!</v>
      </c>
      <c r="G35" s="310" t="e">
        <f t="shared" si="0"/>
        <v>#DIV/0!</v>
      </c>
      <c r="H35" s="309" t="e">
        <f t="shared" si="1"/>
        <v>#DIV/0!</v>
      </c>
      <c r="I35" s="440" t="e">
        <f>(F35+G35)*'6-Opbouw uurtarief productie'!$E$47</f>
        <v>#DIV/0!</v>
      </c>
      <c r="J35" s="441" t="e">
        <f>H35*'7-Opbouw uurtarief toezicht'!$E$46</f>
        <v>#DIV/0!</v>
      </c>
      <c r="K35" s="442">
        <f>SUMIF('9-Vloeronderhoud'!A:A,A35,'9-Vloeronderhoud'!K:K)</f>
        <v>0</v>
      </c>
      <c r="L35" s="443">
        <f>SUMIF('10-Glasbewassing'!A:A,A35,'10-Glasbewassing'!H:H)</f>
        <v>0</v>
      </c>
      <c r="M35" s="443" t="e">
        <f t="shared" si="2"/>
        <v>#DIV/0!</v>
      </c>
      <c r="N35" s="443" t="e">
        <f t="shared" si="9"/>
        <v>#DIV/0!</v>
      </c>
      <c r="O35" s="445"/>
      <c r="P35"/>
      <c r="Q35" s="37"/>
      <c r="R35" s="37"/>
      <c r="S35" s="37"/>
      <c r="T35" s="37"/>
      <c r="U35" s="37"/>
      <c r="V35" s="37"/>
      <c r="W35" s="37"/>
      <c r="X35" s="37"/>
      <c r="Y35" s="37"/>
      <c r="Z35" s="37"/>
      <c r="AA35" s="37"/>
      <c r="AB35" s="37"/>
      <c r="AC35" s="37"/>
    </row>
    <row r="36" spans="1:29" ht="16.2" customHeight="1">
      <c r="A36" s="328" t="s">
        <v>8</v>
      </c>
      <c r="B36" s="50"/>
      <c r="C36" s="437">
        <f>SUM(C14:C35)</f>
        <v>27374.741687532973</v>
      </c>
      <c r="D36" s="311"/>
      <c r="E36" s="312"/>
      <c r="F36" s="439" t="e">
        <f t="shared" ref="F36:N36" si="10">SUM(F14:F35)</f>
        <v>#DIV/0!</v>
      </c>
      <c r="G36" s="313" t="e">
        <f t="shared" si="10"/>
        <v>#DIV/0!</v>
      </c>
      <c r="H36" s="313" t="e">
        <f t="shared" si="10"/>
        <v>#DIV/0!</v>
      </c>
      <c r="I36" s="444" t="e">
        <f t="shared" si="10"/>
        <v>#DIV/0!</v>
      </c>
      <c r="J36" s="444" t="e">
        <f t="shared" si="10"/>
        <v>#DIV/0!</v>
      </c>
      <c r="K36" s="444">
        <f t="shared" si="10"/>
        <v>0</v>
      </c>
      <c r="L36" s="444">
        <f t="shared" si="10"/>
        <v>0</v>
      </c>
      <c r="M36" s="444" t="e">
        <f t="shared" si="10"/>
        <v>#DIV/0!</v>
      </c>
      <c r="N36" s="444" t="e">
        <f t="shared" si="10"/>
        <v>#DIV/0!</v>
      </c>
      <c r="O36" s="445"/>
      <c r="P36"/>
      <c r="Q36" s="37"/>
      <c r="R36" s="37"/>
      <c r="S36" s="37"/>
      <c r="T36" s="37"/>
      <c r="U36" s="37"/>
      <c r="V36" s="37"/>
      <c r="W36" s="37"/>
      <c r="X36" s="37"/>
      <c r="Y36" s="37"/>
      <c r="Z36" s="37"/>
      <c r="AA36" s="37"/>
      <c r="AB36" s="37"/>
      <c r="AC36" s="37"/>
    </row>
    <row r="37" spans="1:29" ht="14.1" customHeight="1">
      <c r="N37" s="445"/>
    </row>
    <row r="38" spans="1:29" ht="14.1" customHeight="1">
      <c r="L38" s="38">
        <f>'10-Glasbewassing'!H104-'2-Kosten per locatie'!L36</f>
        <v>0</v>
      </c>
      <c r="N38" s="445"/>
    </row>
    <row r="39" spans="1:29" ht="14.1" customHeight="1">
      <c r="N39" s="445"/>
    </row>
    <row r="40" spans="1:29" ht="14.1" customHeight="1">
      <c r="N40" s="445"/>
    </row>
    <row r="41" spans="1:29" ht="14.1" customHeight="1">
      <c r="N41" s="445"/>
    </row>
    <row r="42" spans="1:29" ht="14.1" customHeight="1">
      <c r="N42" s="445"/>
    </row>
    <row r="43" spans="1:29" ht="14.1" customHeight="1">
      <c r="N43" s="445"/>
    </row>
    <row r="44" spans="1:29" ht="14.1" customHeight="1">
      <c r="N44" s="445"/>
    </row>
    <row r="45" spans="1:29" ht="14.1" customHeight="1">
      <c r="N45" s="445"/>
    </row>
    <row r="46" spans="1:29" ht="14.1" customHeight="1">
      <c r="N46" s="445"/>
    </row>
  </sheetData>
  <autoFilter ref="A13:N36" xr:uid="{00000000-0001-0000-0200-000000000000}"/>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T50"/>
  <sheetViews>
    <sheetView showGridLines="0" zoomScale="85" zoomScaleNormal="85" workbookViewId="0">
      <pane ySplit="11" topLeftCell="A12" activePane="bottomLeft" state="frozen"/>
      <selection activeCell="B1" sqref="B1"/>
      <selection pane="bottomLeft" activeCell="G19" sqref="G19"/>
    </sheetView>
  </sheetViews>
  <sheetFormatPr defaultColWidth="9.109375" defaultRowHeight="13.2"/>
  <cols>
    <col min="1" max="1" width="29.6640625" style="53" customWidth="1"/>
    <col min="2" max="2" width="9.109375" style="53" customWidth="1"/>
    <col min="3" max="7" width="9.109375" style="53"/>
    <col min="8" max="8" width="10.44140625" style="53" customWidth="1"/>
    <col min="9" max="9" width="9.109375" style="53" customWidth="1"/>
    <col min="10" max="10" width="9.109375" style="53"/>
    <col min="11" max="11" width="5.44140625" style="53" bestFit="1" customWidth="1"/>
    <col min="12" max="12" width="9.109375" style="53"/>
    <col min="13" max="13" width="5.44140625" style="53" bestFit="1" customWidth="1"/>
    <col min="14" max="14" width="9.109375" style="54"/>
    <col min="15" max="15" width="5.33203125" style="53" bestFit="1" customWidth="1"/>
    <col min="16" max="16" width="9.109375" style="54"/>
    <col min="17" max="17" width="2.88671875" style="2" customWidth="1"/>
    <col min="18" max="18" width="7.88671875" style="2" customWidth="1"/>
    <col min="19" max="19" width="3.6640625" style="2" customWidth="1"/>
    <col min="20" max="16384" width="9.109375" style="2"/>
  </cols>
  <sheetData>
    <row r="1" spans="1:20" ht="16.2">
      <c r="A1" s="257" t="s">
        <v>22</v>
      </c>
    </row>
    <row r="2" spans="1:20" ht="16.2">
      <c r="A2" s="258"/>
    </row>
    <row r="3" spans="1:20" ht="18.600000000000001">
      <c r="A3" s="250" t="str">
        <f>'2-Kosten per locatie'!A3</f>
        <v>Naam opdrachtgever</v>
      </c>
      <c r="B3" s="44" t="str">
        <f>'2-Kosten per locatie'!B3</f>
        <v>Blosse Kindcentra</v>
      </c>
      <c r="C3" s="55"/>
    </row>
    <row r="4" spans="1:20" ht="18.600000000000001">
      <c r="A4" s="250" t="str">
        <f>'2-Kosten per locatie'!A4</f>
        <v>Calculatie onderdeel</v>
      </c>
      <c r="B4" s="44" t="str">
        <f ca="1">MID(CELL("bestandsnaam",$B$9),SEARCH("]",CELL("bestandsnaam",$B$9),1)+1,256)</f>
        <v>3-Productie normen</v>
      </c>
      <c r="C4" s="44"/>
    </row>
    <row r="5" spans="1:20" ht="18.600000000000001">
      <c r="A5" s="250" t="str">
        <f>'2-Kosten per locatie'!A5</f>
        <v>Gebouw/plaats</v>
      </c>
      <c r="B5" s="44" t="str">
        <f>'2-Kosten per locatie'!B5</f>
        <v>Heerhugowaard en regio</v>
      </c>
      <c r="C5" s="44"/>
    </row>
    <row r="6" spans="1:20" ht="18.600000000000001">
      <c r="A6" s="250" t="str">
        <f>'2-Kosten per locatie'!A6</f>
        <v>Referentie nummer</v>
      </c>
      <c r="B6" s="44" t="str">
        <f>'2-Kosten per locatie'!B6</f>
        <v>Blosse-EU-RT-MVD-2024</v>
      </c>
      <c r="C6" s="44"/>
      <c r="L6" s="54"/>
      <c r="M6" s="54"/>
      <c r="N6" s="53"/>
      <c r="P6" s="53"/>
      <c r="Q6" s="53"/>
      <c r="R6" s="53"/>
      <c r="S6" s="53"/>
    </row>
    <row r="7" spans="1:20" ht="18.600000000000001">
      <c r="A7" s="250"/>
      <c r="B7" s="44"/>
      <c r="C7" s="44"/>
      <c r="L7" s="54"/>
      <c r="M7" s="54"/>
      <c r="N7" s="53"/>
      <c r="P7" s="53"/>
      <c r="Q7" s="53"/>
      <c r="R7" s="53"/>
      <c r="S7" s="53"/>
    </row>
    <row r="8" spans="1:20" ht="18.600000000000001">
      <c r="A8" s="250"/>
      <c r="B8" s="44"/>
      <c r="C8" s="233" t="s">
        <v>144</v>
      </c>
      <c r="D8" s="234"/>
      <c r="E8" s="234"/>
      <c r="F8" s="234"/>
      <c r="G8" s="234"/>
      <c r="H8" s="341" t="e">
        <f>SUM('4-Basis ruimtestaat'!S:S)/SUM('4-Basis ruimtestaat'!N:N)</f>
        <v>#DIV/0!</v>
      </c>
      <c r="I8" s="341"/>
      <c r="J8" s="235" t="s">
        <v>145</v>
      </c>
      <c r="L8" s="54"/>
      <c r="M8" s="54"/>
      <c r="N8" s="53"/>
      <c r="P8" s="53"/>
      <c r="Q8" s="53"/>
      <c r="R8" s="53"/>
      <c r="S8" s="53"/>
    </row>
    <row r="9" spans="1:20">
      <c r="A9" s="56"/>
      <c r="B9" s="57"/>
      <c r="C9" s="57"/>
      <c r="D9" s="58"/>
      <c r="E9" s="59"/>
      <c r="F9" s="59"/>
      <c r="G9" s="59"/>
      <c r="H9" s="59"/>
      <c r="I9" s="59"/>
      <c r="J9" s="59"/>
      <c r="K9" s="60"/>
      <c r="L9" s="60"/>
      <c r="M9" s="61"/>
      <c r="N9" s="2"/>
      <c r="O9" s="2"/>
      <c r="P9" s="2"/>
    </row>
    <row r="10" spans="1:20" ht="27.75" customHeight="1">
      <c r="A10" s="251" t="s">
        <v>96</v>
      </c>
      <c r="B10" s="252">
        <v>12</v>
      </c>
      <c r="C10" s="252">
        <v>36</v>
      </c>
      <c r="D10" s="252">
        <v>40</v>
      </c>
      <c r="E10" s="252">
        <v>52</v>
      </c>
      <c r="F10" s="252">
        <v>104</v>
      </c>
      <c r="G10" s="252">
        <v>120</v>
      </c>
      <c r="H10" s="252">
        <v>144</v>
      </c>
      <c r="I10" s="252">
        <v>156</v>
      </c>
      <c r="J10" s="252">
        <v>200</v>
      </c>
      <c r="K10" s="252">
        <v>201</v>
      </c>
      <c r="L10" s="252">
        <v>208</v>
      </c>
      <c r="M10" s="252">
        <v>224</v>
      </c>
      <c r="N10" s="252">
        <v>230</v>
      </c>
      <c r="O10" s="252">
        <v>236</v>
      </c>
      <c r="P10" s="252">
        <v>255</v>
      </c>
      <c r="Q10" s="61"/>
      <c r="R10" s="254"/>
      <c r="S10" s="255"/>
    </row>
    <row r="11" spans="1:20" ht="60.6" customHeight="1">
      <c r="A11" s="253" t="s">
        <v>51</v>
      </c>
      <c r="B11" s="450"/>
      <c r="C11" s="450"/>
      <c r="D11" s="450"/>
      <c r="E11" s="450"/>
      <c r="F11" s="450"/>
      <c r="G11" s="450"/>
      <c r="H11" s="450"/>
      <c r="I11" s="450"/>
      <c r="J11" s="450"/>
      <c r="K11" s="450"/>
      <c r="L11" s="450"/>
      <c r="M11" s="450"/>
      <c r="N11" s="450"/>
      <c r="O11" s="450"/>
      <c r="P11" s="450"/>
      <c r="Q11" s="61"/>
      <c r="R11" s="256" t="s">
        <v>146</v>
      </c>
      <c r="S11" s="255"/>
      <c r="T11" s="256" t="s">
        <v>97</v>
      </c>
    </row>
    <row r="12" spans="1:20">
      <c r="A12" s="63" t="s">
        <v>203</v>
      </c>
      <c r="B12" s="333"/>
      <c r="C12" s="333"/>
      <c r="D12" s="333"/>
      <c r="E12" s="330"/>
      <c r="F12" s="330"/>
      <c r="G12" s="330"/>
      <c r="H12" s="330"/>
      <c r="I12" s="485"/>
      <c r="J12" s="485"/>
      <c r="K12" s="330"/>
      <c r="L12" s="486"/>
      <c r="M12" s="485"/>
      <c r="N12" s="485"/>
      <c r="O12" s="485"/>
      <c r="P12" s="330"/>
      <c r="Q12" s="331"/>
      <c r="R12" s="332">
        <f>SUMIF('4-Basis ruimtestaat'!H:H,'3-Productie normen'!A12,'4-Basis ruimtestaat'!J:J)</f>
        <v>1292.023677092621</v>
      </c>
      <c r="S12" s="61"/>
      <c r="T12" s="64" t="s">
        <v>100</v>
      </c>
    </row>
    <row r="13" spans="1:20">
      <c r="A13" s="63" t="s">
        <v>16</v>
      </c>
      <c r="B13" s="330"/>
      <c r="C13" s="330"/>
      <c r="D13" s="330"/>
      <c r="E13" s="333"/>
      <c r="F13" s="333"/>
      <c r="G13" s="485"/>
      <c r="H13" s="333"/>
      <c r="I13" s="330"/>
      <c r="J13" s="485"/>
      <c r="K13" s="330"/>
      <c r="L13" s="486"/>
      <c r="M13" s="330"/>
      <c r="N13" s="485"/>
      <c r="O13" s="330"/>
      <c r="P13" s="330"/>
      <c r="Q13" s="331"/>
      <c r="R13" s="332">
        <f>SUMIF('4-Basis ruimtestaat'!H:H,'3-Productie normen'!A13,'4-Basis ruimtestaat'!J:J)</f>
        <v>1097.9400013256077</v>
      </c>
      <c r="S13" s="61"/>
      <c r="T13" s="64" t="s">
        <v>102</v>
      </c>
    </row>
    <row r="14" spans="1:20">
      <c r="A14" s="63" t="s">
        <v>151</v>
      </c>
      <c r="B14" s="333"/>
      <c r="C14" s="333"/>
      <c r="D14" s="333"/>
      <c r="E14" s="333"/>
      <c r="F14" s="330"/>
      <c r="G14" s="485"/>
      <c r="H14" s="333"/>
      <c r="I14" s="485"/>
      <c r="J14" s="485"/>
      <c r="K14" s="485"/>
      <c r="L14" s="486"/>
      <c r="M14" s="485"/>
      <c r="N14" s="485"/>
      <c r="O14" s="330"/>
      <c r="P14" s="330"/>
      <c r="Q14" s="331"/>
      <c r="R14" s="332">
        <f>SUMIF('4-Basis ruimtestaat'!H:H,'3-Productie normen'!A14,'4-Basis ruimtestaat'!J:J)</f>
        <v>31.44</v>
      </c>
      <c r="S14" s="53"/>
      <c r="T14" s="64" t="s">
        <v>101</v>
      </c>
    </row>
    <row r="15" spans="1:20">
      <c r="A15" s="81" t="s">
        <v>279</v>
      </c>
      <c r="B15" s="333"/>
      <c r="C15" s="333"/>
      <c r="D15" s="333"/>
      <c r="E15" s="333"/>
      <c r="F15" s="333"/>
      <c r="G15" s="333"/>
      <c r="H15" s="333"/>
      <c r="I15" s="485"/>
      <c r="J15" s="330"/>
      <c r="K15" s="485"/>
      <c r="L15" s="486"/>
      <c r="M15" s="333"/>
      <c r="N15" s="485"/>
      <c r="O15" s="333"/>
      <c r="P15" s="333"/>
      <c r="Q15" s="331"/>
      <c r="R15" s="332">
        <f>SUMIF('4-Basis ruimtestaat'!H:H,'3-Productie normen'!A15,'4-Basis ruimtestaat'!J:J)</f>
        <v>102.1300007629395</v>
      </c>
      <c r="S15" s="53"/>
      <c r="T15" s="64" t="s">
        <v>100</v>
      </c>
    </row>
    <row r="16" spans="1:20">
      <c r="A16" s="63" t="s">
        <v>198</v>
      </c>
      <c r="B16" s="333"/>
      <c r="C16" s="333"/>
      <c r="D16" s="330"/>
      <c r="E16" s="333"/>
      <c r="F16" s="485"/>
      <c r="G16" s="485"/>
      <c r="H16" s="333"/>
      <c r="I16" s="485"/>
      <c r="J16" s="330"/>
      <c r="K16" s="485"/>
      <c r="L16" s="486"/>
      <c r="M16" s="330"/>
      <c r="N16" s="485"/>
      <c r="O16" s="330"/>
      <c r="P16" s="330"/>
      <c r="Q16" s="331"/>
      <c r="R16" s="332">
        <f>SUMIF('4-Basis ruimtestaat'!H:H,'3-Productie normen'!A16,'4-Basis ruimtestaat'!J:J)</f>
        <v>7231.2790176811259</v>
      </c>
      <c r="S16" s="53"/>
      <c r="T16" s="64" t="s">
        <v>101</v>
      </c>
    </row>
    <row r="17" spans="1:20">
      <c r="A17" s="63" t="s">
        <v>241</v>
      </c>
      <c r="B17" s="333"/>
      <c r="C17" s="333"/>
      <c r="D17" s="330"/>
      <c r="E17" s="333"/>
      <c r="F17" s="333"/>
      <c r="G17" s="330"/>
      <c r="H17" s="333"/>
      <c r="I17" s="485"/>
      <c r="J17" s="485"/>
      <c r="K17" s="330"/>
      <c r="L17" s="486"/>
      <c r="M17" s="330"/>
      <c r="N17" s="485"/>
      <c r="O17" s="485"/>
      <c r="P17" s="330"/>
      <c r="Q17" s="331"/>
      <c r="R17" s="332">
        <f>SUMIF('4-Basis ruimtestaat'!H:H,'3-Productie normen'!A17,'4-Basis ruimtestaat'!J:J)</f>
        <v>9881.6199990510959</v>
      </c>
      <c r="S17" s="53"/>
      <c r="T17" s="64" t="s">
        <v>1054</v>
      </c>
    </row>
    <row r="18" spans="1:20">
      <c r="A18" s="81" t="s">
        <v>1047</v>
      </c>
      <c r="B18" s="333"/>
      <c r="C18" s="333"/>
      <c r="D18" s="330"/>
      <c r="E18" s="330"/>
      <c r="F18" s="333"/>
      <c r="G18" s="333"/>
      <c r="H18" s="333"/>
      <c r="I18" s="485"/>
      <c r="J18" s="485"/>
      <c r="K18" s="485"/>
      <c r="L18" s="486"/>
      <c r="M18" s="485"/>
      <c r="N18" s="485"/>
      <c r="O18" s="485"/>
      <c r="P18" s="330"/>
      <c r="Q18" s="331"/>
      <c r="R18" s="332">
        <f>SUMIF('4-Basis ruimtestaat'!H:H,'3-Productie normen'!A18,'4-Basis ruimtestaat'!J:J)</f>
        <v>6.4299999284744205</v>
      </c>
      <c r="S18" s="53"/>
      <c r="T18" s="64" t="s">
        <v>101</v>
      </c>
    </row>
    <row r="19" spans="1:20">
      <c r="A19" s="81" t="s">
        <v>1039</v>
      </c>
      <c r="B19" s="333"/>
      <c r="C19" s="333"/>
      <c r="D19" s="330"/>
      <c r="E19" s="333"/>
      <c r="F19" s="333"/>
      <c r="G19" s="333"/>
      <c r="H19" s="333"/>
      <c r="I19" s="330"/>
      <c r="J19" s="330"/>
      <c r="K19" s="485"/>
      <c r="L19" s="486"/>
      <c r="M19" s="485"/>
      <c r="N19" s="485"/>
      <c r="O19" s="485"/>
      <c r="P19" s="330"/>
      <c r="Q19" s="331"/>
      <c r="R19" s="332">
        <f>SUMIF('4-Basis ruimtestaat'!H:H,'3-Productie normen'!A19,'4-Basis ruimtestaat'!J:J)</f>
        <v>1579.819993896484</v>
      </c>
      <c r="S19" s="53"/>
      <c r="T19" s="64" t="s">
        <v>101</v>
      </c>
    </row>
    <row r="20" spans="1:20">
      <c r="A20" s="86" t="s">
        <v>1040</v>
      </c>
      <c r="B20" s="330"/>
      <c r="C20" s="333"/>
      <c r="D20" s="330"/>
      <c r="E20" s="333"/>
      <c r="F20" s="333"/>
      <c r="G20" s="333"/>
      <c r="H20" s="333"/>
      <c r="I20" s="333"/>
      <c r="J20" s="333"/>
      <c r="K20" s="333"/>
      <c r="L20" s="486"/>
      <c r="M20" s="485"/>
      <c r="N20" s="485"/>
      <c r="O20" s="333"/>
      <c r="P20" s="333"/>
      <c r="Q20" s="331"/>
      <c r="R20" s="332">
        <f>SUMIF('4-Basis ruimtestaat'!H:H,'3-Productie normen'!A20,'4-Basis ruimtestaat'!J:J)</f>
        <v>1183.3600020837791</v>
      </c>
      <c r="S20" s="53"/>
      <c r="T20" s="64" t="s">
        <v>101</v>
      </c>
    </row>
    <row r="21" spans="1:20">
      <c r="A21" s="65" t="s">
        <v>731</v>
      </c>
      <c r="B21"/>
      <c r="C21" s="330"/>
      <c r="D21" s="330"/>
      <c r="E21" s="333"/>
      <c r="F21" s="333"/>
      <c r="G21" s="333"/>
      <c r="H21" s="333"/>
      <c r="I21" s="330"/>
      <c r="J21" s="485"/>
      <c r="K21" s="330"/>
      <c r="L21" s="330"/>
      <c r="M21" s="485"/>
      <c r="N21" s="485"/>
      <c r="O21" s="330"/>
      <c r="P21" s="330"/>
      <c r="Q21" s="331"/>
      <c r="R21" s="332">
        <f>SUMIF('4-Basis ruimtestaat'!H:H,'3-Productie normen'!A21,'4-Basis ruimtestaat'!J:J)</f>
        <v>2826.0199983549105</v>
      </c>
      <c r="S21" s="53"/>
      <c r="T21" s="64" t="s">
        <v>101</v>
      </c>
    </row>
    <row r="22" spans="1:20">
      <c r="A22" s="430" t="s">
        <v>1046</v>
      </c>
      <c r="B22" s="330"/>
      <c r="C22" s="333"/>
      <c r="D22" s="333"/>
      <c r="E22" s="333"/>
      <c r="F22" s="330"/>
      <c r="G22" s="333"/>
      <c r="H22" s="333"/>
      <c r="I22" s="485"/>
      <c r="J22" s="330"/>
      <c r="K22" s="485"/>
      <c r="L22" s="485"/>
      <c r="M22" s="485"/>
      <c r="N22" s="485"/>
      <c r="O22" s="485"/>
      <c r="P22" s="330"/>
      <c r="Q22" s="331"/>
      <c r="R22" s="332">
        <f>SUMIF('4-Basis ruimtestaat'!H:H,'3-Productie normen'!A22,'4-Basis ruimtestaat'!J:J)</f>
        <v>285.78999778747556</v>
      </c>
      <c r="S22" s="53"/>
      <c r="T22" s="64" t="s">
        <v>101</v>
      </c>
    </row>
    <row r="23" spans="1:20">
      <c r="A23" s="65"/>
      <c r="B23" s="333"/>
      <c r="C23" s="333"/>
      <c r="D23" s="333"/>
      <c r="E23" s="333"/>
      <c r="F23" s="333"/>
      <c r="G23" s="333"/>
      <c r="H23" s="333"/>
      <c r="I23" s="333"/>
      <c r="J23" s="333"/>
      <c r="K23" s="333"/>
      <c r="L23" s="333"/>
      <c r="M23" s="333"/>
      <c r="N23" s="485"/>
      <c r="O23" s="333"/>
      <c r="P23" s="333"/>
      <c r="Q23" s="331"/>
      <c r="R23" s="332">
        <f>SUMIF('4-Basis ruimtestaat'!H:H,'3-Productie normen'!A23,'4-Basis ruimtestaat'!J:J)</f>
        <v>0</v>
      </c>
      <c r="S23" s="53"/>
      <c r="T23" s="64"/>
    </row>
    <row r="24" spans="1:20">
      <c r="A24" s="65" t="s">
        <v>1053</v>
      </c>
      <c r="B24" s="333"/>
      <c r="C24" s="333"/>
      <c r="D24" s="333"/>
      <c r="E24" s="333"/>
      <c r="F24" s="333"/>
      <c r="G24" s="333"/>
      <c r="H24" s="333"/>
      <c r="I24" s="333"/>
      <c r="J24" s="333"/>
      <c r="K24" s="333"/>
      <c r="L24" s="333"/>
      <c r="M24" s="333"/>
      <c r="N24" s="333"/>
      <c r="O24" s="333"/>
      <c r="P24" s="334"/>
      <c r="Q24" s="331"/>
      <c r="R24" s="332">
        <f>SUMIF('4-Basis ruimtestaat'!H:H,'3-Productie normen'!A24,'4-Basis ruimtestaat'!J:J)</f>
        <v>1856.8889995684622</v>
      </c>
      <c r="S24" s="53"/>
      <c r="T24" s="64"/>
    </row>
    <row r="25" spans="1:20">
      <c r="A25" s="65"/>
      <c r="B25" s="335"/>
      <c r="C25" s="335"/>
      <c r="D25" s="335"/>
      <c r="E25" s="335"/>
      <c r="F25" s="335"/>
      <c r="G25" s="335"/>
      <c r="H25" s="335"/>
      <c r="I25" s="335"/>
      <c r="J25" s="335"/>
      <c r="K25" s="335"/>
      <c r="L25" s="335"/>
      <c r="M25" s="335"/>
      <c r="N25" s="335"/>
      <c r="O25" s="335"/>
      <c r="P25" s="336"/>
      <c r="Q25" s="331"/>
      <c r="R25" s="332"/>
      <c r="S25" s="62"/>
      <c r="T25" s="64"/>
    </row>
    <row r="26" spans="1:20">
      <c r="A26" s="66" t="s">
        <v>8</v>
      </c>
      <c r="B26" s="337"/>
      <c r="C26" s="337"/>
      <c r="D26" s="337"/>
      <c r="E26" s="337"/>
      <c r="F26" s="337"/>
      <c r="G26" s="337"/>
      <c r="H26" s="337"/>
      <c r="I26" s="337"/>
      <c r="J26" s="337"/>
      <c r="K26" s="337"/>
      <c r="L26" s="337"/>
      <c r="M26" s="337"/>
      <c r="N26" s="337"/>
      <c r="O26" s="337"/>
      <c r="P26" s="338"/>
      <c r="Q26" s="339"/>
      <c r="R26" s="340">
        <f>SUM(R12:R25)</f>
        <v>27374.741687532976</v>
      </c>
      <c r="S26" s="61"/>
      <c r="T26" s="68"/>
    </row>
    <row r="27" spans="1:20">
      <c r="N27" s="61"/>
      <c r="O27" s="61"/>
      <c r="P27" s="53"/>
    </row>
    <row r="28" spans="1:20" ht="16.2">
      <c r="A28" s="259" t="s">
        <v>143</v>
      </c>
      <c r="B28" s="260">
        <v>2</v>
      </c>
      <c r="C28" s="260">
        <v>3</v>
      </c>
      <c r="D28" s="260">
        <v>4</v>
      </c>
      <c r="E28" s="260">
        <v>5</v>
      </c>
      <c r="F28" s="260">
        <v>6</v>
      </c>
      <c r="G28" s="260">
        <v>7</v>
      </c>
      <c r="H28" s="260">
        <v>8</v>
      </c>
      <c r="I28" s="260">
        <v>9</v>
      </c>
      <c r="J28" s="260">
        <v>10</v>
      </c>
      <c r="K28" s="260">
        <v>11</v>
      </c>
      <c r="L28" s="260">
        <v>12</v>
      </c>
      <c r="M28" s="260">
        <v>13</v>
      </c>
      <c r="N28" s="260">
        <v>14</v>
      </c>
      <c r="O28" s="260">
        <v>15</v>
      </c>
      <c r="P28" s="260">
        <v>16</v>
      </c>
    </row>
    <row r="30" spans="1:20" ht="52.8" customHeight="1">
      <c r="B30" s="463" t="s">
        <v>98</v>
      </c>
      <c r="C30" s="464" t="s">
        <v>142</v>
      </c>
      <c r="D30" s="488" t="s">
        <v>157</v>
      </c>
      <c r="E30" s="489"/>
      <c r="F30" s="489"/>
      <c r="G30" s="489"/>
      <c r="H30" s="490"/>
    </row>
    <row r="31" spans="1:20">
      <c r="B31" s="69">
        <v>12</v>
      </c>
      <c r="C31" s="261">
        <v>2</v>
      </c>
      <c r="D31" s="491" t="s">
        <v>158</v>
      </c>
      <c r="E31" s="491"/>
      <c r="F31" s="491"/>
      <c r="G31" s="491"/>
      <c r="H31" s="491"/>
    </row>
    <row r="32" spans="1:20">
      <c r="B32" s="435">
        <v>36</v>
      </c>
      <c r="C32" s="436">
        <v>3</v>
      </c>
      <c r="D32" s="491" t="s">
        <v>1142</v>
      </c>
      <c r="E32" s="491"/>
      <c r="F32" s="491"/>
      <c r="G32" s="491"/>
      <c r="H32" s="491"/>
    </row>
    <row r="33" spans="2:9">
      <c r="B33" s="69">
        <v>40</v>
      </c>
      <c r="C33" s="261">
        <v>4</v>
      </c>
      <c r="D33" s="491" t="s">
        <v>1048</v>
      </c>
      <c r="E33" s="491"/>
      <c r="F33" s="491"/>
      <c r="G33" s="491"/>
      <c r="H33" s="491"/>
      <c r="I33" s="423"/>
    </row>
    <row r="34" spans="2:9">
      <c r="B34" s="435">
        <v>52</v>
      </c>
      <c r="C34" s="436">
        <v>5</v>
      </c>
      <c r="D34" s="491" t="s">
        <v>159</v>
      </c>
      <c r="E34" s="491"/>
      <c r="F34" s="491"/>
      <c r="G34" s="491"/>
      <c r="H34" s="491"/>
      <c r="I34" s="423"/>
    </row>
    <row r="35" spans="2:9">
      <c r="B35" s="435">
        <v>104</v>
      </c>
      <c r="C35" s="436">
        <v>6</v>
      </c>
      <c r="D35" s="491" t="s">
        <v>1049</v>
      </c>
      <c r="E35" s="491"/>
      <c r="F35" s="491"/>
      <c r="G35" s="491"/>
      <c r="H35" s="491"/>
      <c r="I35" s="423"/>
    </row>
    <row r="36" spans="2:9">
      <c r="B36" s="69">
        <v>120</v>
      </c>
      <c r="C36" s="261">
        <v>7</v>
      </c>
      <c r="D36" s="491" t="s">
        <v>1050</v>
      </c>
      <c r="E36" s="491"/>
      <c r="F36" s="491"/>
      <c r="G36" s="491"/>
      <c r="H36" s="491"/>
      <c r="I36" s="423"/>
    </row>
    <row r="37" spans="2:9">
      <c r="B37" s="435">
        <v>144</v>
      </c>
      <c r="C37" s="436">
        <v>8</v>
      </c>
      <c r="D37" s="491" t="s">
        <v>1094</v>
      </c>
      <c r="E37" s="491"/>
      <c r="F37" s="491"/>
      <c r="G37" s="491"/>
      <c r="H37" s="491"/>
      <c r="I37" s="423"/>
    </row>
    <row r="38" spans="2:9">
      <c r="B38" s="435">
        <v>156</v>
      </c>
      <c r="C38" s="436">
        <v>9</v>
      </c>
      <c r="D38" s="492" t="s">
        <v>1139</v>
      </c>
      <c r="E38" s="492"/>
      <c r="F38" s="492"/>
      <c r="G38" s="492"/>
      <c r="H38" s="492"/>
      <c r="I38" s="423"/>
    </row>
    <row r="39" spans="2:9">
      <c r="B39" s="70">
        <v>200</v>
      </c>
      <c r="C39" s="261">
        <v>10</v>
      </c>
      <c r="D39" s="491" t="s">
        <v>1056</v>
      </c>
      <c r="E39" s="491"/>
      <c r="F39" s="491"/>
      <c r="G39" s="491"/>
      <c r="H39" s="491"/>
      <c r="I39" s="423"/>
    </row>
    <row r="40" spans="2:9">
      <c r="B40" s="478">
        <v>201</v>
      </c>
      <c r="C40" s="436">
        <v>11</v>
      </c>
      <c r="D40" s="491" t="s">
        <v>1146</v>
      </c>
      <c r="E40" s="491"/>
      <c r="F40" s="491"/>
      <c r="G40" s="491"/>
      <c r="H40" s="491"/>
      <c r="I40" s="423"/>
    </row>
    <row r="41" spans="2:9">
      <c r="B41" s="478">
        <v>208</v>
      </c>
      <c r="C41" s="436">
        <v>12</v>
      </c>
      <c r="D41" s="491" t="s">
        <v>1140</v>
      </c>
      <c r="E41" s="491"/>
      <c r="F41" s="491"/>
      <c r="G41" s="491"/>
      <c r="H41" s="491"/>
      <c r="I41" s="423"/>
    </row>
    <row r="42" spans="2:9">
      <c r="B42" s="478">
        <v>224</v>
      </c>
      <c r="C42" s="436">
        <v>13</v>
      </c>
      <c r="D42" s="491" t="s">
        <v>1095</v>
      </c>
      <c r="E42" s="491"/>
      <c r="F42" s="491"/>
      <c r="G42" s="491"/>
      <c r="H42" s="491"/>
      <c r="I42" s="423"/>
    </row>
    <row r="43" spans="2:9">
      <c r="B43" s="478">
        <v>230</v>
      </c>
      <c r="C43" s="436">
        <v>14</v>
      </c>
      <c r="D43" s="491" t="s">
        <v>1145</v>
      </c>
      <c r="E43" s="491"/>
      <c r="F43" s="491"/>
      <c r="G43" s="491"/>
      <c r="H43" s="491"/>
      <c r="I43" s="423"/>
    </row>
    <row r="44" spans="2:9">
      <c r="B44" s="70">
        <v>236</v>
      </c>
      <c r="C44" s="261">
        <v>15</v>
      </c>
      <c r="D44" s="491" t="s">
        <v>1141</v>
      </c>
      <c r="E44" s="491"/>
      <c r="F44" s="491"/>
      <c r="G44" s="491"/>
      <c r="H44" s="491"/>
      <c r="I44" s="423"/>
    </row>
    <row r="45" spans="2:9">
      <c r="B45" s="70">
        <v>255</v>
      </c>
      <c r="C45" s="261">
        <v>16</v>
      </c>
      <c r="D45" s="491" t="s">
        <v>160</v>
      </c>
      <c r="E45" s="491"/>
      <c r="F45" s="491"/>
      <c r="G45" s="491"/>
      <c r="H45" s="491"/>
      <c r="I45" s="423"/>
    </row>
    <row r="47" spans="2:9" ht="14.4">
      <c r="B47" s="470"/>
    </row>
    <row r="48" spans="2:9" ht="14.4">
      <c r="B48" s="470"/>
    </row>
    <row r="49" spans="2:2" ht="14.4">
      <c r="B49" s="471"/>
    </row>
    <row r="50" spans="2:2" ht="14.4">
      <c r="B50" s="471"/>
    </row>
  </sheetData>
  <mergeCells count="16">
    <mergeCell ref="D30:H30"/>
    <mergeCell ref="D31:H31"/>
    <mergeCell ref="D45:H45"/>
    <mergeCell ref="D33:H33"/>
    <mergeCell ref="D34:H34"/>
    <mergeCell ref="D35:H35"/>
    <mergeCell ref="D36:H36"/>
    <mergeCell ref="D39:H39"/>
    <mergeCell ref="D37:H37"/>
    <mergeCell ref="D44:H44"/>
    <mergeCell ref="D38:H38"/>
    <mergeCell ref="D42:H42"/>
    <mergeCell ref="D41:H41"/>
    <mergeCell ref="D32:H32"/>
    <mergeCell ref="D43:H43"/>
    <mergeCell ref="D40:H40"/>
  </mergeCells>
  <phoneticPr fontId="73" type="noConversion"/>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T1284"/>
  <sheetViews>
    <sheetView showGridLines="0" showZeros="0" zoomScale="70" zoomScaleNormal="70" zoomScalePageLayoutView="75" workbookViewId="0">
      <pane xSplit="1" ySplit="9" topLeftCell="B10" activePane="bottomRight" state="frozen"/>
      <selection activeCell="B1" sqref="B1"/>
      <selection pane="topRight" activeCell="B1" sqref="B1"/>
      <selection pane="bottomLeft" activeCell="B1" sqref="B1"/>
      <selection pane="bottomRight" activeCell="I7" sqref="I7"/>
    </sheetView>
  </sheetViews>
  <sheetFormatPr defaultColWidth="8.6640625" defaultRowHeight="14.1" customHeight="1"/>
  <cols>
    <col min="1" max="1" width="9" style="53" customWidth="1"/>
    <col min="2" max="2" width="40.44140625" style="53" customWidth="1"/>
    <col min="3" max="3" width="35.44140625" style="53" customWidth="1"/>
    <col min="4" max="4" width="36" style="53" customWidth="1"/>
    <col min="5" max="5" width="20" style="423" customWidth="1"/>
    <col min="6" max="6" width="20.21875" style="344" bestFit="1" customWidth="1"/>
    <col min="7" max="7" width="38.33203125" style="53" customWidth="1"/>
    <col min="8" max="8" width="23.77734375" style="53" customWidth="1"/>
    <col min="9" max="9" width="16" style="53" customWidth="1"/>
    <col min="10" max="10" width="8" style="53" bestFit="1" customWidth="1"/>
    <col min="11" max="11" width="11.88671875" style="71" customWidth="1"/>
    <col min="12" max="12" width="9.109375" style="88" customWidth="1"/>
    <col min="13" max="13" width="33.6640625" style="88" customWidth="1"/>
    <col min="14" max="14" width="17.6640625" style="53" customWidth="1"/>
    <col min="15" max="15" width="12" style="53" bestFit="1" customWidth="1"/>
    <col min="16" max="16" width="9.33203125" style="53" customWidth="1"/>
    <col min="17" max="17" width="35.109375" style="423" customWidth="1"/>
    <col min="18" max="18" width="3" style="53" customWidth="1"/>
    <col min="19" max="19" width="11.109375" style="53" customWidth="1"/>
    <col min="20" max="20" width="15.5546875" style="2" bestFit="1" customWidth="1"/>
    <col min="21" max="16384" width="8.6640625" style="2"/>
  </cols>
  <sheetData>
    <row r="1" spans="1:20" ht="16.2">
      <c r="B1" s="257" t="s">
        <v>22</v>
      </c>
      <c r="L1" s="53"/>
      <c r="M1" s="54"/>
    </row>
    <row r="2" spans="1:20" ht="14.1" customHeight="1">
      <c r="A2" s="72">
        <v>2</v>
      </c>
      <c r="B2" s="262"/>
      <c r="C2" s="73"/>
      <c r="D2" s="73"/>
      <c r="E2" s="472"/>
      <c r="F2" s="473"/>
      <c r="G2" s="474"/>
      <c r="H2" s="474"/>
      <c r="I2" s="472"/>
      <c r="J2" s="77"/>
      <c r="K2" s="78"/>
      <c r="L2" s="79"/>
      <c r="M2" s="79"/>
      <c r="N2" s="76"/>
      <c r="O2" s="80"/>
      <c r="P2" s="75"/>
      <c r="Q2" s="424"/>
    </row>
    <row r="3" spans="1:20" ht="14.1" customHeight="1">
      <c r="A3" s="72">
        <v>3</v>
      </c>
      <c r="B3" s="250" t="str">
        <f>'2-Kosten per locatie'!A3</f>
        <v>Naam opdrachtgever</v>
      </c>
      <c r="C3" s="44" t="str">
        <f>'2-Kosten per locatie'!B3</f>
        <v>Blosse Kindcentra</v>
      </c>
      <c r="D3" s="44"/>
      <c r="E3" s="475"/>
      <c r="F3" s="476"/>
      <c r="G3" s="71"/>
      <c r="H3" s="71"/>
      <c r="I3" s="475"/>
      <c r="J3" s="77"/>
      <c r="K3" s="78"/>
      <c r="L3" s="79"/>
      <c r="M3" s="79"/>
      <c r="N3" s="76"/>
      <c r="O3" s="80"/>
      <c r="P3" s="75"/>
      <c r="Q3" s="424"/>
    </row>
    <row r="4" spans="1:20" ht="14.1" customHeight="1">
      <c r="A4" s="72">
        <v>4</v>
      </c>
      <c r="B4" s="250" t="str">
        <f>'2-Kosten per locatie'!A4</f>
        <v>Calculatie onderdeel</v>
      </c>
      <c r="C4" s="44" t="str">
        <f ca="1">MID(CELL("bestandsnaam",$E$9),SEARCH("]",CELL("bestandsnaam",$E$9),1)+1,256)</f>
        <v>4-Basis ruimtestaat</v>
      </c>
      <c r="D4" s="44"/>
      <c r="E4" s="475"/>
      <c r="F4" s="477"/>
      <c r="G4" s="71"/>
      <c r="H4" s="71"/>
      <c r="I4" s="78"/>
      <c r="J4" s="77"/>
      <c r="K4" s="78"/>
      <c r="L4" s="79"/>
      <c r="M4" s="79"/>
      <c r="N4" s="76"/>
      <c r="O4" s="80"/>
      <c r="P4" s="75"/>
      <c r="Q4" s="424"/>
    </row>
    <row r="5" spans="1:20" ht="14.1" customHeight="1">
      <c r="A5" s="72">
        <v>5</v>
      </c>
      <c r="B5" s="250" t="str">
        <f>'2-Kosten per locatie'!A5</f>
        <v>Gebouw/plaats</v>
      </c>
      <c r="C5" s="44" t="str">
        <f>'2-Kosten per locatie'!B5</f>
        <v>Heerhugowaard en regio</v>
      </c>
      <c r="D5" s="44"/>
      <c r="E5" s="472"/>
      <c r="F5" s="476"/>
      <c r="G5" s="71"/>
      <c r="H5" s="71"/>
      <c r="I5" s="78"/>
      <c r="J5" s="77"/>
      <c r="K5" s="78"/>
      <c r="L5" s="79"/>
      <c r="M5" s="79"/>
      <c r="N5" s="76"/>
      <c r="O5" s="80"/>
      <c r="P5" s="75"/>
      <c r="Q5" s="424"/>
    </row>
    <row r="6" spans="1:20" ht="14.1" customHeight="1">
      <c r="A6" s="72">
        <v>6</v>
      </c>
      <c r="B6" s="250" t="str">
        <f>'2-Kosten per locatie'!A6</f>
        <v>Referentie nummer</v>
      </c>
      <c r="C6" s="44" t="str">
        <f>'2-Kosten per locatie'!B6</f>
        <v>Blosse-EU-RT-MVD-2024</v>
      </c>
      <c r="D6" s="44"/>
      <c r="E6" s="475"/>
      <c r="F6" s="476"/>
      <c r="G6" s="71"/>
      <c r="H6" s="71"/>
      <c r="I6" s="71"/>
      <c r="J6" s="77"/>
      <c r="K6" s="78"/>
      <c r="L6" s="79"/>
      <c r="M6" s="79"/>
      <c r="N6" s="76"/>
      <c r="O6" s="80"/>
      <c r="P6" s="75"/>
      <c r="Q6" s="424"/>
    </row>
    <row r="7" spans="1:20" ht="12.75" customHeight="1">
      <c r="A7" s="72">
        <v>7</v>
      </c>
      <c r="B7" s="250" t="str">
        <f>'2-Kosten per locatie'!A7</f>
        <v>Naam dienstverlener</v>
      </c>
      <c r="C7" s="44" t="str">
        <f>'2-Kosten per locatie'!B7</f>
        <v>…............................</v>
      </c>
      <c r="D7" s="44"/>
      <c r="F7" s="346"/>
      <c r="I7" s="76"/>
      <c r="J7" s="77"/>
      <c r="K7" s="78"/>
      <c r="L7" s="79"/>
      <c r="M7" s="79"/>
      <c r="N7" s="76"/>
      <c r="O7" s="80"/>
      <c r="P7" s="75"/>
      <c r="Q7" s="424"/>
    </row>
    <row r="8" spans="1:20" ht="14.1" customHeight="1">
      <c r="A8" s="72">
        <v>8</v>
      </c>
      <c r="B8" s="75"/>
      <c r="C8" s="75"/>
      <c r="D8" s="75"/>
      <c r="E8" s="424"/>
      <c r="F8" s="345"/>
      <c r="G8" s="75"/>
      <c r="H8" s="75"/>
      <c r="I8" s="76"/>
      <c r="J8" s="77"/>
      <c r="K8" s="78"/>
      <c r="L8" s="79"/>
      <c r="M8" s="79"/>
      <c r="N8" s="76"/>
      <c r="O8" s="76"/>
      <c r="P8" s="75"/>
      <c r="Q8" s="424"/>
    </row>
    <row r="9" spans="1:20" ht="44.1" customHeight="1">
      <c r="A9" s="72">
        <v>9</v>
      </c>
      <c r="B9" s="263" t="s">
        <v>75</v>
      </c>
      <c r="C9" s="263" t="s">
        <v>95</v>
      </c>
      <c r="D9" s="299" t="s">
        <v>1032</v>
      </c>
      <c r="E9" s="263" t="s">
        <v>76</v>
      </c>
      <c r="F9" s="263" t="s">
        <v>81</v>
      </c>
      <c r="G9" s="263" t="s">
        <v>82</v>
      </c>
      <c r="H9" s="263" t="s">
        <v>83</v>
      </c>
      <c r="I9" s="264" t="s">
        <v>84</v>
      </c>
      <c r="J9" s="265" t="s">
        <v>85</v>
      </c>
      <c r="K9" s="266" t="s">
        <v>173</v>
      </c>
      <c r="L9" s="267" t="s">
        <v>141</v>
      </c>
      <c r="M9" s="267" t="s">
        <v>1055</v>
      </c>
      <c r="N9" s="266" t="s">
        <v>86</v>
      </c>
      <c r="O9" s="266" t="s">
        <v>99</v>
      </c>
      <c r="P9" s="268" t="s">
        <v>87</v>
      </c>
      <c r="Q9" s="446" t="s">
        <v>150</v>
      </c>
      <c r="R9" s="269"/>
      <c r="S9" s="268" t="s">
        <v>88</v>
      </c>
    </row>
    <row r="10" spans="1:20" s="13" customFormat="1" ht="14.1" customHeight="1">
      <c r="A10" s="72">
        <f>A9+1</f>
        <v>10</v>
      </c>
      <c r="B10" s="50" t="s">
        <v>805</v>
      </c>
      <c r="C10" s="50" t="s">
        <v>824</v>
      </c>
      <c r="D10" s="427" t="s">
        <v>1033</v>
      </c>
      <c r="E10" s="422" t="s">
        <v>196</v>
      </c>
      <c r="F10" s="347" t="s">
        <v>197</v>
      </c>
      <c r="G10" s="50" t="s">
        <v>199</v>
      </c>
      <c r="H10" s="432" t="s">
        <v>198</v>
      </c>
      <c r="I10" s="81" t="s">
        <v>779</v>
      </c>
      <c r="J10" s="350">
        <v>4.7699999999999996</v>
      </c>
      <c r="K10" s="351">
        <f>L10</f>
        <v>200</v>
      </c>
      <c r="L10" s="352">
        <v>200</v>
      </c>
      <c r="M10" s="448" t="str">
        <f>IF(L10="nio","",VLOOKUP(L10,'3-Productie normen'!$B$31:$H$45,3,FALSE))</f>
        <v>5 x per week (40 weken)</v>
      </c>
      <c r="N10" s="353" t="e">
        <f t="shared" ref="N10:N73" si="0">IF(L10="nio",0,IF(L10&gt;0,L10*J10/O10,0))</f>
        <v>#DIV/0!</v>
      </c>
      <c r="O10" s="354">
        <f>IF(L10="nio",0,IF(L10&gt;0,VLOOKUP(H10,'3-Productie normen'!A:P,VLOOKUP(L10,'3-Productie normen'!$B$31:$C$45,2,FALSE),FALSE)))/VLOOKUP(B10,'2-Kosten per locatie'!$A$13:$D$36,4,FALSE)</f>
        <v>0</v>
      </c>
      <c r="P10" s="82" t="str">
        <f>VLOOKUP(H10,'3-Productie normen'!A:T,20,FALSE)</f>
        <v>V</v>
      </c>
      <c r="Q10" s="447" t="s">
        <v>843</v>
      </c>
      <c r="R10" s="53"/>
      <c r="S10" s="356">
        <f t="shared" ref="S10:S73" si="1">IF(L10="nio",0,K10*J10)</f>
        <v>953.99999999999989</v>
      </c>
      <c r="T10" s="2"/>
    </row>
    <row r="11" spans="1:20" ht="14.1" customHeight="1">
      <c r="A11" s="72">
        <f t="shared" ref="A11:A74" si="2">A10+1</f>
        <v>11</v>
      </c>
      <c r="B11" s="50" t="s">
        <v>805</v>
      </c>
      <c r="C11" s="50" t="s">
        <v>824</v>
      </c>
      <c r="D11" s="427" t="s">
        <v>1033</v>
      </c>
      <c r="E11" s="422" t="s">
        <v>196</v>
      </c>
      <c r="F11" s="347" t="s">
        <v>200</v>
      </c>
      <c r="G11" s="50" t="s">
        <v>201</v>
      </c>
      <c r="H11" s="432" t="s">
        <v>198</v>
      </c>
      <c r="I11" s="81" t="s">
        <v>780</v>
      </c>
      <c r="J11" s="350">
        <v>155.07</v>
      </c>
      <c r="K11" s="351">
        <f t="shared" ref="K11:K74" si="3">L11</f>
        <v>200</v>
      </c>
      <c r="L11" s="352">
        <v>200</v>
      </c>
      <c r="M11" s="448" t="str">
        <f>IF(L11="nio","",VLOOKUP(L11,'3-Productie normen'!$B$31:$H$45,3,FALSE))</f>
        <v>5 x per week (40 weken)</v>
      </c>
      <c r="N11" s="353" t="e">
        <f t="shared" si="0"/>
        <v>#DIV/0!</v>
      </c>
      <c r="O11" s="354">
        <f>IF(L11="nio",0,IF(L11&gt;0,VLOOKUP(H11,'3-Productie normen'!A:P,VLOOKUP(L11,'3-Productie normen'!$B$31:$C$45,2,FALSE),FALSE)))/VLOOKUP(B11,'2-Kosten per locatie'!$A$13:$D$36,4,FALSE)</f>
        <v>0</v>
      </c>
      <c r="P11" s="82" t="str">
        <f>VLOOKUP(H11,'3-Productie normen'!A:T,20,FALSE)</f>
        <v>V</v>
      </c>
      <c r="Q11" s="447" t="s">
        <v>844</v>
      </c>
      <c r="S11" s="356">
        <f t="shared" si="1"/>
        <v>31014</v>
      </c>
    </row>
    <row r="12" spans="1:20" ht="14.1" customHeight="1">
      <c r="A12" s="72">
        <f t="shared" si="2"/>
        <v>12</v>
      </c>
      <c r="B12" s="50" t="s">
        <v>805</v>
      </c>
      <c r="C12" s="50" t="s">
        <v>824</v>
      </c>
      <c r="D12" s="427" t="s">
        <v>1033</v>
      </c>
      <c r="E12" s="422" t="s">
        <v>196</v>
      </c>
      <c r="F12" s="347" t="s">
        <v>202</v>
      </c>
      <c r="G12" s="50" t="s">
        <v>204</v>
      </c>
      <c r="H12" s="50" t="s">
        <v>203</v>
      </c>
      <c r="I12" s="81" t="s">
        <v>780</v>
      </c>
      <c r="J12" s="350">
        <v>8.11</v>
      </c>
      <c r="K12" s="351">
        <f t="shared" si="3"/>
        <v>201</v>
      </c>
      <c r="L12" s="352">
        <v>201</v>
      </c>
      <c r="M12" s="448" t="str">
        <f>IF(L12="nio","",VLOOKUP(L12,'3-Productie normen'!$B$31:$H$45,3,FALSE))</f>
        <v>5 x per week (40 weken + 1 Zomer refreshbeurt)</v>
      </c>
      <c r="N12" s="353" t="e">
        <f t="shared" si="0"/>
        <v>#DIV/0!</v>
      </c>
      <c r="O12" s="354">
        <f>IF(L12="nio",0,IF(L12&gt;0,VLOOKUP(H12,'3-Productie normen'!A:P,VLOOKUP(L12,'3-Productie normen'!$B$31:$C$45,2,FALSE),FALSE)))/VLOOKUP(B12,'2-Kosten per locatie'!$A$13:$D$36,4,FALSE)</f>
        <v>0</v>
      </c>
      <c r="P12" s="82" t="str">
        <f>VLOOKUP(H12,'3-Productie normen'!A:T,20,FALSE)</f>
        <v>B</v>
      </c>
      <c r="Q12" s="447" t="s">
        <v>792</v>
      </c>
      <c r="S12" s="356">
        <f t="shared" si="1"/>
        <v>1630.11</v>
      </c>
    </row>
    <row r="13" spans="1:20" ht="14.1" customHeight="1">
      <c r="A13" s="72">
        <f t="shared" si="2"/>
        <v>13</v>
      </c>
      <c r="B13" s="50" t="s">
        <v>805</v>
      </c>
      <c r="C13" s="50" t="s">
        <v>824</v>
      </c>
      <c r="D13" s="427" t="s">
        <v>1033</v>
      </c>
      <c r="E13" s="422" t="s">
        <v>196</v>
      </c>
      <c r="F13" s="347" t="s">
        <v>205</v>
      </c>
      <c r="G13" s="81" t="s">
        <v>206</v>
      </c>
      <c r="H13" s="65" t="s">
        <v>1053</v>
      </c>
      <c r="I13" s="81" t="s">
        <v>92</v>
      </c>
      <c r="J13" s="350">
        <v>0.44999998807907099</v>
      </c>
      <c r="K13" s="351" t="str">
        <f t="shared" si="3"/>
        <v>nio</v>
      </c>
      <c r="L13" s="352" t="s">
        <v>804</v>
      </c>
      <c r="M13" s="448" t="str">
        <f>IF(L13="nio","",VLOOKUP(L13,'3-Productie normen'!$B$31:$H$45,3,FALSE))</f>
        <v/>
      </c>
      <c r="N13" s="353">
        <f t="shared" si="0"/>
        <v>0</v>
      </c>
      <c r="O13" s="354">
        <f>IF(L13="nio",0,IF(L13&gt;0,VLOOKUP(H13,'3-Productie normen'!A:P,VLOOKUP(L13,'3-Productie normen'!$B$31:$C$45,2,FALSE),FALSE)))/VLOOKUP(B13,'2-Kosten per locatie'!$A$13:$D$36,4,FALSE)</f>
        <v>0</v>
      </c>
      <c r="P13" s="82">
        <f>VLOOKUP(H13,'3-Productie normen'!A:T,20,FALSE)</f>
        <v>0</v>
      </c>
      <c r="Q13" s="447" t="s">
        <v>845</v>
      </c>
      <c r="S13" s="356">
        <f t="shared" si="1"/>
        <v>0</v>
      </c>
    </row>
    <row r="14" spans="1:20" ht="14.1" customHeight="1">
      <c r="A14" s="72">
        <f t="shared" si="2"/>
        <v>14</v>
      </c>
      <c r="B14" s="50" t="s">
        <v>805</v>
      </c>
      <c r="C14" s="50" t="s">
        <v>824</v>
      </c>
      <c r="D14" s="427" t="s">
        <v>1033</v>
      </c>
      <c r="E14" s="422" t="s">
        <v>196</v>
      </c>
      <c r="F14" s="348" t="s">
        <v>207</v>
      </c>
      <c r="G14" s="63" t="s">
        <v>206</v>
      </c>
      <c r="H14" s="65" t="s">
        <v>1053</v>
      </c>
      <c r="I14" s="81" t="s">
        <v>92</v>
      </c>
      <c r="J14" s="350">
        <v>0.44999998807907099</v>
      </c>
      <c r="K14" s="351" t="str">
        <f t="shared" si="3"/>
        <v>nio</v>
      </c>
      <c r="L14" s="352" t="s">
        <v>804</v>
      </c>
      <c r="M14" s="448" t="str">
        <f>IF(L14="nio","",VLOOKUP(L14,'3-Productie normen'!$B$31:$H$45,3,FALSE))</f>
        <v/>
      </c>
      <c r="N14" s="353">
        <f t="shared" si="0"/>
        <v>0</v>
      </c>
      <c r="O14" s="354">
        <f>IF(L14="nio",0,IF(L14&gt;0,VLOOKUP(H14,'3-Productie normen'!A:P,VLOOKUP(L14,'3-Productie normen'!$B$31:$C$45,2,FALSE),FALSE)))/VLOOKUP(B14,'2-Kosten per locatie'!$A$13:$D$36,4,FALSE)</f>
        <v>0</v>
      </c>
      <c r="P14" s="82">
        <f>VLOOKUP(H14,'3-Productie normen'!A:T,20,FALSE)</f>
        <v>0</v>
      </c>
      <c r="Q14" s="447" t="s">
        <v>846</v>
      </c>
      <c r="S14" s="356">
        <f t="shared" si="1"/>
        <v>0</v>
      </c>
    </row>
    <row r="15" spans="1:20" ht="14.1" customHeight="1">
      <c r="A15" s="72">
        <f t="shared" si="2"/>
        <v>15</v>
      </c>
      <c r="B15" s="50" t="s">
        <v>805</v>
      </c>
      <c r="C15" s="50" t="s">
        <v>824</v>
      </c>
      <c r="D15" s="427" t="s">
        <v>1033</v>
      </c>
      <c r="E15" s="422" t="s">
        <v>196</v>
      </c>
      <c r="F15" s="347" t="s">
        <v>208</v>
      </c>
      <c r="G15" s="50" t="s">
        <v>209</v>
      </c>
      <c r="H15" s="50" t="s">
        <v>1040</v>
      </c>
      <c r="I15" s="81" t="s">
        <v>92</v>
      </c>
      <c r="J15" s="350">
        <v>6.0700001716613796</v>
      </c>
      <c r="K15" s="351">
        <f t="shared" si="3"/>
        <v>12</v>
      </c>
      <c r="L15" s="352">
        <v>12</v>
      </c>
      <c r="M15" s="448" t="str">
        <f>IF(L15="nio","",VLOOKUP(L15,'3-Productie normen'!$B$31:$H$45,3,FALSE))</f>
        <v>1 x per maand</v>
      </c>
      <c r="N15" s="353" t="e">
        <f t="shared" si="0"/>
        <v>#DIV/0!</v>
      </c>
      <c r="O15" s="354">
        <f>IF(L15="nio",0,IF(L15&gt;0,VLOOKUP(H15,'3-Productie normen'!A:P,VLOOKUP(L15,'3-Productie normen'!$B$31:$C$45,2,FALSE),FALSE)))/VLOOKUP(B15,'2-Kosten per locatie'!$A$13:$D$36,4,FALSE)</f>
        <v>0</v>
      </c>
      <c r="P15" s="82" t="str">
        <f>VLOOKUP(H15,'3-Productie normen'!A:T,20,FALSE)</f>
        <v>V</v>
      </c>
      <c r="Q15" s="447" t="s">
        <v>847</v>
      </c>
      <c r="S15" s="356">
        <f t="shared" si="1"/>
        <v>72.840002059936552</v>
      </c>
    </row>
    <row r="16" spans="1:20" ht="14.1" customHeight="1">
      <c r="A16" s="72">
        <f t="shared" si="2"/>
        <v>16</v>
      </c>
      <c r="B16" s="50" t="s">
        <v>805</v>
      </c>
      <c r="C16" s="50" t="s">
        <v>824</v>
      </c>
      <c r="D16" s="427" t="s">
        <v>1033</v>
      </c>
      <c r="E16" s="422" t="s">
        <v>196</v>
      </c>
      <c r="F16" s="347" t="s">
        <v>210</v>
      </c>
      <c r="G16" s="50" t="s">
        <v>206</v>
      </c>
      <c r="H16" s="65" t="s">
        <v>1053</v>
      </c>
      <c r="I16" s="81" t="s">
        <v>92</v>
      </c>
      <c r="J16" s="350">
        <v>1.20000004768372</v>
      </c>
      <c r="K16" s="351" t="str">
        <f t="shared" si="3"/>
        <v>nio</v>
      </c>
      <c r="L16" s="352" t="s">
        <v>804</v>
      </c>
      <c r="M16" s="448" t="str">
        <f>IF(L16="nio","",VLOOKUP(L16,'3-Productie normen'!$B$31:$H$45,3,FALSE))</f>
        <v/>
      </c>
      <c r="N16" s="353">
        <f t="shared" si="0"/>
        <v>0</v>
      </c>
      <c r="O16" s="354">
        <f>IF(L16="nio",0,IF(L16&gt;0,VLOOKUP(H16,'3-Productie normen'!A:P,VLOOKUP(L16,'3-Productie normen'!$B$31:$C$45,2,FALSE),FALSE)))/VLOOKUP(B16,'2-Kosten per locatie'!$A$13:$D$36,4,FALSE)</f>
        <v>0</v>
      </c>
      <c r="P16" s="82">
        <f>VLOOKUP(H16,'3-Productie normen'!A:T,20,FALSE)</f>
        <v>0</v>
      </c>
      <c r="Q16" s="447" t="s">
        <v>848</v>
      </c>
      <c r="S16" s="356">
        <f t="shared" si="1"/>
        <v>0</v>
      </c>
    </row>
    <row r="17" spans="1:19" ht="14.1" customHeight="1">
      <c r="A17" s="72">
        <f t="shared" si="2"/>
        <v>17</v>
      </c>
      <c r="B17" s="50" t="s">
        <v>805</v>
      </c>
      <c r="C17" s="50" t="s">
        <v>824</v>
      </c>
      <c r="D17" s="427" t="s">
        <v>1033</v>
      </c>
      <c r="E17" s="422" t="s">
        <v>196</v>
      </c>
      <c r="F17" s="347" t="s">
        <v>211</v>
      </c>
      <c r="G17" s="50" t="s">
        <v>212</v>
      </c>
      <c r="H17" s="65" t="s">
        <v>1053</v>
      </c>
      <c r="I17" s="81" t="s">
        <v>92</v>
      </c>
      <c r="J17" s="350">
        <v>8.11</v>
      </c>
      <c r="K17" s="351" t="str">
        <f t="shared" si="3"/>
        <v>nio</v>
      </c>
      <c r="L17" s="352" t="s">
        <v>804</v>
      </c>
      <c r="M17" s="448" t="str">
        <f>IF(L17="nio","",VLOOKUP(L17,'3-Productie normen'!$B$31:$H$45,3,FALSE))</f>
        <v/>
      </c>
      <c r="N17" s="353">
        <f t="shared" si="0"/>
        <v>0</v>
      </c>
      <c r="O17" s="354">
        <f>IF(L17="nio",0,IF(L17&gt;0,VLOOKUP(H17,'3-Productie normen'!A:P,VLOOKUP(L17,'3-Productie normen'!$B$31:$C$45,2,FALSE),FALSE)))/VLOOKUP(B17,'2-Kosten per locatie'!$A$13:$D$36,4,FALSE)</f>
        <v>0</v>
      </c>
      <c r="P17" s="82">
        <f>VLOOKUP(H17,'3-Productie normen'!A:T,20,FALSE)</f>
        <v>0</v>
      </c>
      <c r="Q17" s="447" t="s">
        <v>849</v>
      </c>
      <c r="S17" s="356">
        <f t="shared" si="1"/>
        <v>0</v>
      </c>
    </row>
    <row r="18" spans="1:19" ht="14.1" customHeight="1">
      <c r="A18" s="72">
        <f t="shared" si="2"/>
        <v>18</v>
      </c>
      <c r="B18" s="50" t="s">
        <v>805</v>
      </c>
      <c r="C18" s="50" t="s">
        <v>824</v>
      </c>
      <c r="D18" s="427" t="s">
        <v>1033</v>
      </c>
      <c r="E18" s="422" t="s">
        <v>196</v>
      </c>
      <c r="F18" s="347" t="s">
        <v>213</v>
      </c>
      <c r="G18" s="81" t="s">
        <v>212</v>
      </c>
      <c r="H18" s="65" t="s">
        <v>1053</v>
      </c>
      <c r="I18" s="81" t="s">
        <v>92</v>
      </c>
      <c r="J18" s="350">
        <v>16.71</v>
      </c>
      <c r="K18" s="351" t="str">
        <f t="shared" si="3"/>
        <v>nio</v>
      </c>
      <c r="L18" s="352" t="s">
        <v>804</v>
      </c>
      <c r="M18" s="448" t="str">
        <f>IF(L18="nio","",VLOOKUP(L18,'3-Productie normen'!$B$31:$H$45,3,FALSE))</f>
        <v/>
      </c>
      <c r="N18" s="353">
        <f t="shared" si="0"/>
        <v>0</v>
      </c>
      <c r="O18" s="354">
        <f>IF(L18="nio",0,IF(L18&gt;0,VLOOKUP(H18,'3-Productie normen'!A:P,VLOOKUP(L18,'3-Productie normen'!$B$31:$C$45,2,FALSE),FALSE)))/VLOOKUP(B18,'2-Kosten per locatie'!$A$13:$D$36,4,FALSE)</f>
        <v>0</v>
      </c>
      <c r="P18" s="82">
        <f>VLOOKUP(H18,'3-Productie normen'!A:T,20,FALSE)</f>
        <v>0</v>
      </c>
      <c r="Q18" s="447" t="s">
        <v>850</v>
      </c>
      <c r="S18" s="356">
        <f t="shared" si="1"/>
        <v>0</v>
      </c>
    </row>
    <row r="19" spans="1:19" ht="14.1" customHeight="1">
      <c r="A19" s="72">
        <f t="shared" si="2"/>
        <v>19</v>
      </c>
      <c r="B19" s="50" t="s">
        <v>805</v>
      </c>
      <c r="C19" s="50" t="s">
        <v>824</v>
      </c>
      <c r="D19" s="427" t="s">
        <v>1033</v>
      </c>
      <c r="E19" s="422" t="s">
        <v>196</v>
      </c>
      <c r="F19" s="348" t="s">
        <v>214</v>
      </c>
      <c r="G19" s="63" t="s">
        <v>215</v>
      </c>
      <c r="H19" s="63" t="s">
        <v>1040</v>
      </c>
      <c r="I19" s="81" t="s">
        <v>780</v>
      </c>
      <c r="J19" s="350">
        <v>10.25</v>
      </c>
      <c r="K19" s="351">
        <f t="shared" si="3"/>
        <v>12</v>
      </c>
      <c r="L19" s="352">
        <v>12</v>
      </c>
      <c r="M19" s="448" t="str">
        <f>IF(L19="nio","",VLOOKUP(L19,'3-Productie normen'!$B$31:$H$45,3,FALSE))</f>
        <v>1 x per maand</v>
      </c>
      <c r="N19" s="353" t="e">
        <f t="shared" si="0"/>
        <v>#DIV/0!</v>
      </c>
      <c r="O19" s="354">
        <f>IF(L19="nio",0,IF(L19&gt;0,VLOOKUP(H19,'3-Productie normen'!A:P,VLOOKUP(L19,'3-Productie normen'!$B$31:$C$45,2,FALSE),FALSE)))/VLOOKUP(B19,'2-Kosten per locatie'!$A$13:$D$36,4,FALSE)</f>
        <v>0</v>
      </c>
      <c r="P19" s="82" t="str">
        <f>VLOOKUP(H19,'3-Productie normen'!A:T,20,FALSE)</f>
        <v>V</v>
      </c>
      <c r="Q19" s="447" t="s">
        <v>851</v>
      </c>
      <c r="S19" s="356">
        <f t="shared" si="1"/>
        <v>123</v>
      </c>
    </row>
    <row r="20" spans="1:19" ht="14.1" customHeight="1">
      <c r="A20" s="72">
        <f t="shared" si="2"/>
        <v>20</v>
      </c>
      <c r="B20" s="50" t="s">
        <v>805</v>
      </c>
      <c r="C20" s="50" t="s">
        <v>824</v>
      </c>
      <c r="D20" s="427" t="s">
        <v>1033</v>
      </c>
      <c r="E20" s="422" t="s">
        <v>196</v>
      </c>
      <c r="F20" s="347" t="s">
        <v>216</v>
      </c>
      <c r="G20" s="50" t="s">
        <v>209</v>
      </c>
      <c r="H20" s="50" t="s">
        <v>1040</v>
      </c>
      <c r="I20" s="81" t="s">
        <v>780</v>
      </c>
      <c r="J20" s="350">
        <v>6.5</v>
      </c>
      <c r="K20" s="351">
        <f t="shared" si="3"/>
        <v>12</v>
      </c>
      <c r="L20" s="352">
        <v>12</v>
      </c>
      <c r="M20" s="448" t="str">
        <f>IF(L20="nio","",VLOOKUP(L20,'3-Productie normen'!$B$31:$H$45,3,FALSE))</f>
        <v>1 x per maand</v>
      </c>
      <c r="N20" s="353" t="e">
        <f t="shared" si="0"/>
        <v>#DIV/0!</v>
      </c>
      <c r="O20" s="354">
        <f>IF(L20="nio",0,IF(L20&gt;0,VLOOKUP(H20,'3-Productie normen'!A:P,VLOOKUP(L20,'3-Productie normen'!$B$31:$C$45,2,FALSE),FALSE)))/VLOOKUP(B20,'2-Kosten per locatie'!$A$13:$D$36,4,FALSE)</f>
        <v>0</v>
      </c>
      <c r="P20" s="82" t="str">
        <f>VLOOKUP(H20,'3-Productie normen'!A:T,20,FALSE)</f>
        <v>V</v>
      </c>
      <c r="Q20" s="447" t="s">
        <v>792</v>
      </c>
      <c r="S20" s="356">
        <f t="shared" si="1"/>
        <v>78</v>
      </c>
    </row>
    <row r="21" spans="1:19" ht="14.1" customHeight="1">
      <c r="A21" s="72">
        <f t="shared" si="2"/>
        <v>21</v>
      </c>
      <c r="B21" s="50" t="s">
        <v>805</v>
      </c>
      <c r="C21" s="50" t="s">
        <v>824</v>
      </c>
      <c r="D21" s="427" t="s">
        <v>1033</v>
      </c>
      <c r="E21" s="422" t="s">
        <v>196</v>
      </c>
      <c r="F21" s="347" t="s">
        <v>217</v>
      </c>
      <c r="G21" s="50" t="s">
        <v>199</v>
      </c>
      <c r="H21" s="432" t="s">
        <v>198</v>
      </c>
      <c r="I21" s="81" t="s">
        <v>779</v>
      </c>
      <c r="J21" s="350">
        <v>4.22</v>
      </c>
      <c r="K21" s="351">
        <f t="shared" si="3"/>
        <v>200</v>
      </c>
      <c r="L21" s="352">
        <v>200</v>
      </c>
      <c r="M21" s="448" t="str">
        <f>IF(L21="nio","",VLOOKUP(L21,'3-Productie normen'!$B$31:$H$45,3,FALSE))</f>
        <v>5 x per week (40 weken)</v>
      </c>
      <c r="N21" s="353" t="e">
        <f t="shared" si="0"/>
        <v>#DIV/0!</v>
      </c>
      <c r="O21" s="354">
        <f>IF(L21="nio",0,IF(L21&gt;0,VLOOKUP(H21,'3-Productie normen'!A:P,VLOOKUP(L21,'3-Productie normen'!$B$31:$C$45,2,FALSE),FALSE)))/VLOOKUP(B21,'2-Kosten per locatie'!$A$13:$D$36,4,FALSE)</f>
        <v>0</v>
      </c>
      <c r="P21" s="82" t="str">
        <f>VLOOKUP(H21,'3-Productie normen'!A:T,20,FALSE)</f>
        <v>V</v>
      </c>
      <c r="Q21" s="447" t="s">
        <v>843</v>
      </c>
      <c r="S21" s="356">
        <f t="shared" si="1"/>
        <v>844</v>
      </c>
    </row>
    <row r="22" spans="1:19" ht="14.1" customHeight="1">
      <c r="A22" s="72">
        <f t="shared" si="2"/>
        <v>22</v>
      </c>
      <c r="B22" s="50" t="s">
        <v>805</v>
      </c>
      <c r="C22" s="50" t="s">
        <v>824</v>
      </c>
      <c r="D22" s="427" t="s">
        <v>1033</v>
      </c>
      <c r="E22" s="422" t="s">
        <v>196</v>
      </c>
      <c r="F22" s="347" t="s">
        <v>218</v>
      </c>
      <c r="G22" s="50" t="s">
        <v>206</v>
      </c>
      <c r="H22" s="65" t="s">
        <v>1053</v>
      </c>
      <c r="I22" s="81" t="s">
        <v>780</v>
      </c>
      <c r="J22" s="350">
        <v>1.2799999713897701</v>
      </c>
      <c r="K22" s="351" t="str">
        <f t="shared" si="3"/>
        <v>nio</v>
      </c>
      <c r="L22" s="352" t="s">
        <v>804</v>
      </c>
      <c r="M22" s="448" t="str">
        <f>IF(L22="nio","",VLOOKUP(L22,'3-Productie normen'!$B$31:$H$45,3,FALSE))</f>
        <v/>
      </c>
      <c r="N22" s="353">
        <f t="shared" si="0"/>
        <v>0</v>
      </c>
      <c r="O22" s="354">
        <f>IF(L22="nio",0,IF(L22&gt;0,VLOOKUP(H22,'3-Productie normen'!A:P,VLOOKUP(L22,'3-Productie normen'!$B$31:$C$45,2,FALSE),FALSE)))/VLOOKUP(B22,'2-Kosten per locatie'!$A$13:$D$36,4,FALSE)</f>
        <v>0</v>
      </c>
      <c r="P22" s="82">
        <f>VLOOKUP(H22,'3-Productie normen'!A:T,20,FALSE)</f>
        <v>0</v>
      </c>
      <c r="Q22" s="447" t="s">
        <v>852</v>
      </c>
      <c r="S22" s="356">
        <f t="shared" si="1"/>
        <v>0</v>
      </c>
    </row>
    <row r="23" spans="1:19" ht="14.1" customHeight="1">
      <c r="A23" s="72">
        <f t="shared" si="2"/>
        <v>23</v>
      </c>
      <c r="B23" s="50" t="s">
        <v>805</v>
      </c>
      <c r="C23" s="50" t="s">
        <v>824</v>
      </c>
      <c r="D23" s="427" t="s">
        <v>1033</v>
      </c>
      <c r="E23" s="422" t="s">
        <v>196</v>
      </c>
      <c r="F23" s="347" t="s">
        <v>219</v>
      </c>
      <c r="G23" s="81" t="s">
        <v>215</v>
      </c>
      <c r="H23" s="63" t="s">
        <v>1040</v>
      </c>
      <c r="I23" s="81" t="s">
        <v>780</v>
      </c>
      <c r="J23" s="350">
        <v>2.4500000476837198</v>
      </c>
      <c r="K23" s="351">
        <f t="shared" si="3"/>
        <v>12</v>
      </c>
      <c r="L23" s="352">
        <v>12</v>
      </c>
      <c r="M23" s="448" t="str">
        <f>IF(L23="nio","",VLOOKUP(L23,'3-Productie normen'!$B$31:$H$45,3,FALSE))</f>
        <v>1 x per maand</v>
      </c>
      <c r="N23" s="353" t="e">
        <f t="shared" si="0"/>
        <v>#DIV/0!</v>
      </c>
      <c r="O23" s="354">
        <f>IF(L23="nio",0,IF(L23&gt;0,VLOOKUP(H23,'3-Productie normen'!A:P,VLOOKUP(L23,'3-Productie normen'!$B$31:$C$45,2,FALSE),FALSE)))/VLOOKUP(B23,'2-Kosten per locatie'!$A$13:$D$36,4,FALSE)</f>
        <v>0</v>
      </c>
      <c r="P23" s="82" t="str">
        <f>VLOOKUP(H23,'3-Productie normen'!A:T,20,FALSE)</f>
        <v>V</v>
      </c>
      <c r="Q23" s="447" t="s">
        <v>853</v>
      </c>
      <c r="S23" s="356">
        <f t="shared" si="1"/>
        <v>29.40000057220464</v>
      </c>
    </row>
    <row r="24" spans="1:19" ht="14.1" customHeight="1">
      <c r="A24" s="72">
        <f t="shared" si="2"/>
        <v>24</v>
      </c>
      <c r="B24" s="50" t="s">
        <v>805</v>
      </c>
      <c r="C24" s="50" t="s">
        <v>824</v>
      </c>
      <c r="D24" s="427" t="s">
        <v>1033</v>
      </c>
      <c r="E24" s="422" t="s">
        <v>196</v>
      </c>
      <c r="F24" s="348" t="s">
        <v>220</v>
      </c>
      <c r="G24" s="63" t="s">
        <v>209</v>
      </c>
      <c r="H24" s="50" t="s">
        <v>1040</v>
      </c>
      <c r="I24" s="81" t="s">
        <v>780</v>
      </c>
      <c r="J24" s="350">
        <v>8.5200004577636701</v>
      </c>
      <c r="K24" s="351">
        <f t="shared" si="3"/>
        <v>12</v>
      </c>
      <c r="L24" s="352">
        <v>12</v>
      </c>
      <c r="M24" s="448" t="str">
        <f>IF(L24="nio","",VLOOKUP(L24,'3-Productie normen'!$B$31:$H$45,3,FALSE))</f>
        <v>1 x per maand</v>
      </c>
      <c r="N24" s="353" t="e">
        <f t="shared" si="0"/>
        <v>#DIV/0!</v>
      </c>
      <c r="O24" s="354">
        <f>IF(L24="nio",0,IF(L24&gt;0,VLOOKUP(H24,'3-Productie normen'!A:P,VLOOKUP(L24,'3-Productie normen'!$B$31:$C$45,2,FALSE),FALSE)))/VLOOKUP(B24,'2-Kosten per locatie'!$A$13:$D$36,4,FALSE)</f>
        <v>0</v>
      </c>
      <c r="P24" s="82" t="str">
        <f>VLOOKUP(H24,'3-Productie normen'!A:T,20,FALSE)</f>
        <v>V</v>
      </c>
      <c r="Q24" s="447" t="s">
        <v>792</v>
      </c>
      <c r="S24" s="356">
        <f t="shared" si="1"/>
        <v>102.24000549316403</v>
      </c>
    </row>
    <row r="25" spans="1:19" ht="14.1" customHeight="1">
      <c r="A25" s="72">
        <f t="shared" si="2"/>
        <v>25</v>
      </c>
      <c r="B25" s="50" t="s">
        <v>805</v>
      </c>
      <c r="C25" s="50" t="s">
        <v>824</v>
      </c>
      <c r="D25" s="427" t="s">
        <v>1033</v>
      </c>
      <c r="E25" s="422" t="s">
        <v>196</v>
      </c>
      <c r="F25" s="347" t="s">
        <v>221</v>
      </c>
      <c r="G25" s="50" t="s">
        <v>222</v>
      </c>
      <c r="H25" s="50" t="s">
        <v>16</v>
      </c>
      <c r="I25" s="81" t="s">
        <v>781</v>
      </c>
      <c r="J25" s="350">
        <v>5.14</v>
      </c>
      <c r="K25" s="351">
        <f t="shared" si="3"/>
        <v>201</v>
      </c>
      <c r="L25" s="352">
        <v>201</v>
      </c>
      <c r="M25" s="448" t="str">
        <f>IF(L25="nio","",VLOOKUP(L25,'3-Productie normen'!$B$31:$H$45,3,FALSE))</f>
        <v>5 x per week (40 weken + 1 Zomer refreshbeurt)</v>
      </c>
      <c r="N25" s="353" t="e">
        <f t="shared" si="0"/>
        <v>#DIV/0!</v>
      </c>
      <c r="O25" s="354">
        <f>IF(L25="nio",0,IF(L25&gt;0,VLOOKUP(H25,'3-Productie normen'!A:P,VLOOKUP(L25,'3-Productie normen'!$B$31:$C$45,2,FALSE),FALSE)))/VLOOKUP(B25,'2-Kosten per locatie'!$A$13:$D$36,4,FALSE)</f>
        <v>0</v>
      </c>
      <c r="P25" s="82" t="str">
        <f>VLOOKUP(H25,'3-Productie normen'!A:T,20,FALSE)</f>
        <v>S</v>
      </c>
      <c r="Q25" s="447" t="s">
        <v>854</v>
      </c>
      <c r="S25" s="356">
        <f t="shared" si="1"/>
        <v>1033.1399999999999</v>
      </c>
    </row>
    <row r="26" spans="1:19" ht="14.1" customHeight="1">
      <c r="A26" s="72">
        <f t="shared" si="2"/>
        <v>26</v>
      </c>
      <c r="B26" s="50" t="s">
        <v>805</v>
      </c>
      <c r="C26" s="50" t="s">
        <v>824</v>
      </c>
      <c r="D26" s="427" t="s">
        <v>1033</v>
      </c>
      <c r="E26" s="422" t="s">
        <v>196</v>
      </c>
      <c r="F26" s="347" t="s">
        <v>223</v>
      </c>
      <c r="G26" s="50" t="s">
        <v>212</v>
      </c>
      <c r="H26" s="65" t="s">
        <v>1053</v>
      </c>
      <c r="I26" s="81" t="s">
        <v>92</v>
      </c>
      <c r="J26" s="350">
        <v>9.7399997711181605</v>
      </c>
      <c r="K26" s="351" t="str">
        <f t="shared" si="3"/>
        <v>nio</v>
      </c>
      <c r="L26" s="352" t="s">
        <v>804</v>
      </c>
      <c r="M26" s="448" t="str">
        <f>IF(L26="nio","",VLOOKUP(L26,'3-Productie normen'!$B$31:$H$45,3,FALSE))</f>
        <v/>
      </c>
      <c r="N26" s="353">
        <f t="shared" si="0"/>
        <v>0</v>
      </c>
      <c r="O26" s="354">
        <f>IF(L26="nio",0,IF(L26&gt;0,VLOOKUP(H26,'3-Productie normen'!A:P,VLOOKUP(L26,'3-Productie normen'!$B$31:$C$45,2,FALSE),FALSE)))/VLOOKUP(B26,'2-Kosten per locatie'!$A$13:$D$36,4,FALSE)</f>
        <v>0</v>
      </c>
      <c r="P26" s="82">
        <f>VLOOKUP(H26,'3-Productie normen'!A:T,20,FALSE)</f>
        <v>0</v>
      </c>
      <c r="Q26" s="447" t="s">
        <v>792</v>
      </c>
      <c r="S26" s="356">
        <f t="shared" si="1"/>
        <v>0</v>
      </c>
    </row>
    <row r="27" spans="1:19" ht="14.1" customHeight="1">
      <c r="A27" s="72">
        <f t="shared" si="2"/>
        <v>27</v>
      </c>
      <c r="B27" s="50" t="s">
        <v>805</v>
      </c>
      <c r="C27" s="50" t="s">
        <v>824</v>
      </c>
      <c r="D27" s="427" t="s">
        <v>1033</v>
      </c>
      <c r="E27" s="422" t="s">
        <v>196</v>
      </c>
      <c r="F27" s="347" t="s">
        <v>224</v>
      </c>
      <c r="G27" s="50" t="s">
        <v>212</v>
      </c>
      <c r="H27" s="65" t="s">
        <v>1053</v>
      </c>
      <c r="I27" s="81" t="s">
        <v>92</v>
      </c>
      <c r="J27" s="350">
        <v>10.16</v>
      </c>
      <c r="K27" s="351" t="str">
        <f t="shared" si="3"/>
        <v>nio</v>
      </c>
      <c r="L27" s="352" t="s">
        <v>804</v>
      </c>
      <c r="M27" s="448" t="str">
        <f>IF(L27="nio","",VLOOKUP(L27,'3-Productie normen'!$B$31:$H$45,3,FALSE))</f>
        <v/>
      </c>
      <c r="N27" s="353">
        <f t="shared" si="0"/>
        <v>0</v>
      </c>
      <c r="O27" s="354">
        <f>IF(L27="nio",0,IF(L27&gt;0,VLOOKUP(H27,'3-Productie normen'!A:P,VLOOKUP(L27,'3-Productie normen'!$B$31:$C$45,2,FALSE),FALSE)))/VLOOKUP(B27,'2-Kosten per locatie'!$A$13:$D$36,4,FALSE)</f>
        <v>0</v>
      </c>
      <c r="P27" s="82">
        <f>VLOOKUP(H27,'3-Productie normen'!A:T,20,FALSE)</f>
        <v>0</v>
      </c>
      <c r="Q27" s="447" t="s">
        <v>792</v>
      </c>
      <c r="S27" s="356">
        <f t="shared" si="1"/>
        <v>0</v>
      </c>
    </row>
    <row r="28" spans="1:19" ht="14.1" customHeight="1">
      <c r="A28" s="72">
        <f t="shared" si="2"/>
        <v>28</v>
      </c>
      <c r="B28" s="50" t="s">
        <v>805</v>
      </c>
      <c r="C28" s="50" t="s">
        <v>824</v>
      </c>
      <c r="D28" s="427" t="s">
        <v>1033</v>
      </c>
      <c r="E28" s="422" t="s">
        <v>196</v>
      </c>
      <c r="F28" s="347" t="s">
        <v>225</v>
      </c>
      <c r="G28" s="81" t="s">
        <v>226</v>
      </c>
      <c r="H28" s="81" t="s">
        <v>16</v>
      </c>
      <c r="I28" s="81" t="s">
        <v>781</v>
      </c>
      <c r="J28" s="350">
        <v>6.47</v>
      </c>
      <c r="K28" s="351">
        <f t="shared" si="3"/>
        <v>201</v>
      </c>
      <c r="L28" s="352">
        <v>201</v>
      </c>
      <c r="M28" s="448" t="str">
        <f>IF(L28="nio","",VLOOKUP(L28,'3-Productie normen'!$B$31:$H$45,3,FALSE))</f>
        <v>5 x per week (40 weken + 1 Zomer refreshbeurt)</v>
      </c>
      <c r="N28" s="353" t="e">
        <f t="shared" si="0"/>
        <v>#DIV/0!</v>
      </c>
      <c r="O28" s="354">
        <f>IF(L28="nio",0,IF(L28&gt;0,VLOOKUP(H28,'3-Productie normen'!A:P,VLOOKUP(L28,'3-Productie normen'!$B$31:$C$45,2,FALSE),FALSE)))/VLOOKUP(B28,'2-Kosten per locatie'!$A$13:$D$36,4,FALSE)</f>
        <v>0</v>
      </c>
      <c r="P28" s="82" t="str">
        <f>VLOOKUP(H28,'3-Productie normen'!A:T,20,FALSE)</f>
        <v>S</v>
      </c>
      <c r="Q28" s="447" t="s">
        <v>855</v>
      </c>
      <c r="S28" s="356">
        <f t="shared" si="1"/>
        <v>1300.47</v>
      </c>
    </row>
    <row r="29" spans="1:19" ht="14.1" customHeight="1">
      <c r="A29" s="72">
        <f t="shared" si="2"/>
        <v>29</v>
      </c>
      <c r="B29" s="50" t="s">
        <v>805</v>
      </c>
      <c r="C29" s="50" t="s">
        <v>824</v>
      </c>
      <c r="D29" s="427" t="s">
        <v>1033</v>
      </c>
      <c r="E29" s="422" t="s">
        <v>196</v>
      </c>
      <c r="F29" s="348" t="s">
        <v>227</v>
      </c>
      <c r="G29" s="83" t="s">
        <v>226</v>
      </c>
      <c r="H29" s="83" t="s">
        <v>16</v>
      </c>
      <c r="I29" s="81" t="s">
        <v>781</v>
      </c>
      <c r="J29" s="350">
        <v>6.47</v>
      </c>
      <c r="K29" s="351">
        <f t="shared" si="3"/>
        <v>201</v>
      </c>
      <c r="L29" s="352">
        <v>201</v>
      </c>
      <c r="M29" s="448" t="str">
        <f>IF(L29="nio","",VLOOKUP(L29,'3-Productie normen'!$B$31:$H$45,3,FALSE))</f>
        <v>5 x per week (40 weken + 1 Zomer refreshbeurt)</v>
      </c>
      <c r="N29" s="353" t="e">
        <f t="shared" si="0"/>
        <v>#DIV/0!</v>
      </c>
      <c r="O29" s="354">
        <f>IF(L29="nio",0,IF(L29&gt;0,VLOOKUP(H29,'3-Productie normen'!A:P,VLOOKUP(L29,'3-Productie normen'!$B$31:$C$45,2,FALSE),FALSE)))/VLOOKUP(B29,'2-Kosten per locatie'!$A$13:$D$36,4,FALSE)</f>
        <v>0</v>
      </c>
      <c r="P29" s="82" t="str">
        <f>VLOOKUP(H29,'3-Productie normen'!A:T,20,FALSE)</f>
        <v>S</v>
      </c>
      <c r="Q29" s="447" t="s">
        <v>855</v>
      </c>
      <c r="S29" s="356">
        <f t="shared" si="1"/>
        <v>1300.47</v>
      </c>
    </row>
    <row r="30" spans="1:19" ht="14.1" customHeight="1">
      <c r="A30" s="72">
        <f t="shared" si="2"/>
        <v>30</v>
      </c>
      <c r="B30" s="50" t="s">
        <v>805</v>
      </c>
      <c r="C30" s="50" t="s">
        <v>824</v>
      </c>
      <c r="D30" s="427" t="s">
        <v>1033</v>
      </c>
      <c r="E30" s="422" t="s">
        <v>196</v>
      </c>
      <c r="F30" s="347" t="s">
        <v>228</v>
      </c>
      <c r="G30" s="81" t="s">
        <v>201</v>
      </c>
      <c r="H30" s="432" t="s">
        <v>198</v>
      </c>
      <c r="I30" s="84" t="s">
        <v>780</v>
      </c>
      <c r="J30" s="355">
        <v>67.37</v>
      </c>
      <c r="K30" s="351">
        <f t="shared" si="3"/>
        <v>200</v>
      </c>
      <c r="L30" s="352">
        <v>200</v>
      </c>
      <c r="M30" s="448" t="str">
        <f>IF(L30="nio","",VLOOKUP(L30,'3-Productie normen'!$B$31:$H$45,3,FALSE))</f>
        <v>5 x per week (40 weken)</v>
      </c>
      <c r="N30" s="353" t="e">
        <f t="shared" si="0"/>
        <v>#DIV/0!</v>
      </c>
      <c r="O30" s="354">
        <f>IF(L30="nio",0,IF(L30&gt;0,VLOOKUP(H30,'3-Productie normen'!A:P,VLOOKUP(L30,'3-Productie normen'!$B$31:$C$45,2,FALSE),FALSE)))/VLOOKUP(B30,'2-Kosten per locatie'!$A$13:$D$36,4,FALSE)</f>
        <v>0</v>
      </c>
      <c r="P30" s="82" t="str">
        <f>VLOOKUP(H30,'3-Productie normen'!A:T,20,FALSE)</f>
        <v>V</v>
      </c>
      <c r="Q30" s="447" t="s">
        <v>792</v>
      </c>
      <c r="S30" s="356">
        <f t="shared" si="1"/>
        <v>13474</v>
      </c>
    </row>
    <row r="31" spans="1:19" ht="14.1" customHeight="1">
      <c r="A31" s="72">
        <f t="shared" si="2"/>
        <v>31</v>
      </c>
      <c r="B31" s="50" t="s">
        <v>805</v>
      </c>
      <c r="C31" s="50" t="s">
        <v>824</v>
      </c>
      <c r="D31" s="428" t="s">
        <v>1033</v>
      </c>
      <c r="E31" s="425" t="s">
        <v>196</v>
      </c>
      <c r="F31" s="348" t="s">
        <v>228</v>
      </c>
      <c r="G31" s="434" t="s">
        <v>229</v>
      </c>
      <c r="H31" s="432" t="s">
        <v>198</v>
      </c>
      <c r="I31" s="81" t="s">
        <v>780</v>
      </c>
      <c r="J31" s="355">
        <v>22.940000534057599</v>
      </c>
      <c r="K31" s="351">
        <f t="shared" si="3"/>
        <v>200</v>
      </c>
      <c r="L31" s="352">
        <v>200</v>
      </c>
      <c r="M31" s="448" t="str">
        <f>IF(L31="nio","",VLOOKUP(L31,'3-Productie normen'!$B$31:$H$45,3,FALSE))</f>
        <v>5 x per week (40 weken)</v>
      </c>
      <c r="N31" s="353" t="e">
        <f t="shared" si="0"/>
        <v>#DIV/0!</v>
      </c>
      <c r="O31" s="354">
        <f>IF(L31="nio",0,IF(L31&gt;0,VLOOKUP(H31,'3-Productie normen'!A:P,VLOOKUP(L31,'3-Productie normen'!$B$31:$C$45,2,FALSE),FALSE)))/VLOOKUP(B31,'2-Kosten per locatie'!$A$13:$D$36,4,FALSE)</f>
        <v>0</v>
      </c>
      <c r="P31" s="82" t="str">
        <f>VLOOKUP(H31,'3-Productie normen'!A:T,20,FALSE)</f>
        <v>V</v>
      </c>
      <c r="Q31" s="447" t="s">
        <v>792</v>
      </c>
      <c r="S31" s="356">
        <f t="shared" si="1"/>
        <v>4588.0001068115198</v>
      </c>
    </row>
    <row r="32" spans="1:19" ht="14.1" customHeight="1">
      <c r="A32" s="72">
        <f t="shared" si="2"/>
        <v>32</v>
      </c>
      <c r="B32" s="50" t="s">
        <v>805</v>
      </c>
      <c r="C32" s="50" t="s">
        <v>824</v>
      </c>
      <c r="D32" s="427" t="s">
        <v>1033</v>
      </c>
      <c r="E32" s="422" t="s">
        <v>196</v>
      </c>
      <c r="F32" s="347" t="s">
        <v>228</v>
      </c>
      <c r="G32" s="433" t="s">
        <v>229</v>
      </c>
      <c r="H32" s="432" t="s">
        <v>198</v>
      </c>
      <c r="I32" s="81" t="s">
        <v>780</v>
      </c>
      <c r="J32" s="355">
        <v>14.3500003814697</v>
      </c>
      <c r="K32" s="351">
        <f t="shared" si="3"/>
        <v>200</v>
      </c>
      <c r="L32" s="352">
        <v>200</v>
      </c>
      <c r="M32" s="448" t="str">
        <f>IF(L32="nio","",VLOOKUP(L32,'3-Productie normen'!$B$31:$H$45,3,FALSE))</f>
        <v>5 x per week (40 weken)</v>
      </c>
      <c r="N32" s="353" t="e">
        <f t="shared" si="0"/>
        <v>#DIV/0!</v>
      </c>
      <c r="O32" s="354">
        <f>IF(L32="nio",0,IF(L32&gt;0,VLOOKUP(H32,'3-Productie normen'!A:P,VLOOKUP(L32,'3-Productie normen'!$B$31:$C$45,2,FALSE),FALSE)))/VLOOKUP(B32,'2-Kosten per locatie'!$A$13:$D$36,4,FALSE)</f>
        <v>0</v>
      </c>
      <c r="P32" s="82" t="str">
        <f>VLOOKUP(H32,'3-Productie normen'!A:T,20,FALSE)</f>
        <v>V</v>
      </c>
      <c r="Q32" s="447" t="s">
        <v>792</v>
      </c>
      <c r="S32" s="356">
        <f t="shared" si="1"/>
        <v>2870.0000762939399</v>
      </c>
    </row>
    <row r="33" spans="1:19" ht="14.1" customHeight="1">
      <c r="A33" s="72">
        <f t="shared" si="2"/>
        <v>33</v>
      </c>
      <c r="B33" s="50" t="s">
        <v>805</v>
      </c>
      <c r="C33" s="50" t="s">
        <v>824</v>
      </c>
      <c r="D33" s="427" t="s">
        <v>1033</v>
      </c>
      <c r="E33" s="422" t="s">
        <v>196</v>
      </c>
      <c r="F33" s="347" t="s">
        <v>230</v>
      </c>
      <c r="G33" s="81" t="s">
        <v>199</v>
      </c>
      <c r="H33" s="432" t="s">
        <v>198</v>
      </c>
      <c r="I33" s="81" t="s">
        <v>779</v>
      </c>
      <c r="J33" s="355">
        <v>8.9700000000000006</v>
      </c>
      <c r="K33" s="351">
        <f t="shared" si="3"/>
        <v>255</v>
      </c>
      <c r="L33" s="352">
        <v>255</v>
      </c>
      <c r="M33" s="448" t="str">
        <f>IF(L33="nio","",VLOOKUP(L33,'3-Productie normen'!$B$31:$H$45,3,FALSE))</f>
        <v>5 x per week (52 weken)</v>
      </c>
      <c r="N33" s="353" t="e">
        <f t="shared" si="0"/>
        <v>#DIV/0!</v>
      </c>
      <c r="O33" s="354">
        <f>IF(L33="nio",0,IF(L33&gt;0,VLOOKUP(H33,'3-Productie normen'!A:P,VLOOKUP(L33,'3-Productie normen'!$B$31:$C$45,2,FALSE),FALSE)))/VLOOKUP(B33,'2-Kosten per locatie'!$A$13:$D$36,4,FALSE)</f>
        <v>0</v>
      </c>
      <c r="P33" s="82" t="str">
        <f>VLOOKUP(H33,'3-Productie normen'!A:T,20,FALSE)</f>
        <v>V</v>
      </c>
      <c r="Q33" s="447" t="s">
        <v>856</v>
      </c>
      <c r="S33" s="356">
        <f t="shared" si="1"/>
        <v>2287.3500000000004</v>
      </c>
    </row>
    <row r="34" spans="1:19" ht="14.1" customHeight="1">
      <c r="A34" s="72">
        <f t="shared" si="2"/>
        <v>34</v>
      </c>
      <c r="B34" s="50" t="s">
        <v>805</v>
      </c>
      <c r="C34" s="50" t="s">
        <v>824</v>
      </c>
      <c r="D34" s="427" t="s">
        <v>1033</v>
      </c>
      <c r="E34" s="422" t="s">
        <v>196</v>
      </c>
      <c r="F34" s="347" t="s">
        <v>231</v>
      </c>
      <c r="G34" s="81" t="s">
        <v>232</v>
      </c>
      <c r="H34" s="430" t="s">
        <v>1046</v>
      </c>
      <c r="I34" s="81" t="s">
        <v>782</v>
      </c>
      <c r="J34" s="355">
        <v>9.6300000000000008</v>
      </c>
      <c r="K34" s="351">
        <f t="shared" si="3"/>
        <v>255</v>
      </c>
      <c r="L34" s="352">
        <v>255</v>
      </c>
      <c r="M34" s="448" t="str">
        <f>IF(L34="nio","",VLOOKUP(L34,'3-Productie normen'!$B$31:$H$45,3,FALSE))</f>
        <v>5 x per week (52 weken)</v>
      </c>
      <c r="N34" s="353" t="e">
        <f t="shared" si="0"/>
        <v>#DIV/0!</v>
      </c>
      <c r="O34" s="354">
        <f>IF(L34="nio",0,IF(L34&gt;0,VLOOKUP(H34,'3-Productie normen'!A:P,VLOOKUP(L34,'3-Productie normen'!$B$31:$C$45,2,FALSE),FALSE)))/VLOOKUP(B34,'2-Kosten per locatie'!$A$13:$D$36,4,FALSE)</f>
        <v>0</v>
      </c>
      <c r="P34" s="82" t="str">
        <f>VLOOKUP(H34,'3-Productie normen'!A:T,20,FALSE)</f>
        <v>V</v>
      </c>
      <c r="Q34" s="447" t="s">
        <v>792</v>
      </c>
      <c r="S34" s="356">
        <f t="shared" si="1"/>
        <v>2455.65</v>
      </c>
    </row>
    <row r="35" spans="1:19" ht="14.1" customHeight="1">
      <c r="A35" s="72">
        <f t="shared" si="2"/>
        <v>35</v>
      </c>
      <c r="B35" s="50" t="s">
        <v>805</v>
      </c>
      <c r="C35" s="50" t="s">
        <v>824</v>
      </c>
      <c r="D35" s="427" t="s">
        <v>1033</v>
      </c>
      <c r="E35" s="422" t="s">
        <v>196</v>
      </c>
      <c r="F35" s="347" t="s">
        <v>233</v>
      </c>
      <c r="G35" s="81" t="s">
        <v>209</v>
      </c>
      <c r="H35" s="50" t="s">
        <v>1040</v>
      </c>
      <c r="I35" s="81" t="s">
        <v>780</v>
      </c>
      <c r="J35" s="483">
        <v>6.05</v>
      </c>
      <c r="K35" s="351">
        <f t="shared" si="3"/>
        <v>12</v>
      </c>
      <c r="L35" s="352">
        <v>12</v>
      </c>
      <c r="M35" s="448" t="str">
        <f>IF(L35="nio","",VLOOKUP(L35,'3-Productie normen'!$B$31:$H$45,3,FALSE))</f>
        <v>1 x per maand</v>
      </c>
      <c r="N35" s="353" t="e">
        <f t="shared" si="0"/>
        <v>#DIV/0!</v>
      </c>
      <c r="O35" s="354">
        <f>IF(L35="nio",0,IF(L35&gt;0,VLOOKUP(H35,'3-Productie normen'!A:P,VLOOKUP(L35,'3-Productie normen'!$B$31:$C$45,2,FALSE),FALSE)))/VLOOKUP(B35,'2-Kosten per locatie'!$A$13:$D$36,4,FALSE)</f>
        <v>0</v>
      </c>
      <c r="P35" s="82" t="str">
        <f>VLOOKUP(H35,'3-Productie normen'!A:T,20,FALSE)</f>
        <v>V</v>
      </c>
      <c r="Q35" s="447" t="s">
        <v>792</v>
      </c>
      <c r="S35" s="356">
        <f t="shared" si="1"/>
        <v>72.599999999999994</v>
      </c>
    </row>
    <row r="36" spans="1:19" ht="14.1" customHeight="1">
      <c r="A36" s="72">
        <f t="shared" si="2"/>
        <v>36</v>
      </c>
      <c r="B36" s="50" t="s">
        <v>805</v>
      </c>
      <c r="C36" s="50" t="s">
        <v>824</v>
      </c>
      <c r="D36" s="427" t="s">
        <v>1034</v>
      </c>
      <c r="E36" s="422" t="s">
        <v>196</v>
      </c>
      <c r="F36" s="347" t="s">
        <v>234</v>
      </c>
      <c r="G36" s="81" t="s">
        <v>235</v>
      </c>
      <c r="H36" s="81" t="s">
        <v>16</v>
      </c>
      <c r="I36" s="81" t="s">
        <v>781</v>
      </c>
      <c r="J36" s="483">
        <v>1.06</v>
      </c>
      <c r="K36" s="351">
        <f t="shared" si="3"/>
        <v>255</v>
      </c>
      <c r="L36" s="352">
        <v>255</v>
      </c>
      <c r="M36" s="448" t="str">
        <f>IF(L36="nio","",VLOOKUP(L36,'3-Productie normen'!$B$31:$H$45,3,FALSE))</f>
        <v>5 x per week (52 weken)</v>
      </c>
      <c r="N36" s="353" t="e">
        <f t="shared" si="0"/>
        <v>#DIV/0!</v>
      </c>
      <c r="O36" s="354">
        <f>IF(L36="nio",0,IF(L36&gt;0,VLOOKUP(H36,'3-Productie normen'!A:P,VLOOKUP(L36,'3-Productie normen'!$B$31:$C$45,2,FALSE),FALSE)))/VLOOKUP(B36,'2-Kosten per locatie'!$A$13:$D$36,4,FALSE)</f>
        <v>0</v>
      </c>
      <c r="P36" s="82" t="str">
        <f>VLOOKUP(H36,'3-Productie normen'!A:T,20,FALSE)</f>
        <v>S</v>
      </c>
      <c r="Q36" s="447" t="s">
        <v>857</v>
      </c>
      <c r="S36" s="356">
        <f t="shared" si="1"/>
        <v>270.3</v>
      </c>
    </row>
    <row r="37" spans="1:19" ht="14.1" customHeight="1">
      <c r="A37" s="72">
        <f t="shared" si="2"/>
        <v>37</v>
      </c>
      <c r="B37" s="50" t="s">
        <v>805</v>
      </c>
      <c r="C37" s="50" t="s">
        <v>824</v>
      </c>
      <c r="D37" s="427" t="s">
        <v>1034</v>
      </c>
      <c r="E37" s="422" t="s">
        <v>196</v>
      </c>
      <c r="F37" s="347" t="s">
        <v>236</v>
      </c>
      <c r="G37" s="81" t="s">
        <v>235</v>
      </c>
      <c r="H37" s="81" t="s">
        <v>16</v>
      </c>
      <c r="I37" s="81" t="s">
        <v>781</v>
      </c>
      <c r="J37" s="483">
        <v>1.06</v>
      </c>
      <c r="K37" s="351">
        <f t="shared" si="3"/>
        <v>255</v>
      </c>
      <c r="L37" s="352">
        <v>255</v>
      </c>
      <c r="M37" s="448" t="str">
        <f>IF(L37="nio","",VLOOKUP(L37,'3-Productie normen'!$B$31:$H$45,3,FALSE))</f>
        <v>5 x per week (52 weken)</v>
      </c>
      <c r="N37" s="353" t="e">
        <f t="shared" si="0"/>
        <v>#DIV/0!</v>
      </c>
      <c r="O37" s="354">
        <f>IF(L37="nio",0,IF(L37&gt;0,VLOOKUP(H37,'3-Productie normen'!A:P,VLOOKUP(L37,'3-Productie normen'!$B$31:$C$45,2,FALSE),FALSE)))/VLOOKUP(B37,'2-Kosten per locatie'!$A$13:$D$36,4,FALSE)</f>
        <v>0</v>
      </c>
      <c r="P37" s="82" t="str">
        <f>VLOOKUP(H37,'3-Productie normen'!A:T,20,FALSE)</f>
        <v>S</v>
      </c>
      <c r="Q37" s="447" t="s">
        <v>857</v>
      </c>
      <c r="S37" s="356">
        <f t="shared" si="1"/>
        <v>270.3</v>
      </c>
    </row>
    <row r="38" spans="1:19" ht="14.1" customHeight="1">
      <c r="A38" s="72">
        <f t="shared" si="2"/>
        <v>38</v>
      </c>
      <c r="B38" s="50" t="s">
        <v>805</v>
      </c>
      <c r="C38" s="50" t="s">
        <v>824</v>
      </c>
      <c r="D38" s="427" t="s">
        <v>1034</v>
      </c>
      <c r="E38" s="422" t="s">
        <v>196</v>
      </c>
      <c r="F38" s="347" t="s">
        <v>237</v>
      </c>
      <c r="G38" s="81" t="s">
        <v>1131</v>
      </c>
      <c r="H38" s="65" t="s">
        <v>731</v>
      </c>
      <c r="I38" s="81" t="s">
        <v>780</v>
      </c>
      <c r="J38" s="355">
        <v>54.4</v>
      </c>
      <c r="K38" s="351">
        <f t="shared" si="3"/>
        <v>255</v>
      </c>
      <c r="L38" s="352">
        <v>255</v>
      </c>
      <c r="M38" s="448" t="str">
        <f>IF(L38="nio","",VLOOKUP(L38,'3-Productie normen'!$B$31:$H$45,3,FALSE))</f>
        <v>5 x per week (52 weken)</v>
      </c>
      <c r="N38" s="353" t="e">
        <f t="shared" si="0"/>
        <v>#DIV/0!</v>
      </c>
      <c r="O38" s="354">
        <f>IF(L38="nio",0,IF(L38&gt;0,VLOOKUP(H38,'3-Productie normen'!A:P,VLOOKUP(L38,'3-Productie normen'!$B$31:$C$45,2,FALSE),FALSE)))/VLOOKUP(B38,'2-Kosten per locatie'!$A$13:$D$36,4,FALSE)</f>
        <v>0</v>
      </c>
      <c r="P38" s="82" t="str">
        <f>VLOOKUP(H38,'3-Productie normen'!A:T,20,FALSE)</f>
        <v>V</v>
      </c>
      <c r="Q38" s="447" t="s">
        <v>792</v>
      </c>
      <c r="S38" s="356">
        <f t="shared" si="1"/>
        <v>13872</v>
      </c>
    </row>
    <row r="39" spans="1:19" ht="14.1" customHeight="1">
      <c r="A39" s="72">
        <f t="shared" si="2"/>
        <v>39</v>
      </c>
      <c r="B39" s="50" t="s">
        <v>805</v>
      </c>
      <c r="C39" s="50" t="s">
        <v>824</v>
      </c>
      <c r="D39" s="427" t="s">
        <v>1033</v>
      </c>
      <c r="E39" s="422" t="s">
        <v>196</v>
      </c>
      <c r="F39" s="347" t="s">
        <v>240</v>
      </c>
      <c r="G39" s="81" t="s">
        <v>242</v>
      </c>
      <c r="H39" s="81" t="s">
        <v>241</v>
      </c>
      <c r="I39" s="81" t="s">
        <v>780</v>
      </c>
      <c r="J39" s="355">
        <v>54.78</v>
      </c>
      <c r="K39" s="351">
        <f t="shared" si="3"/>
        <v>201</v>
      </c>
      <c r="L39" s="352">
        <v>201</v>
      </c>
      <c r="M39" s="448" t="str">
        <f>IF(L39="nio","",VLOOKUP(L39,'3-Productie normen'!$B$31:$H$45,3,FALSE))</f>
        <v>5 x per week (40 weken + 1 Zomer refreshbeurt)</v>
      </c>
      <c r="N39" s="353" t="e">
        <f t="shared" si="0"/>
        <v>#DIV/0!</v>
      </c>
      <c r="O39" s="354">
        <f>IF(L39="nio",0,IF(L39&gt;0,VLOOKUP(H39,'3-Productie normen'!A:P,VLOOKUP(L39,'3-Productie normen'!$B$31:$C$45,2,FALSE),FALSE)))/VLOOKUP(B39,'2-Kosten per locatie'!$A$13:$D$36,4,FALSE)</f>
        <v>0</v>
      </c>
      <c r="P39" s="82" t="str">
        <f>VLOOKUP(H39,'3-Productie normen'!A:T,20,FALSE)</f>
        <v>L</v>
      </c>
      <c r="Q39" s="447" t="s">
        <v>858</v>
      </c>
      <c r="S39" s="356">
        <f t="shared" si="1"/>
        <v>11010.78</v>
      </c>
    </row>
    <row r="40" spans="1:19" ht="14.1" customHeight="1">
      <c r="A40" s="72">
        <f t="shared" si="2"/>
        <v>40</v>
      </c>
      <c r="B40" s="50" t="s">
        <v>805</v>
      </c>
      <c r="C40" s="50" t="s">
        <v>824</v>
      </c>
      <c r="D40" s="427" t="s">
        <v>1033</v>
      </c>
      <c r="E40" s="422" t="s">
        <v>196</v>
      </c>
      <c r="F40" s="347" t="s">
        <v>243</v>
      </c>
      <c r="G40" s="81" t="s">
        <v>242</v>
      </c>
      <c r="H40" s="81" t="s">
        <v>241</v>
      </c>
      <c r="I40" s="81" t="s">
        <v>780</v>
      </c>
      <c r="J40" s="355">
        <v>54.79</v>
      </c>
      <c r="K40" s="351">
        <f t="shared" si="3"/>
        <v>201</v>
      </c>
      <c r="L40" s="352">
        <v>201</v>
      </c>
      <c r="M40" s="448" t="str">
        <f>IF(L40="nio","",VLOOKUP(L40,'3-Productie normen'!$B$31:$H$45,3,FALSE))</f>
        <v>5 x per week (40 weken + 1 Zomer refreshbeurt)</v>
      </c>
      <c r="N40" s="353" t="e">
        <f t="shared" si="0"/>
        <v>#DIV/0!</v>
      </c>
      <c r="O40" s="354">
        <f>IF(L40="nio",0,IF(L40&gt;0,VLOOKUP(H40,'3-Productie normen'!A:P,VLOOKUP(L40,'3-Productie normen'!$B$31:$C$45,2,FALSE),FALSE)))/VLOOKUP(B40,'2-Kosten per locatie'!$A$13:$D$36,4,FALSE)</f>
        <v>0</v>
      </c>
      <c r="P40" s="82" t="str">
        <f>VLOOKUP(H40,'3-Productie normen'!A:T,20,FALSE)</f>
        <v>L</v>
      </c>
      <c r="Q40" s="447" t="s">
        <v>858</v>
      </c>
      <c r="S40" s="356">
        <f t="shared" si="1"/>
        <v>11012.789999999999</v>
      </c>
    </row>
    <row r="41" spans="1:19" ht="14.1" customHeight="1">
      <c r="A41" s="72">
        <f t="shared" si="2"/>
        <v>41</v>
      </c>
      <c r="B41" s="50" t="s">
        <v>805</v>
      </c>
      <c r="C41" s="50" t="s">
        <v>824</v>
      </c>
      <c r="D41" s="427" t="s">
        <v>1033</v>
      </c>
      <c r="E41" s="422" t="s">
        <v>196</v>
      </c>
      <c r="F41" s="347" t="s">
        <v>244</v>
      </c>
      <c r="G41" s="81" t="s">
        <v>242</v>
      </c>
      <c r="H41" s="81" t="s">
        <v>241</v>
      </c>
      <c r="I41" s="81" t="s">
        <v>780</v>
      </c>
      <c r="J41" s="355">
        <v>54.81</v>
      </c>
      <c r="K41" s="351">
        <f t="shared" si="3"/>
        <v>201</v>
      </c>
      <c r="L41" s="352">
        <v>201</v>
      </c>
      <c r="M41" s="448" t="str">
        <f>IF(L41="nio","",VLOOKUP(L41,'3-Productie normen'!$B$31:$H$45,3,FALSE))</f>
        <v>5 x per week (40 weken + 1 Zomer refreshbeurt)</v>
      </c>
      <c r="N41" s="353" t="e">
        <f t="shared" si="0"/>
        <v>#DIV/0!</v>
      </c>
      <c r="O41" s="354">
        <f>IF(L41="nio",0,IF(L41&gt;0,VLOOKUP(H41,'3-Productie normen'!A:P,VLOOKUP(L41,'3-Productie normen'!$B$31:$C$45,2,FALSE),FALSE)))/VLOOKUP(B41,'2-Kosten per locatie'!$A$13:$D$36,4,FALSE)</f>
        <v>0</v>
      </c>
      <c r="P41" s="82" t="str">
        <f>VLOOKUP(H41,'3-Productie normen'!A:T,20,FALSE)</f>
        <v>L</v>
      </c>
      <c r="Q41" s="447" t="s">
        <v>858</v>
      </c>
      <c r="S41" s="356">
        <f t="shared" si="1"/>
        <v>11016.810000000001</v>
      </c>
    </row>
    <row r="42" spans="1:19" ht="14.1" customHeight="1">
      <c r="A42" s="72">
        <f t="shared" si="2"/>
        <v>42</v>
      </c>
      <c r="B42" s="50" t="s">
        <v>805</v>
      </c>
      <c r="C42" s="50" t="s">
        <v>824</v>
      </c>
      <c r="D42" s="427" t="s">
        <v>1033</v>
      </c>
      <c r="E42" s="422" t="s">
        <v>196</v>
      </c>
      <c r="F42" s="347" t="s">
        <v>245</v>
      </c>
      <c r="G42" s="81" t="s">
        <v>246</v>
      </c>
      <c r="H42" s="81" t="s">
        <v>1039</v>
      </c>
      <c r="I42" s="81" t="s">
        <v>783</v>
      </c>
      <c r="J42" s="355">
        <v>83.6</v>
      </c>
      <c r="K42" s="351">
        <f t="shared" si="3"/>
        <v>200</v>
      </c>
      <c r="L42" s="352">
        <v>200</v>
      </c>
      <c r="M42" s="448" t="str">
        <f>IF(L42="nio","",VLOOKUP(L42,'3-Productie normen'!$B$31:$H$45,3,FALSE))</f>
        <v>5 x per week (40 weken)</v>
      </c>
      <c r="N42" s="353" t="e">
        <f t="shared" si="0"/>
        <v>#DIV/0!</v>
      </c>
      <c r="O42" s="354">
        <f>IF(L42="nio",0,IF(L42&gt;0,VLOOKUP(H42,'3-Productie normen'!A:P,VLOOKUP(L42,'3-Productie normen'!$B$31:$C$45,2,FALSE),FALSE)))/VLOOKUP(B42,'2-Kosten per locatie'!$A$13:$D$36,4,FALSE)</f>
        <v>0</v>
      </c>
      <c r="P42" s="82" t="str">
        <f>VLOOKUP(H42,'3-Productie normen'!A:T,20,FALSE)</f>
        <v>V</v>
      </c>
      <c r="Q42" s="447" t="s">
        <v>792</v>
      </c>
      <c r="S42" s="356">
        <f t="shared" si="1"/>
        <v>16720</v>
      </c>
    </row>
    <row r="43" spans="1:19" ht="14.1" customHeight="1">
      <c r="A43" s="72">
        <f t="shared" si="2"/>
        <v>43</v>
      </c>
      <c r="B43" s="50" t="s">
        <v>805</v>
      </c>
      <c r="C43" s="50" t="s">
        <v>824</v>
      </c>
      <c r="D43" s="427" t="s">
        <v>1033</v>
      </c>
      <c r="E43" s="422" t="s">
        <v>196</v>
      </c>
      <c r="F43" s="347" t="s">
        <v>247</v>
      </c>
      <c r="G43" s="81" t="s">
        <v>248</v>
      </c>
      <c r="H43" s="50" t="s">
        <v>1040</v>
      </c>
      <c r="I43" s="81" t="s">
        <v>783</v>
      </c>
      <c r="J43" s="355">
        <v>5.9000000953674299</v>
      </c>
      <c r="K43" s="351">
        <f t="shared" si="3"/>
        <v>12</v>
      </c>
      <c r="L43" s="352">
        <v>12</v>
      </c>
      <c r="M43" s="448" t="str">
        <f>IF(L43="nio","",VLOOKUP(L43,'3-Productie normen'!$B$31:$H$45,3,FALSE))</f>
        <v>1 x per maand</v>
      </c>
      <c r="N43" s="353" t="e">
        <f t="shared" si="0"/>
        <v>#DIV/0!</v>
      </c>
      <c r="O43" s="354">
        <f>IF(L43="nio",0,IF(L43&gt;0,VLOOKUP(H43,'3-Productie normen'!A:P,VLOOKUP(L43,'3-Productie normen'!$B$31:$C$45,2,FALSE),FALSE)))/VLOOKUP(B43,'2-Kosten per locatie'!$A$13:$D$36,4,FALSE)</f>
        <v>0</v>
      </c>
      <c r="P43" s="82" t="str">
        <f>VLOOKUP(H43,'3-Productie normen'!A:T,20,FALSE)</f>
        <v>V</v>
      </c>
      <c r="Q43" s="447" t="s">
        <v>792</v>
      </c>
      <c r="S43" s="356">
        <f t="shared" si="1"/>
        <v>70.800001144409151</v>
      </c>
    </row>
    <row r="44" spans="1:19" ht="14.1" customHeight="1">
      <c r="A44" s="72">
        <f t="shared" si="2"/>
        <v>44</v>
      </c>
      <c r="B44" s="50" t="s">
        <v>805</v>
      </c>
      <c r="C44" s="50" t="s">
        <v>824</v>
      </c>
      <c r="D44" s="427" t="s">
        <v>1033</v>
      </c>
      <c r="E44" s="422" t="s">
        <v>196</v>
      </c>
      <c r="F44" s="347" t="s">
        <v>249</v>
      </c>
      <c r="G44" s="81" t="s">
        <v>232</v>
      </c>
      <c r="H44" s="430" t="s">
        <v>1046</v>
      </c>
      <c r="I44" s="81" t="s">
        <v>780</v>
      </c>
      <c r="J44" s="355">
        <v>3.4300000667571999</v>
      </c>
      <c r="K44" s="351">
        <f t="shared" si="3"/>
        <v>200</v>
      </c>
      <c r="L44" s="352">
        <v>200</v>
      </c>
      <c r="M44" s="448" t="str">
        <f>IF(L44="nio","",VLOOKUP(L44,'3-Productie normen'!$B$31:$H$45,3,FALSE))</f>
        <v>5 x per week (40 weken)</v>
      </c>
      <c r="N44" s="353" t="e">
        <f t="shared" si="0"/>
        <v>#DIV/0!</v>
      </c>
      <c r="O44" s="354">
        <f>IF(L44="nio",0,IF(L44&gt;0,VLOOKUP(H44,'3-Productie normen'!A:P,VLOOKUP(L44,'3-Productie normen'!$B$31:$C$45,2,FALSE),FALSE)))/VLOOKUP(B44,'2-Kosten per locatie'!$A$13:$D$36,4,FALSE)</f>
        <v>0</v>
      </c>
      <c r="P44" s="82" t="str">
        <f>VLOOKUP(H44,'3-Productie normen'!A:T,20,FALSE)</f>
        <v>V</v>
      </c>
      <c r="Q44" s="447" t="s">
        <v>859</v>
      </c>
      <c r="S44" s="356">
        <f t="shared" si="1"/>
        <v>686.00001335143997</v>
      </c>
    </row>
    <row r="45" spans="1:19" ht="14.1" customHeight="1">
      <c r="A45" s="72">
        <f t="shared" si="2"/>
        <v>45</v>
      </c>
      <c r="B45" s="50" t="s">
        <v>805</v>
      </c>
      <c r="C45" s="50" t="s">
        <v>824</v>
      </c>
      <c r="D45" s="427" t="s">
        <v>1034</v>
      </c>
      <c r="E45" s="422" t="s">
        <v>196</v>
      </c>
      <c r="F45" s="347" t="s">
        <v>250</v>
      </c>
      <c r="G45" s="50" t="s">
        <v>201</v>
      </c>
      <c r="H45" s="65" t="s">
        <v>1093</v>
      </c>
      <c r="I45" s="81" t="s">
        <v>779</v>
      </c>
      <c r="J45" s="350">
        <v>5.09</v>
      </c>
      <c r="K45" s="351">
        <f t="shared" si="3"/>
        <v>255</v>
      </c>
      <c r="L45" s="352">
        <v>255</v>
      </c>
      <c r="M45" s="448" t="str">
        <f>IF(L45="nio","",VLOOKUP(L45,'3-Productie normen'!$B$31:$H$45,3,FALSE))</f>
        <v>5 x per week (52 weken)</v>
      </c>
      <c r="N45" s="353" t="e">
        <f t="shared" si="0"/>
        <v>#DIV/0!</v>
      </c>
      <c r="O45" s="354">
        <f>IF(L45="nio",0,IF(L45&gt;0,VLOOKUP(H45,'3-Productie normen'!A:P,VLOOKUP(L45,'3-Productie normen'!$B$31:$C$45,2,FALSE),FALSE)))/VLOOKUP(B45,'2-Kosten per locatie'!$A$13:$D$36,4,FALSE)</f>
        <v>0</v>
      </c>
      <c r="P45" s="82" t="str">
        <f>VLOOKUP(H45,'3-Productie normen'!A:T,20,FALSE)</f>
        <v>V</v>
      </c>
      <c r="Q45" s="447"/>
      <c r="S45" s="356">
        <f t="shared" si="1"/>
        <v>1297.95</v>
      </c>
    </row>
    <row r="46" spans="1:19" ht="14.1" customHeight="1">
      <c r="A46" s="72">
        <f t="shared" si="2"/>
        <v>46</v>
      </c>
      <c r="B46" s="50" t="s">
        <v>805</v>
      </c>
      <c r="C46" s="50" t="s">
        <v>824</v>
      </c>
      <c r="D46" s="427" t="s">
        <v>1034</v>
      </c>
      <c r="E46" s="422" t="s">
        <v>196</v>
      </c>
      <c r="F46" s="347" t="s">
        <v>251</v>
      </c>
      <c r="G46" s="50" t="s">
        <v>229</v>
      </c>
      <c r="H46" s="65" t="s">
        <v>731</v>
      </c>
      <c r="I46" s="81" t="s">
        <v>780</v>
      </c>
      <c r="J46" s="350">
        <v>57.46</v>
      </c>
      <c r="K46" s="351">
        <f t="shared" si="3"/>
        <v>255</v>
      </c>
      <c r="L46" s="352">
        <v>255</v>
      </c>
      <c r="M46" s="448" t="str">
        <f>IF(L46="nio","",VLOOKUP(L46,'3-Productie normen'!$B$31:$H$45,3,FALSE))</f>
        <v>5 x per week (52 weken)</v>
      </c>
      <c r="N46" s="353" t="e">
        <f t="shared" si="0"/>
        <v>#DIV/0!</v>
      </c>
      <c r="O46" s="354">
        <f>IF(L46="nio",0,IF(L46&gt;0,VLOOKUP(H46,'3-Productie normen'!A:P,VLOOKUP(L46,'3-Productie normen'!$B$31:$C$45,2,FALSE),FALSE)))/VLOOKUP(B46,'2-Kosten per locatie'!$A$13:$D$36,4,FALSE)</f>
        <v>0</v>
      </c>
      <c r="P46" s="82" t="str">
        <f>VLOOKUP(H46,'3-Productie normen'!A:T,20,FALSE)</f>
        <v>V</v>
      </c>
      <c r="Q46" s="447"/>
      <c r="S46" s="356">
        <f t="shared" si="1"/>
        <v>14652.300000000001</v>
      </c>
    </row>
    <row r="47" spans="1:19" ht="14.1" customHeight="1">
      <c r="A47" s="72">
        <f t="shared" si="2"/>
        <v>47</v>
      </c>
      <c r="B47" s="50" t="s">
        <v>805</v>
      </c>
      <c r="C47" s="50" t="s">
        <v>824</v>
      </c>
      <c r="D47" s="427" t="s">
        <v>1034</v>
      </c>
      <c r="E47" s="422" t="s">
        <v>196</v>
      </c>
      <c r="F47" s="347" t="s">
        <v>252</v>
      </c>
      <c r="G47" s="50" t="s">
        <v>253</v>
      </c>
      <c r="H47" s="65" t="s">
        <v>731</v>
      </c>
      <c r="I47" s="81" t="s">
        <v>780</v>
      </c>
      <c r="J47" s="350">
        <v>15.23</v>
      </c>
      <c r="K47" s="351">
        <f t="shared" si="3"/>
        <v>255</v>
      </c>
      <c r="L47" s="352">
        <v>255</v>
      </c>
      <c r="M47" s="448" t="str">
        <f>IF(L47="nio","",VLOOKUP(L47,'3-Productie normen'!$B$31:$H$45,3,FALSE))</f>
        <v>5 x per week (52 weken)</v>
      </c>
      <c r="N47" s="353" t="e">
        <f t="shared" si="0"/>
        <v>#DIV/0!</v>
      </c>
      <c r="O47" s="354">
        <f>IF(L47="nio",0,IF(L47&gt;0,VLOOKUP(H47,'3-Productie normen'!A:P,VLOOKUP(L47,'3-Productie normen'!$B$31:$C$45,2,FALSE),FALSE)))/VLOOKUP(B47,'2-Kosten per locatie'!$A$13:$D$36,4,FALSE)</f>
        <v>0</v>
      </c>
      <c r="P47" s="82" t="str">
        <f>VLOOKUP(H47,'3-Productie normen'!A:T,20,FALSE)</f>
        <v>V</v>
      </c>
      <c r="Q47" s="447"/>
      <c r="S47" s="356">
        <f t="shared" si="1"/>
        <v>3883.65</v>
      </c>
    </row>
    <row r="48" spans="1:19" ht="14.1" customHeight="1">
      <c r="A48" s="72">
        <f t="shared" si="2"/>
        <v>48</v>
      </c>
      <c r="B48" s="50" t="s">
        <v>805</v>
      </c>
      <c r="C48" s="50" t="s">
        <v>824</v>
      </c>
      <c r="D48" s="427" t="s">
        <v>1034</v>
      </c>
      <c r="E48" s="422" t="s">
        <v>196</v>
      </c>
      <c r="F48" s="347" t="s">
        <v>254</v>
      </c>
      <c r="G48" s="81" t="s">
        <v>253</v>
      </c>
      <c r="H48" s="65" t="s">
        <v>731</v>
      </c>
      <c r="I48" s="81" t="s">
        <v>780</v>
      </c>
      <c r="J48" s="350">
        <v>11.62</v>
      </c>
      <c r="K48" s="351">
        <f t="shared" si="3"/>
        <v>255</v>
      </c>
      <c r="L48" s="352">
        <v>255</v>
      </c>
      <c r="M48" s="448" t="str">
        <f>IF(L48="nio","",VLOOKUP(L48,'3-Productie normen'!$B$31:$H$45,3,FALSE))</f>
        <v>5 x per week (52 weken)</v>
      </c>
      <c r="N48" s="353" t="e">
        <f t="shared" si="0"/>
        <v>#DIV/0!</v>
      </c>
      <c r="O48" s="354">
        <f>IF(L48="nio",0,IF(L48&gt;0,VLOOKUP(H48,'3-Productie normen'!A:P,VLOOKUP(L48,'3-Productie normen'!$B$31:$C$45,2,FALSE),FALSE)))/VLOOKUP(B48,'2-Kosten per locatie'!$A$13:$D$36,4,FALSE)</f>
        <v>0</v>
      </c>
      <c r="P48" s="82" t="str">
        <f>VLOOKUP(H48,'3-Productie normen'!A:T,20,FALSE)</f>
        <v>V</v>
      </c>
      <c r="Q48" s="447"/>
      <c r="S48" s="356">
        <f t="shared" si="1"/>
        <v>2963.1</v>
      </c>
    </row>
    <row r="49" spans="1:19" ht="14.1" customHeight="1">
      <c r="A49" s="72">
        <f t="shared" si="2"/>
        <v>49</v>
      </c>
      <c r="B49" s="50" t="s">
        <v>805</v>
      </c>
      <c r="C49" s="50" t="s">
        <v>824</v>
      </c>
      <c r="D49" s="427" t="s">
        <v>1034</v>
      </c>
      <c r="E49" s="422" t="s">
        <v>196</v>
      </c>
      <c r="F49" s="347" t="s">
        <v>255</v>
      </c>
      <c r="G49" s="81" t="s">
        <v>256</v>
      </c>
      <c r="H49" s="65" t="s">
        <v>731</v>
      </c>
      <c r="I49" s="81" t="s">
        <v>780</v>
      </c>
      <c r="J49" s="350">
        <v>49.68</v>
      </c>
      <c r="K49" s="351">
        <f t="shared" si="3"/>
        <v>255</v>
      </c>
      <c r="L49" s="352">
        <v>255</v>
      </c>
      <c r="M49" s="448" t="str">
        <f>IF(L49="nio","",VLOOKUP(L49,'3-Productie normen'!$B$31:$H$45,3,FALSE))</f>
        <v>5 x per week (52 weken)</v>
      </c>
      <c r="N49" s="353" t="e">
        <f t="shared" si="0"/>
        <v>#DIV/0!</v>
      </c>
      <c r="O49" s="354">
        <f>IF(L49="nio",0,IF(L49&gt;0,VLOOKUP(H49,'3-Productie normen'!A:P,VLOOKUP(L49,'3-Productie normen'!$B$31:$C$45,2,FALSE),FALSE)))/VLOOKUP(B49,'2-Kosten per locatie'!$A$13:$D$36,4,FALSE)</f>
        <v>0</v>
      </c>
      <c r="P49" s="82" t="str">
        <f>VLOOKUP(H49,'3-Productie normen'!A:T,20,FALSE)</f>
        <v>V</v>
      </c>
      <c r="Q49" s="447"/>
      <c r="S49" s="356">
        <f t="shared" si="1"/>
        <v>12668.4</v>
      </c>
    </row>
    <row r="50" spans="1:19" ht="14.1" customHeight="1">
      <c r="A50" s="72">
        <f t="shared" si="2"/>
        <v>50</v>
      </c>
      <c r="B50" s="50" t="s">
        <v>805</v>
      </c>
      <c r="C50" s="50" t="s">
        <v>824</v>
      </c>
      <c r="D50" s="427" t="s">
        <v>1034</v>
      </c>
      <c r="E50" s="422" t="s">
        <v>196</v>
      </c>
      <c r="F50" s="347" t="s">
        <v>257</v>
      </c>
      <c r="G50" s="81" t="s">
        <v>256</v>
      </c>
      <c r="H50" s="65" t="s">
        <v>731</v>
      </c>
      <c r="I50" s="81" t="s">
        <v>780</v>
      </c>
      <c r="J50" s="350">
        <v>51.22</v>
      </c>
      <c r="K50" s="351">
        <f t="shared" si="3"/>
        <v>255</v>
      </c>
      <c r="L50" s="352">
        <v>255</v>
      </c>
      <c r="M50" s="448" t="str">
        <f>IF(L50="nio","",VLOOKUP(L50,'3-Productie normen'!$B$31:$H$45,3,FALSE))</f>
        <v>5 x per week (52 weken)</v>
      </c>
      <c r="N50" s="353" t="e">
        <f t="shared" si="0"/>
        <v>#DIV/0!</v>
      </c>
      <c r="O50" s="354">
        <f>IF(L50="nio",0,IF(L50&gt;0,VLOOKUP(H50,'3-Productie normen'!A:P,VLOOKUP(L50,'3-Productie normen'!$B$31:$C$45,2,FALSE),FALSE)))/VLOOKUP(B50,'2-Kosten per locatie'!$A$13:$D$36,4,FALSE)</f>
        <v>0</v>
      </c>
      <c r="P50" s="82" t="str">
        <f>VLOOKUP(H50,'3-Productie normen'!A:T,20,FALSE)</f>
        <v>V</v>
      </c>
      <c r="Q50" s="447"/>
      <c r="S50" s="356">
        <f t="shared" si="1"/>
        <v>13061.1</v>
      </c>
    </row>
    <row r="51" spans="1:19" ht="14.1" customHeight="1">
      <c r="A51" s="72">
        <f t="shared" si="2"/>
        <v>51</v>
      </c>
      <c r="B51" s="50" t="s">
        <v>805</v>
      </c>
      <c r="C51" s="50" t="s">
        <v>824</v>
      </c>
      <c r="D51" s="427" t="s">
        <v>1034</v>
      </c>
      <c r="E51" s="422" t="s">
        <v>196</v>
      </c>
      <c r="F51" s="347" t="s">
        <v>258</v>
      </c>
      <c r="G51" s="81" t="s">
        <v>253</v>
      </c>
      <c r="H51" s="65" t="s">
        <v>731</v>
      </c>
      <c r="I51" s="81" t="s">
        <v>780</v>
      </c>
      <c r="J51" s="350">
        <v>12.63</v>
      </c>
      <c r="K51" s="351">
        <f t="shared" si="3"/>
        <v>255</v>
      </c>
      <c r="L51" s="352">
        <v>255</v>
      </c>
      <c r="M51" s="448" t="str">
        <f>IF(L51="nio","",VLOOKUP(L51,'3-Productie normen'!$B$31:$H$45,3,FALSE))</f>
        <v>5 x per week (52 weken)</v>
      </c>
      <c r="N51" s="353" t="e">
        <f t="shared" si="0"/>
        <v>#DIV/0!</v>
      </c>
      <c r="O51" s="354">
        <f>IF(L51="nio",0,IF(L51&gt;0,VLOOKUP(H51,'3-Productie normen'!A:P,VLOOKUP(L51,'3-Productie normen'!$B$31:$C$45,2,FALSE),FALSE)))/VLOOKUP(B51,'2-Kosten per locatie'!$A$13:$D$36,4,FALSE)</f>
        <v>0</v>
      </c>
      <c r="P51" s="82" t="str">
        <f>VLOOKUP(H51,'3-Productie normen'!A:T,20,FALSE)</f>
        <v>V</v>
      </c>
      <c r="Q51" s="447"/>
      <c r="S51" s="356">
        <f t="shared" si="1"/>
        <v>3220.65</v>
      </c>
    </row>
    <row r="52" spans="1:19" ht="14.1" customHeight="1">
      <c r="A52" s="72">
        <f t="shared" si="2"/>
        <v>52</v>
      </c>
      <c r="B52" s="50" t="s">
        <v>805</v>
      </c>
      <c r="C52" s="50" t="s">
        <v>824</v>
      </c>
      <c r="D52" s="427" t="s">
        <v>1034</v>
      </c>
      <c r="E52" s="422" t="s">
        <v>196</v>
      </c>
      <c r="F52" s="347" t="s">
        <v>259</v>
      </c>
      <c r="G52" s="85" t="s">
        <v>253</v>
      </c>
      <c r="H52" s="65" t="s">
        <v>731</v>
      </c>
      <c r="I52" s="81" t="s">
        <v>780</v>
      </c>
      <c r="J52" s="350">
        <v>17.87</v>
      </c>
      <c r="K52" s="351">
        <f t="shared" si="3"/>
        <v>255</v>
      </c>
      <c r="L52" s="352">
        <v>255</v>
      </c>
      <c r="M52" s="448" t="str">
        <f>IF(L52="nio","",VLOOKUP(L52,'3-Productie normen'!$B$31:$H$45,3,FALSE))</f>
        <v>5 x per week (52 weken)</v>
      </c>
      <c r="N52" s="353" t="e">
        <f t="shared" si="0"/>
        <v>#DIV/0!</v>
      </c>
      <c r="O52" s="354">
        <f>IF(L52="nio",0,IF(L52&gt;0,VLOOKUP(H52,'3-Productie normen'!A:P,VLOOKUP(L52,'3-Productie normen'!$B$31:$C$45,2,FALSE),FALSE)))/VLOOKUP(B52,'2-Kosten per locatie'!$A$13:$D$36,4,FALSE)</f>
        <v>0</v>
      </c>
      <c r="P52" s="82" t="str">
        <f>VLOOKUP(H52,'3-Productie normen'!A:T,20,FALSE)</f>
        <v>V</v>
      </c>
      <c r="Q52" s="447"/>
      <c r="S52" s="356">
        <f t="shared" si="1"/>
        <v>4556.8500000000004</v>
      </c>
    </row>
    <row r="53" spans="1:19" ht="14.1" customHeight="1">
      <c r="A53" s="72">
        <f t="shared" si="2"/>
        <v>53</v>
      </c>
      <c r="B53" s="50" t="s">
        <v>805</v>
      </c>
      <c r="C53" s="50" t="s">
        <v>824</v>
      </c>
      <c r="D53" s="427" t="s">
        <v>1034</v>
      </c>
      <c r="E53" s="422" t="s">
        <v>196</v>
      </c>
      <c r="F53" s="347" t="s">
        <v>260</v>
      </c>
      <c r="G53" s="81" t="s">
        <v>261</v>
      </c>
      <c r="H53" s="65" t="s">
        <v>1093</v>
      </c>
      <c r="I53" s="84" t="s">
        <v>779</v>
      </c>
      <c r="J53" s="350">
        <v>3.28</v>
      </c>
      <c r="K53" s="351">
        <f t="shared" si="3"/>
        <v>255</v>
      </c>
      <c r="L53" s="352">
        <v>255</v>
      </c>
      <c r="M53" s="448" t="str">
        <f>IF(L53="nio","",VLOOKUP(L53,'3-Productie normen'!$B$31:$H$45,3,FALSE))</f>
        <v>5 x per week (52 weken)</v>
      </c>
      <c r="N53" s="353" t="e">
        <f t="shared" si="0"/>
        <v>#DIV/0!</v>
      </c>
      <c r="O53" s="354">
        <f>IF(L53="nio",0,IF(L53&gt;0,VLOOKUP(H53,'3-Productie normen'!A:P,VLOOKUP(L53,'3-Productie normen'!$B$31:$C$45,2,FALSE),FALSE)))/VLOOKUP(B53,'2-Kosten per locatie'!$A$13:$D$36,4,FALSE)</f>
        <v>0</v>
      </c>
      <c r="P53" s="82" t="str">
        <f>VLOOKUP(H53,'3-Productie normen'!A:T,20,FALSE)</f>
        <v>V</v>
      </c>
      <c r="Q53" s="447"/>
      <c r="S53" s="356">
        <f t="shared" si="1"/>
        <v>836.4</v>
      </c>
    </row>
    <row r="54" spans="1:19" ht="14.1" customHeight="1">
      <c r="A54" s="72">
        <f t="shared" si="2"/>
        <v>54</v>
      </c>
      <c r="B54" s="50" t="s">
        <v>805</v>
      </c>
      <c r="C54" s="50" t="s">
        <v>824</v>
      </c>
      <c r="D54" s="428" t="s">
        <v>1034</v>
      </c>
      <c r="E54" s="425" t="s">
        <v>196</v>
      </c>
      <c r="F54" s="348" t="s">
        <v>262</v>
      </c>
      <c r="G54" s="83" t="s">
        <v>263</v>
      </c>
      <c r="H54" s="65" t="s">
        <v>16</v>
      </c>
      <c r="I54" s="81" t="s">
        <v>781</v>
      </c>
      <c r="J54" s="350">
        <v>3.28</v>
      </c>
      <c r="K54" s="351">
        <f t="shared" si="3"/>
        <v>255</v>
      </c>
      <c r="L54" s="352">
        <v>255</v>
      </c>
      <c r="M54" s="448" t="str">
        <f>IF(L54="nio","",VLOOKUP(L54,'3-Productie normen'!$B$31:$H$45,3,FALSE))</f>
        <v>5 x per week (52 weken)</v>
      </c>
      <c r="N54" s="353" t="e">
        <f t="shared" si="0"/>
        <v>#DIV/0!</v>
      </c>
      <c r="O54" s="354">
        <f>IF(L54="nio",0,IF(L54&gt;0,VLOOKUP(H54,'3-Productie normen'!A:P,VLOOKUP(L54,'3-Productie normen'!$B$31:$C$45,2,FALSE),FALSE)))/VLOOKUP(B54,'2-Kosten per locatie'!$A$13:$D$36,4,FALSE)</f>
        <v>0</v>
      </c>
      <c r="P54" s="82" t="str">
        <f>VLOOKUP(H54,'3-Productie normen'!A:T,20,FALSE)</f>
        <v>S</v>
      </c>
      <c r="Q54" s="447"/>
      <c r="S54" s="356">
        <f t="shared" si="1"/>
        <v>836.4</v>
      </c>
    </row>
    <row r="55" spans="1:19" ht="14.1" customHeight="1">
      <c r="A55" s="72">
        <f t="shared" si="2"/>
        <v>55</v>
      </c>
      <c r="B55" s="50" t="s">
        <v>805</v>
      </c>
      <c r="C55" s="50" t="s">
        <v>824</v>
      </c>
      <c r="D55" s="427" t="s">
        <v>1034</v>
      </c>
      <c r="E55" s="422" t="s">
        <v>196</v>
      </c>
      <c r="F55" s="347" t="s">
        <v>264</v>
      </c>
      <c r="G55" s="81" t="s">
        <v>222</v>
      </c>
      <c r="H55" s="65" t="s">
        <v>16</v>
      </c>
      <c r="I55" s="81" t="s">
        <v>781</v>
      </c>
      <c r="J55" s="350">
        <v>1.21</v>
      </c>
      <c r="K55" s="351">
        <f t="shared" si="3"/>
        <v>255</v>
      </c>
      <c r="L55" s="352">
        <v>255</v>
      </c>
      <c r="M55" s="448" t="str">
        <f>IF(L55="nio","",VLOOKUP(L55,'3-Productie normen'!$B$31:$H$45,3,FALSE))</f>
        <v>5 x per week (52 weken)</v>
      </c>
      <c r="N55" s="353" t="e">
        <f t="shared" si="0"/>
        <v>#DIV/0!</v>
      </c>
      <c r="O55" s="354">
        <f>IF(L55="nio",0,IF(L55&gt;0,VLOOKUP(H55,'3-Productie normen'!A:P,VLOOKUP(L55,'3-Productie normen'!$B$31:$C$45,2,FALSE),FALSE)))/VLOOKUP(B55,'2-Kosten per locatie'!$A$13:$D$36,4,FALSE)</f>
        <v>0</v>
      </c>
      <c r="P55" s="82" t="str">
        <f>VLOOKUP(H55,'3-Productie normen'!A:T,20,FALSE)</f>
        <v>S</v>
      </c>
      <c r="Q55" s="447"/>
      <c r="S55" s="356">
        <f t="shared" si="1"/>
        <v>308.55</v>
      </c>
    </row>
    <row r="56" spans="1:19" ht="14.1" customHeight="1">
      <c r="A56" s="72">
        <f t="shared" si="2"/>
        <v>56</v>
      </c>
      <c r="B56" s="50" t="s">
        <v>805</v>
      </c>
      <c r="C56" s="50" t="s">
        <v>824</v>
      </c>
      <c r="D56" s="427" t="s">
        <v>1034</v>
      </c>
      <c r="E56" s="422" t="s">
        <v>196</v>
      </c>
      <c r="F56" s="347" t="s">
        <v>265</v>
      </c>
      <c r="G56" s="81" t="s">
        <v>222</v>
      </c>
      <c r="H56" s="65" t="s">
        <v>16</v>
      </c>
      <c r="I56" s="81" t="s">
        <v>781</v>
      </c>
      <c r="J56" s="350">
        <v>1.21</v>
      </c>
      <c r="K56" s="351">
        <f t="shared" si="3"/>
        <v>255</v>
      </c>
      <c r="L56" s="352">
        <v>255</v>
      </c>
      <c r="M56" s="448" t="str">
        <f>IF(L56="nio","",VLOOKUP(L56,'3-Productie normen'!$B$31:$H$45,3,FALSE))</f>
        <v>5 x per week (52 weken)</v>
      </c>
      <c r="N56" s="353" t="e">
        <f t="shared" si="0"/>
        <v>#DIV/0!</v>
      </c>
      <c r="O56" s="354">
        <f>IF(L56="nio",0,IF(L56&gt;0,VLOOKUP(H56,'3-Productie normen'!A:P,VLOOKUP(L56,'3-Productie normen'!$B$31:$C$45,2,FALSE),FALSE)))/VLOOKUP(B56,'2-Kosten per locatie'!$A$13:$D$36,4,FALSE)</f>
        <v>0</v>
      </c>
      <c r="P56" s="82" t="str">
        <f>VLOOKUP(H56,'3-Productie normen'!A:T,20,FALSE)</f>
        <v>S</v>
      </c>
      <c r="Q56" s="447"/>
      <c r="S56" s="356">
        <f t="shared" si="1"/>
        <v>308.55</v>
      </c>
    </row>
    <row r="57" spans="1:19" ht="14.1" customHeight="1">
      <c r="A57" s="72">
        <f t="shared" si="2"/>
        <v>57</v>
      </c>
      <c r="B57" s="50" t="s">
        <v>805</v>
      </c>
      <c r="C57" s="50" t="s">
        <v>824</v>
      </c>
      <c r="D57" s="427" t="s">
        <v>1034</v>
      </c>
      <c r="E57" s="422" t="s">
        <v>196</v>
      </c>
      <c r="F57" s="347" t="s">
        <v>266</v>
      </c>
      <c r="G57" s="81" t="s">
        <v>267</v>
      </c>
      <c r="H57" s="65" t="s">
        <v>203</v>
      </c>
      <c r="I57" s="81" t="s">
        <v>780</v>
      </c>
      <c r="J57" s="350">
        <v>3.38</v>
      </c>
      <c r="K57" s="351">
        <f t="shared" si="3"/>
        <v>255</v>
      </c>
      <c r="L57" s="352">
        <v>255</v>
      </c>
      <c r="M57" s="448" t="str">
        <f>IF(L57="nio","",VLOOKUP(L57,'3-Productie normen'!$B$31:$H$45,3,FALSE))</f>
        <v>5 x per week (52 weken)</v>
      </c>
      <c r="N57" s="353" t="e">
        <f t="shared" si="0"/>
        <v>#DIV/0!</v>
      </c>
      <c r="O57" s="354">
        <f>IF(L57="nio",0,IF(L57&gt;0,VLOOKUP(H57,'3-Productie normen'!A:P,VLOOKUP(L57,'3-Productie normen'!$B$31:$C$45,2,FALSE),FALSE)))/VLOOKUP(B57,'2-Kosten per locatie'!$A$13:$D$36,4,FALSE)</f>
        <v>0</v>
      </c>
      <c r="P57" s="82" t="str">
        <f>VLOOKUP(H57,'3-Productie normen'!A:T,20,FALSE)</f>
        <v>B</v>
      </c>
      <c r="Q57" s="447"/>
      <c r="S57" s="356">
        <f t="shared" si="1"/>
        <v>861.9</v>
      </c>
    </row>
    <row r="58" spans="1:19" ht="14.1" customHeight="1">
      <c r="A58" s="72">
        <f t="shared" si="2"/>
        <v>58</v>
      </c>
      <c r="B58" s="50" t="s">
        <v>805</v>
      </c>
      <c r="C58" s="50" t="s">
        <v>824</v>
      </c>
      <c r="D58" s="427" t="s">
        <v>1034</v>
      </c>
      <c r="E58" s="422" t="s">
        <v>196</v>
      </c>
      <c r="F58" s="347" t="s">
        <v>268</v>
      </c>
      <c r="G58" s="81" t="s">
        <v>226</v>
      </c>
      <c r="H58" s="65" t="s">
        <v>16</v>
      </c>
      <c r="I58" s="81" t="s">
        <v>781</v>
      </c>
      <c r="J58" s="350">
        <v>8.2100000000000009</v>
      </c>
      <c r="K58" s="351">
        <f t="shared" si="3"/>
        <v>255</v>
      </c>
      <c r="L58" s="352">
        <v>255</v>
      </c>
      <c r="M58" s="448" t="str">
        <f>IF(L58="nio","",VLOOKUP(L58,'3-Productie normen'!$B$31:$H$45,3,FALSE))</f>
        <v>5 x per week (52 weken)</v>
      </c>
      <c r="N58" s="353" t="e">
        <f t="shared" si="0"/>
        <v>#DIV/0!</v>
      </c>
      <c r="O58" s="354">
        <f>IF(L58="nio",0,IF(L58&gt;0,VLOOKUP(H58,'3-Productie normen'!A:P,VLOOKUP(L58,'3-Productie normen'!$B$31:$C$45,2,FALSE),FALSE)))/VLOOKUP(B58,'2-Kosten per locatie'!$A$13:$D$36,4,FALSE)</f>
        <v>0</v>
      </c>
      <c r="P58" s="82" t="str">
        <f>VLOOKUP(H58,'3-Productie normen'!A:T,20,FALSE)</f>
        <v>S</v>
      </c>
      <c r="Q58" s="447"/>
      <c r="S58" s="356">
        <f t="shared" si="1"/>
        <v>2093.5500000000002</v>
      </c>
    </row>
    <row r="59" spans="1:19" ht="14.1" customHeight="1">
      <c r="A59" s="72">
        <f t="shared" si="2"/>
        <v>59</v>
      </c>
      <c r="B59" s="50" t="s">
        <v>805</v>
      </c>
      <c r="C59" s="50" t="s">
        <v>824</v>
      </c>
      <c r="D59" s="427" t="s">
        <v>1034</v>
      </c>
      <c r="E59" s="422" t="s">
        <v>196</v>
      </c>
      <c r="F59" s="347" t="s">
        <v>269</v>
      </c>
      <c r="G59" s="81" t="s">
        <v>226</v>
      </c>
      <c r="H59" s="65" t="s">
        <v>16</v>
      </c>
      <c r="I59" s="81" t="s">
        <v>781</v>
      </c>
      <c r="J59" s="350">
        <v>9.09</v>
      </c>
      <c r="K59" s="351">
        <f t="shared" si="3"/>
        <v>255</v>
      </c>
      <c r="L59" s="352">
        <v>255</v>
      </c>
      <c r="M59" s="448" t="str">
        <f>IF(L59="nio","",VLOOKUP(L59,'3-Productie normen'!$B$31:$H$45,3,FALSE))</f>
        <v>5 x per week (52 weken)</v>
      </c>
      <c r="N59" s="353" t="e">
        <f t="shared" si="0"/>
        <v>#DIV/0!</v>
      </c>
      <c r="O59" s="354">
        <f>IF(L59="nio",0,IF(L59&gt;0,VLOOKUP(H59,'3-Productie normen'!A:P,VLOOKUP(L59,'3-Productie normen'!$B$31:$C$45,2,FALSE),FALSE)))/VLOOKUP(B59,'2-Kosten per locatie'!$A$13:$D$36,4,FALSE)</f>
        <v>0</v>
      </c>
      <c r="P59" s="82" t="str">
        <f>VLOOKUP(H59,'3-Productie normen'!A:T,20,FALSE)</f>
        <v>S</v>
      </c>
      <c r="Q59" s="447"/>
      <c r="S59" s="356">
        <f t="shared" si="1"/>
        <v>2317.9499999999998</v>
      </c>
    </row>
    <row r="60" spans="1:19" ht="14.1" customHeight="1">
      <c r="A60" s="72">
        <f t="shared" si="2"/>
        <v>60</v>
      </c>
      <c r="B60" s="50" t="s">
        <v>805</v>
      </c>
      <c r="C60" s="50" t="s">
        <v>824</v>
      </c>
      <c r="D60" s="427" t="s">
        <v>1034</v>
      </c>
      <c r="E60" s="422" t="s">
        <v>196</v>
      </c>
      <c r="F60" s="347" t="s">
        <v>270</v>
      </c>
      <c r="G60" s="81" t="s">
        <v>256</v>
      </c>
      <c r="H60" s="65" t="s">
        <v>731</v>
      </c>
      <c r="I60" s="81" t="s">
        <v>780</v>
      </c>
      <c r="J60" s="350">
        <v>44.52</v>
      </c>
      <c r="K60" s="351">
        <f t="shared" si="3"/>
        <v>255</v>
      </c>
      <c r="L60" s="352">
        <v>255</v>
      </c>
      <c r="M60" s="448" t="str">
        <f>IF(L60="nio","",VLOOKUP(L60,'3-Productie normen'!$B$31:$H$45,3,FALSE))</f>
        <v>5 x per week (52 weken)</v>
      </c>
      <c r="N60" s="353" t="e">
        <f t="shared" si="0"/>
        <v>#DIV/0!</v>
      </c>
      <c r="O60" s="354">
        <f>IF(L60="nio",0,IF(L60&gt;0,VLOOKUP(H60,'3-Productie normen'!A:P,VLOOKUP(L60,'3-Productie normen'!$B$31:$C$45,2,FALSE),FALSE)))/VLOOKUP(B60,'2-Kosten per locatie'!$A$13:$D$36,4,FALSE)</f>
        <v>0</v>
      </c>
      <c r="P60" s="82" t="str">
        <f>VLOOKUP(H60,'3-Productie normen'!A:T,20,FALSE)</f>
        <v>V</v>
      </c>
      <c r="Q60" s="447"/>
      <c r="S60" s="356">
        <f t="shared" si="1"/>
        <v>11352.6</v>
      </c>
    </row>
    <row r="61" spans="1:19" ht="14.1" customHeight="1">
      <c r="A61" s="72">
        <f t="shared" si="2"/>
        <v>61</v>
      </c>
      <c r="B61" s="50" t="s">
        <v>805</v>
      </c>
      <c r="C61" s="50" t="s">
        <v>824</v>
      </c>
      <c r="D61" s="427" t="s">
        <v>1034</v>
      </c>
      <c r="E61" s="422" t="s">
        <v>196</v>
      </c>
      <c r="F61" s="347" t="s">
        <v>271</v>
      </c>
      <c r="G61" s="81" t="s">
        <v>239</v>
      </c>
      <c r="H61" s="65" t="s">
        <v>731</v>
      </c>
      <c r="I61" s="81" t="s">
        <v>780</v>
      </c>
      <c r="J61" s="350">
        <v>36.35</v>
      </c>
      <c r="K61" s="351">
        <f t="shared" si="3"/>
        <v>255</v>
      </c>
      <c r="L61" s="352">
        <v>255</v>
      </c>
      <c r="M61" s="448" t="str">
        <f>IF(L61="nio","",VLOOKUP(L61,'3-Productie normen'!$B$31:$H$45,3,FALSE))</f>
        <v>5 x per week (52 weken)</v>
      </c>
      <c r="N61" s="353" t="e">
        <f t="shared" si="0"/>
        <v>#DIV/0!</v>
      </c>
      <c r="O61" s="354">
        <f>IF(L61="nio",0,IF(L61&gt;0,VLOOKUP(H61,'3-Productie normen'!A:P,VLOOKUP(L61,'3-Productie normen'!$B$31:$C$45,2,FALSE),FALSE)))/VLOOKUP(B61,'2-Kosten per locatie'!$A$13:$D$36,4,FALSE)</f>
        <v>0</v>
      </c>
      <c r="P61" s="82" t="str">
        <f>VLOOKUP(H61,'3-Productie normen'!A:T,20,FALSE)</f>
        <v>V</v>
      </c>
      <c r="Q61" s="447"/>
      <c r="S61" s="356">
        <f t="shared" si="1"/>
        <v>9269.25</v>
      </c>
    </row>
    <row r="62" spans="1:19" ht="14.1" customHeight="1">
      <c r="A62" s="72">
        <f t="shared" si="2"/>
        <v>62</v>
      </c>
      <c r="B62" s="50" t="s">
        <v>805</v>
      </c>
      <c r="C62" s="50" t="s">
        <v>824</v>
      </c>
      <c r="D62" s="427" t="s">
        <v>1034</v>
      </c>
      <c r="E62" s="422" t="s">
        <v>196</v>
      </c>
      <c r="F62" s="347" t="s">
        <v>272</v>
      </c>
      <c r="G62" s="81" t="s">
        <v>239</v>
      </c>
      <c r="H62" s="65" t="s">
        <v>731</v>
      </c>
      <c r="I62" s="81" t="s">
        <v>780</v>
      </c>
      <c r="J62" s="350">
        <v>64.05</v>
      </c>
      <c r="K62" s="351">
        <f t="shared" si="3"/>
        <v>255</v>
      </c>
      <c r="L62" s="352">
        <v>255</v>
      </c>
      <c r="M62" s="448" t="str">
        <f>IF(L62="nio","",VLOOKUP(L62,'3-Productie normen'!$B$31:$H$45,3,FALSE))</f>
        <v>5 x per week (52 weken)</v>
      </c>
      <c r="N62" s="353" t="e">
        <f t="shared" si="0"/>
        <v>#DIV/0!</v>
      </c>
      <c r="O62" s="354">
        <f>IF(L62="nio",0,IF(L62&gt;0,VLOOKUP(H62,'3-Productie normen'!A:P,VLOOKUP(L62,'3-Productie normen'!$B$31:$C$45,2,FALSE),FALSE)))/VLOOKUP(B62,'2-Kosten per locatie'!$A$13:$D$36,4,FALSE)</f>
        <v>0</v>
      </c>
      <c r="P62" s="82" t="str">
        <f>VLOOKUP(H62,'3-Productie normen'!A:T,20,FALSE)</f>
        <v>V</v>
      </c>
      <c r="Q62" s="447"/>
      <c r="S62" s="356">
        <f t="shared" si="1"/>
        <v>16332.75</v>
      </c>
    </row>
    <row r="63" spans="1:19" ht="14.1" customHeight="1">
      <c r="A63" s="72">
        <f t="shared" si="2"/>
        <v>63</v>
      </c>
      <c r="B63" s="50" t="s">
        <v>805</v>
      </c>
      <c r="C63" s="50" t="s">
        <v>824</v>
      </c>
      <c r="D63" s="427" t="s">
        <v>1034</v>
      </c>
      <c r="E63" s="422" t="s">
        <v>196</v>
      </c>
      <c r="F63" s="347" t="s">
        <v>273</v>
      </c>
      <c r="G63" s="81" t="s">
        <v>239</v>
      </c>
      <c r="H63" s="65" t="s">
        <v>731</v>
      </c>
      <c r="I63" s="81" t="s">
        <v>780</v>
      </c>
      <c r="J63" s="350">
        <v>63.06</v>
      </c>
      <c r="K63" s="351">
        <f t="shared" si="3"/>
        <v>255</v>
      </c>
      <c r="L63" s="352">
        <v>255</v>
      </c>
      <c r="M63" s="448" t="str">
        <f>IF(L63="nio","",VLOOKUP(L63,'3-Productie normen'!$B$31:$H$45,3,FALSE))</f>
        <v>5 x per week (52 weken)</v>
      </c>
      <c r="N63" s="353" t="e">
        <f t="shared" si="0"/>
        <v>#DIV/0!</v>
      </c>
      <c r="O63" s="354">
        <f>IF(L63="nio",0,IF(L63&gt;0,VLOOKUP(H63,'3-Productie normen'!A:P,VLOOKUP(L63,'3-Productie normen'!$B$31:$C$45,2,FALSE),FALSE)))/VLOOKUP(B63,'2-Kosten per locatie'!$A$13:$D$36,4,FALSE)</f>
        <v>0</v>
      </c>
      <c r="P63" s="82" t="str">
        <f>VLOOKUP(H63,'3-Productie normen'!A:T,20,FALSE)</f>
        <v>V</v>
      </c>
      <c r="Q63" s="447"/>
      <c r="S63" s="356">
        <f t="shared" si="1"/>
        <v>16080.300000000001</v>
      </c>
    </row>
    <row r="64" spans="1:19" ht="14.1" customHeight="1">
      <c r="A64" s="72">
        <f t="shared" si="2"/>
        <v>64</v>
      </c>
      <c r="B64" s="50" t="s">
        <v>805</v>
      </c>
      <c r="C64" s="50" t="s">
        <v>824</v>
      </c>
      <c r="D64" s="427" t="s">
        <v>1034</v>
      </c>
      <c r="E64" s="422" t="s">
        <v>196</v>
      </c>
      <c r="F64" s="347" t="s">
        <v>274</v>
      </c>
      <c r="G64" s="81" t="s">
        <v>209</v>
      </c>
      <c r="H64" s="65" t="s">
        <v>1040</v>
      </c>
      <c r="I64" s="81" t="s">
        <v>780</v>
      </c>
      <c r="J64" s="350">
        <v>2.92</v>
      </c>
      <c r="K64" s="351">
        <f t="shared" si="3"/>
        <v>12</v>
      </c>
      <c r="L64" s="352">
        <v>12</v>
      </c>
      <c r="M64" s="448" t="str">
        <f>IF(L64="nio","",VLOOKUP(L64,'3-Productie normen'!$B$31:$H$45,3,FALSE))</f>
        <v>1 x per maand</v>
      </c>
      <c r="N64" s="353" t="e">
        <f t="shared" si="0"/>
        <v>#DIV/0!</v>
      </c>
      <c r="O64" s="354">
        <f>IF(L64="nio",0,IF(L64&gt;0,VLOOKUP(H64,'3-Productie normen'!A:P,VLOOKUP(L64,'3-Productie normen'!$B$31:$C$45,2,FALSE),FALSE)))/VLOOKUP(B64,'2-Kosten per locatie'!$A$13:$D$36,4,FALSE)</f>
        <v>0</v>
      </c>
      <c r="P64" s="82" t="str">
        <f>VLOOKUP(H64,'3-Productie normen'!A:T,20,FALSE)</f>
        <v>V</v>
      </c>
      <c r="Q64" s="447"/>
      <c r="S64" s="356">
        <f t="shared" si="1"/>
        <v>35.04</v>
      </c>
    </row>
    <row r="65" spans="1:19" ht="14.1" customHeight="1">
      <c r="A65" s="72">
        <f t="shared" si="2"/>
        <v>65</v>
      </c>
      <c r="B65" s="50" t="s">
        <v>805</v>
      </c>
      <c r="C65" s="50" t="s">
        <v>824</v>
      </c>
      <c r="D65" s="427" t="s">
        <v>1033</v>
      </c>
      <c r="E65" s="422" t="s">
        <v>275</v>
      </c>
      <c r="F65" s="347" t="s">
        <v>276</v>
      </c>
      <c r="G65" s="81" t="s">
        <v>201</v>
      </c>
      <c r="H65" s="432" t="s">
        <v>198</v>
      </c>
      <c r="I65" s="81" t="s">
        <v>780</v>
      </c>
      <c r="J65" s="350">
        <v>83.51</v>
      </c>
      <c r="K65" s="351">
        <f t="shared" si="3"/>
        <v>200</v>
      </c>
      <c r="L65" s="352">
        <v>200</v>
      </c>
      <c r="M65" s="448" t="str">
        <f>IF(L65="nio","",VLOOKUP(L65,'3-Productie normen'!$B$31:$H$45,3,FALSE))</f>
        <v>5 x per week (40 weken)</v>
      </c>
      <c r="N65" s="353" t="e">
        <f t="shared" si="0"/>
        <v>#DIV/0!</v>
      </c>
      <c r="O65" s="354">
        <f>IF(L65="nio",0,IF(L65&gt;0,VLOOKUP(H65,'3-Productie normen'!A:P,VLOOKUP(L65,'3-Productie normen'!$B$31:$C$45,2,FALSE),FALSE)))/VLOOKUP(B65,'2-Kosten per locatie'!$A$13:$D$36,4,FALSE)</f>
        <v>0</v>
      </c>
      <c r="P65" s="82" t="str">
        <f>VLOOKUP(H65,'3-Productie normen'!A:T,20,FALSE)</f>
        <v>V</v>
      </c>
      <c r="Q65" s="447" t="s">
        <v>792</v>
      </c>
      <c r="S65" s="356">
        <f t="shared" si="1"/>
        <v>16702</v>
      </c>
    </row>
    <row r="66" spans="1:19" ht="14.1" customHeight="1">
      <c r="A66" s="72">
        <f t="shared" si="2"/>
        <v>66</v>
      </c>
      <c r="B66" s="50" t="s">
        <v>805</v>
      </c>
      <c r="C66" s="50" t="s">
        <v>824</v>
      </c>
      <c r="D66" s="427" t="s">
        <v>1033</v>
      </c>
      <c r="E66" s="422" t="s">
        <v>275</v>
      </c>
      <c r="F66" s="347" t="s">
        <v>276</v>
      </c>
      <c r="G66" s="433" t="s">
        <v>229</v>
      </c>
      <c r="H66" s="432" t="s">
        <v>198</v>
      </c>
      <c r="I66" s="81" t="s">
        <v>780</v>
      </c>
      <c r="J66" s="350">
        <v>45.130001068115199</v>
      </c>
      <c r="K66" s="351">
        <f t="shared" si="3"/>
        <v>200</v>
      </c>
      <c r="L66" s="352">
        <v>200</v>
      </c>
      <c r="M66" s="448" t="str">
        <f>IF(L66="nio","",VLOOKUP(L66,'3-Productie normen'!$B$31:$H$45,3,FALSE))</f>
        <v>5 x per week (40 weken)</v>
      </c>
      <c r="N66" s="353" t="e">
        <f t="shared" si="0"/>
        <v>#DIV/0!</v>
      </c>
      <c r="O66" s="354">
        <f>IF(L66="nio",0,IF(L66&gt;0,VLOOKUP(H66,'3-Productie normen'!A:P,VLOOKUP(L66,'3-Productie normen'!$B$31:$C$45,2,FALSE),FALSE)))/VLOOKUP(B66,'2-Kosten per locatie'!$A$13:$D$36,4,FALSE)</f>
        <v>0</v>
      </c>
      <c r="P66" s="82" t="str">
        <f>VLOOKUP(H66,'3-Productie normen'!A:T,20,FALSE)</f>
        <v>V</v>
      </c>
      <c r="Q66" s="447" t="s">
        <v>792</v>
      </c>
      <c r="S66" s="356">
        <f t="shared" si="1"/>
        <v>9026.0002136230396</v>
      </c>
    </row>
    <row r="67" spans="1:19" ht="14.1" customHeight="1">
      <c r="A67" s="72">
        <f t="shared" si="2"/>
        <v>67</v>
      </c>
      <c r="B67" s="50" t="s">
        <v>805</v>
      </c>
      <c r="C67" s="50" t="s">
        <v>824</v>
      </c>
      <c r="D67" s="427" t="s">
        <v>1033</v>
      </c>
      <c r="E67" s="422" t="s">
        <v>196</v>
      </c>
      <c r="F67" s="347" t="s">
        <v>277</v>
      </c>
      <c r="G67" s="81" t="s">
        <v>232</v>
      </c>
      <c r="H67" s="430" t="s">
        <v>1046</v>
      </c>
      <c r="I67" s="81" t="s">
        <v>780</v>
      </c>
      <c r="J67" s="350">
        <v>10</v>
      </c>
      <c r="K67" s="351">
        <f t="shared" si="3"/>
        <v>200</v>
      </c>
      <c r="L67" s="352">
        <v>200</v>
      </c>
      <c r="M67" s="448" t="str">
        <f>IF(L67="nio","",VLOOKUP(L67,'3-Productie normen'!$B$31:$H$45,3,FALSE))</f>
        <v>5 x per week (40 weken)</v>
      </c>
      <c r="N67" s="353" t="e">
        <f t="shared" si="0"/>
        <v>#DIV/0!</v>
      </c>
      <c r="O67" s="354">
        <f>IF(L67="nio",0,IF(L67&gt;0,VLOOKUP(H67,'3-Productie normen'!A:P,VLOOKUP(L67,'3-Productie normen'!$B$31:$C$45,2,FALSE),FALSE)))/VLOOKUP(B67,'2-Kosten per locatie'!$A$13:$D$36,4,FALSE)</f>
        <v>0</v>
      </c>
      <c r="P67" s="82" t="str">
        <f>VLOOKUP(H67,'3-Productie normen'!A:T,20,FALSE)</f>
        <v>V</v>
      </c>
      <c r="Q67" s="447" t="s">
        <v>860</v>
      </c>
      <c r="S67" s="356">
        <f t="shared" si="1"/>
        <v>2000</v>
      </c>
    </row>
    <row r="68" spans="1:19" ht="14.1" customHeight="1">
      <c r="A68" s="72">
        <f t="shared" si="2"/>
        <v>68</v>
      </c>
      <c r="B68" s="50" t="s">
        <v>805</v>
      </c>
      <c r="C68" s="50" t="s">
        <v>824</v>
      </c>
      <c r="D68" s="427" t="s">
        <v>1033</v>
      </c>
      <c r="E68" s="422" t="s">
        <v>275</v>
      </c>
      <c r="F68" s="347" t="s">
        <v>278</v>
      </c>
      <c r="G68" s="81" t="s">
        <v>279</v>
      </c>
      <c r="H68" s="81" t="s">
        <v>279</v>
      </c>
      <c r="I68" s="81" t="s">
        <v>780</v>
      </c>
      <c r="J68" s="350">
        <v>38.93</v>
      </c>
      <c r="K68" s="351">
        <f t="shared" si="3"/>
        <v>200</v>
      </c>
      <c r="L68" s="352">
        <v>200</v>
      </c>
      <c r="M68" s="448" t="str">
        <f>IF(L68="nio","",VLOOKUP(L68,'3-Productie normen'!$B$31:$H$45,3,FALSE))</f>
        <v>5 x per week (40 weken)</v>
      </c>
      <c r="N68" s="353" t="e">
        <f t="shared" si="0"/>
        <v>#DIV/0!</v>
      </c>
      <c r="O68" s="354">
        <f>IF(L68="nio",0,IF(L68&gt;0,VLOOKUP(H68,'3-Productie normen'!A:P,VLOOKUP(L68,'3-Productie normen'!$B$31:$C$45,2,FALSE),FALSE)))/VLOOKUP(B68,'2-Kosten per locatie'!$A$13:$D$36,4,FALSE)</f>
        <v>0</v>
      </c>
      <c r="P68" s="82" t="str">
        <f>VLOOKUP(H68,'3-Productie normen'!A:T,20,FALSE)</f>
        <v>B</v>
      </c>
      <c r="Q68" s="447" t="s">
        <v>792</v>
      </c>
      <c r="S68" s="356">
        <f t="shared" si="1"/>
        <v>7786</v>
      </c>
    </row>
    <row r="69" spans="1:19" ht="14.1" customHeight="1">
      <c r="A69" s="72">
        <f t="shared" si="2"/>
        <v>69</v>
      </c>
      <c r="B69" s="50" t="s">
        <v>805</v>
      </c>
      <c r="C69" s="50" t="s">
        <v>824</v>
      </c>
      <c r="D69" s="427" t="s">
        <v>1033</v>
      </c>
      <c r="E69" s="422" t="s">
        <v>275</v>
      </c>
      <c r="F69" s="347" t="s">
        <v>280</v>
      </c>
      <c r="G69" s="81" t="s">
        <v>281</v>
      </c>
      <c r="H69" s="81" t="s">
        <v>203</v>
      </c>
      <c r="I69" s="81" t="s">
        <v>780</v>
      </c>
      <c r="J69" s="350">
        <v>17.399999999999999</v>
      </c>
      <c r="K69" s="351">
        <f t="shared" si="3"/>
        <v>120</v>
      </c>
      <c r="L69" s="352">
        <v>120</v>
      </c>
      <c r="M69" s="448" t="str">
        <f>IF(L69="nio","",VLOOKUP(L69,'3-Productie normen'!$B$31:$H$45,3,FALSE))</f>
        <v>3 x per week (40 weken)</v>
      </c>
      <c r="N69" s="353" t="e">
        <f t="shared" si="0"/>
        <v>#DIV/0!</v>
      </c>
      <c r="O69" s="354">
        <f>IF(L69="nio",0,IF(L69&gt;0,VLOOKUP(H69,'3-Productie normen'!A:P,VLOOKUP(L69,'3-Productie normen'!$B$31:$C$45,2,FALSE),FALSE)))/VLOOKUP(B69,'2-Kosten per locatie'!$A$13:$D$36,4,FALSE)</f>
        <v>0</v>
      </c>
      <c r="P69" s="82" t="str">
        <f>VLOOKUP(H69,'3-Productie normen'!A:T,20,FALSE)</f>
        <v>B</v>
      </c>
      <c r="Q69" s="447" t="s">
        <v>792</v>
      </c>
      <c r="S69" s="356">
        <f t="shared" si="1"/>
        <v>2088</v>
      </c>
    </row>
    <row r="70" spans="1:19" ht="14.1" customHeight="1">
      <c r="A70" s="72">
        <f t="shared" si="2"/>
        <v>70</v>
      </c>
      <c r="B70" s="50" t="s">
        <v>805</v>
      </c>
      <c r="C70" s="50" t="s">
        <v>824</v>
      </c>
      <c r="D70" s="427" t="s">
        <v>1033</v>
      </c>
      <c r="E70" s="422" t="s">
        <v>275</v>
      </c>
      <c r="F70" s="347" t="s">
        <v>282</v>
      </c>
      <c r="G70" s="81" t="s">
        <v>283</v>
      </c>
      <c r="H70" s="81" t="s">
        <v>203</v>
      </c>
      <c r="I70" s="81" t="s">
        <v>780</v>
      </c>
      <c r="J70" s="350">
        <v>15.060000419616699</v>
      </c>
      <c r="K70" s="351">
        <f t="shared" si="3"/>
        <v>120</v>
      </c>
      <c r="L70" s="352">
        <v>120</v>
      </c>
      <c r="M70" s="448" t="str">
        <f>IF(L70="nio","",VLOOKUP(L70,'3-Productie normen'!$B$31:$H$45,3,FALSE))</f>
        <v>3 x per week (40 weken)</v>
      </c>
      <c r="N70" s="353" t="e">
        <f t="shared" si="0"/>
        <v>#DIV/0!</v>
      </c>
      <c r="O70" s="354">
        <f>IF(L70="nio",0,IF(L70&gt;0,VLOOKUP(H70,'3-Productie normen'!A:P,VLOOKUP(L70,'3-Productie normen'!$B$31:$C$45,2,FALSE),FALSE)))/VLOOKUP(B70,'2-Kosten per locatie'!$A$13:$D$36,4,FALSE)</f>
        <v>0</v>
      </c>
      <c r="P70" s="82" t="str">
        <f>VLOOKUP(H70,'3-Productie normen'!A:T,20,FALSE)</f>
        <v>B</v>
      </c>
      <c r="Q70" s="447" t="s">
        <v>792</v>
      </c>
      <c r="S70" s="356">
        <f t="shared" si="1"/>
        <v>1807.2000503540039</v>
      </c>
    </row>
    <row r="71" spans="1:19" ht="14.1" customHeight="1">
      <c r="A71" s="72">
        <f t="shared" si="2"/>
        <v>71</v>
      </c>
      <c r="B71" s="50" t="s">
        <v>805</v>
      </c>
      <c r="C71" s="50" t="s">
        <v>824</v>
      </c>
      <c r="D71" s="427" t="s">
        <v>1033</v>
      </c>
      <c r="E71" s="422" t="s">
        <v>275</v>
      </c>
      <c r="F71" s="347" t="s">
        <v>284</v>
      </c>
      <c r="G71" s="81" t="s">
        <v>209</v>
      </c>
      <c r="H71" s="50" t="s">
        <v>1040</v>
      </c>
      <c r="I71" s="81" t="s">
        <v>780</v>
      </c>
      <c r="J71" s="350">
        <v>7.3000001907348597</v>
      </c>
      <c r="K71" s="351">
        <f t="shared" si="3"/>
        <v>12</v>
      </c>
      <c r="L71" s="352">
        <v>12</v>
      </c>
      <c r="M71" s="448" t="str">
        <f>IF(L71="nio","",VLOOKUP(L71,'3-Productie normen'!$B$31:$H$45,3,FALSE))</f>
        <v>1 x per maand</v>
      </c>
      <c r="N71" s="353" t="e">
        <f t="shared" si="0"/>
        <v>#DIV/0!</v>
      </c>
      <c r="O71" s="354">
        <f>IF(L71="nio",0,IF(L71&gt;0,VLOOKUP(H71,'3-Productie normen'!A:P,VLOOKUP(L71,'3-Productie normen'!$B$31:$C$45,2,FALSE),FALSE)))/VLOOKUP(B71,'2-Kosten per locatie'!$A$13:$D$36,4,FALSE)</f>
        <v>0</v>
      </c>
      <c r="P71" s="82" t="str">
        <f>VLOOKUP(H71,'3-Productie normen'!A:T,20,FALSE)</f>
        <v>V</v>
      </c>
      <c r="Q71" s="447" t="s">
        <v>792</v>
      </c>
      <c r="S71" s="356">
        <f t="shared" si="1"/>
        <v>87.600002288818317</v>
      </c>
    </row>
    <row r="72" spans="1:19" ht="14.1" customHeight="1">
      <c r="A72" s="72">
        <f t="shared" si="2"/>
        <v>72</v>
      </c>
      <c r="B72" s="50" t="s">
        <v>805</v>
      </c>
      <c r="C72" s="50" t="s">
        <v>824</v>
      </c>
      <c r="D72" s="427" t="s">
        <v>1033</v>
      </c>
      <c r="E72" s="422" t="s">
        <v>275</v>
      </c>
      <c r="F72" s="347" t="s">
        <v>285</v>
      </c>
      <c r="G72" s="81" t="s">
        <v>206</v>
      </c>
      <c r="H72" s="65" t="s">
        <v>1053</v>
      </c>
      <c r="I72" s="81" t="s">
        <v>780</v>
      </c>
      <c r="J72" s="350">
        <v>4.95</v>
      </c>
      <c r="K72" s="351" t="str">
        <f t="shared" si="3"/>
        <v>nio</v>
      </c>
      <c r="L72" s="352" t="s">
        <v>804</v>
      </c>
      <c r="M72" s="448" t="str">
        <f>IF(L72="nio","",VLOOKUP(L72,'3-Productie normen'!$B$31:$H$45,3,FALSE))</f>
        <v/>
      </c>
      <c r="N72" s="353">
        <f t="shared" si="0"/>
        <v>0</v>
      </c>
      <c r="O72" s="354">
        <f>IF(L72="nio",0,IF(L72&gt;0,VLOOKUP(H72,'3-Productie normen'!A:P,VLOOKUP(L72,'3-Productie normen'!$B$31:$C$45,2,FALSE),FALSE)))/VLOOKUP(B72,'2-Kosten per locatie'!$A$13:$D$36,4,FALSE)</f>
        <v>0</v>
      </c>
      <c r="P72" s="82">
        <f>VLOOKUP(H72,'3-Productie normen'!A:T,20,FALSE)</f>
        <v>0</v>
      </c>
      <c r="Q72" s="447" t="s">
        <v>861</v>
      </c>
      <c r="S72" s="356">
        <f t="shared" si="1"/>
        <v>0</v>
      </c>
    </row>
    <row r="73" spans="1:19" ht="14.1" customHeight="1">
      <c r="A73" s="72">
        <f t="shared" si="2"/>
        <v>73</v>
      </c>
      <c r="B73" s="50" t="s">
        <v>805</v>
      </c>
      <c r="C73" s="50" t="s">
        <v>824</v>
      </c>
      <c r="D73" s="427" t="s">
        <v>1033</v>
      </c>
      <c r="E73" s="422" t="s">
        <v>275</v>
      </c>
      <c r="F73" s="347" t="s">
        <v>286</v>
      </c>
      <c r="G73" s="81" t="s">
        <v>222</v>
      </c>
      <c r="H73" s="81" t="s">
        <v>16</v>
      </c>
      <c r="I73" s="81" t="s">
        <v>781</v>
      </c>
      <c r="J73" s="350">
        <v>1.94</v>
      </c>
      <c r="K73" s="351">
        <f t="shared" si="3"/>
        <v>201</v>
      </c>
      <c r="L73" s="352">
        <v>201</v>
      </c>
      <c r="M73" s="448" t="str">
        <f>IF(L73="nio","",VLOOKUP(L73,'3-Productie normen'!$B$31:$H$45,3,FALSE))</f>
        <v>5 x per week (40 weken + 1 Zomer refreshbeurt)</v>
      </c>
      <c r="N73" s="353" t="e">
        <f t="shared" si="0"/>
        <v>#DIV/0!</v>
      </c>
      <c r="O73" s="354">
        <f>IF(L73="nio",0,IF(L73&gt;0,VLOOKUP(H73,'3-Productie normen'!A:P,VLOOKUP(L73,'3-Productie normen'!$B$31:$C$45,2,FALSE),FALSE)))/VLOOKUP(B73,'2-Kosten per locatie'!$A$13:$D$36,4,FALSE)</f>
        <v>0</v>
      </c>
      <c r="P73" s="82" t="str">
        <f>VLOOKUP(H73,'3-Productie normen'!A:T,20,FALSE)</f>
        <v>S</v>
      </c>
      <c r="Q73" s="447" t="s">
        <v>857</v>
      </c>
      <c r="S73" s="356">
        <f t="shared" si="1"/>
        <v>389.94</v>
      </c>
    </row>
    <row r="74" spans="1:19" ht="14.1" customHeight="1">
      <c r="A74" s="72">
        <f t="shared" si="2"/>
        <v>74</v>
      </c>
      <c r="B74" s="50" t="s">
        <v>805</v>
      </c>
      <c r="C74" s="50" t="s">
        <v>824</v>
      </c>
      <c r="D74" s="427" t="s">
        <v>1033</v>
      </c>
      <c r="E74" s="422" t="s">
        <v>275</v>
      </c>
      <c r="F74" s="347" t="s">
        <v>287</v>
      </c>
      <c r="G74" s="81" t="s">
        <v>222</v>
      </c>
      <c r="H74" s="81" t="s">
        <v>16</v>
      </c>
      <c r="I74" s="81" t="s">
        <v>781</v>
      </c>
      <c r="J74" s="350">
        <v>1.94</v>
      </c>
      <c r="K74" s="351">
        <f t="shared" si="3"/>
        <v>201</v>
      </c>
      <c r="L74" s="352">
        <v>201</v>
      </c>
      <c r="M74" s="448" t="str">
        <f>IF(L74="nio","",VLOOKUP(L74,'3-Productie normen'!$B$31:$H$45,3,FALSE))</f>
        <v>5 x per week (40 weken + 1 Zomer refreshbeurt)</v>
      </c>
      <c r="N74" s="353" t="e">
        <f t="shared" ref="N74:N114" si="4">IF(L74="nio",0,IF(L74&gt;0,L74*J74/O74,0))</f>
        <v>#DIV/0!</v>
      </c>
      <c r="O74" s="354">
        <f>IF(L74="nio",0,IF(L74&gt;0,VLOOKUP(H74,'3-Productie normen'!A:P,VLOOKUP(L74,'3-Productie normen'!$B$31:$C$45,2,FALSE),FALSE)))/VLOOKUP(B74,'2-Kosten per locatie'!$A$13:$D$36,4,FALSE)</f>
        <v>0</v>
      </c>
      <c r="P74" s="82" t="str">
        <f>VLOOKUP(H74,'3-Productie normen'!A:T,20,FALSE)</f>
        <v>S</v>
      </c>
      <c r="Q74" s="447" t="s">
        <v>857</v>
      </c>
      <c r="S74" s="356">
        <f t="shared" ref="S74:S114" si="5">IF(L74="nio",0,K74*J74)</f>
        <v>389.94</v>
      </c>
    </row>
    <row r="75" spans="1:19" ht="14.1" customHeight="1">
      <c r="A75" s="72">
        <f t="shared" ref="A75:A138" si="6">A74+1</f>
        <v>75</v>
      </c>
      <c r="B75" s="50" t="s">
        <v>805</v>
      </c>
      <c r="C75" s="50" t="s">
        <v>824</v>
      </c>
      <c r="D75" s="427" t="s">
        <v>1033</v>
      </c>
      <c r="E75" s="422" t="s">
        <v>275</v>
      </c>
      <c r="F75" s="347" t="s">
        <v>288</v>
      </c>
      <c r="G75" s="81" t="s">
        <v>199</v>
      </c>
      <c r="H75" s="432" t="s">
        <v>198</v>
      </c>
      <c r="I75" s="81" t="s">
        <v>779</v>
      </c>
      <c r="J75" s="350">
        <v>8.77</v>
      </c>
      <c r="K75" s="351">
        <f t="shared" ref="K75:K114" si="7">L75</f>
        <v>200</v>
      </c>
      <c r="L75" s="352">
        <v>200</v>
      </c>
      <c r="M75" s="448" t="str">
        <f>IF(L75="nio","",VLOOKUP(L75,'3-Productie normen'!$B$31:$H$45,3,FALSE))</f>
        <v>5 x per week (40 weken)</v>
      </c>
      <c r="N75" s="353" t="e">
        <f t="shared" si="4"/>
        <v>#DIV/0!</v>
      </c>
      <c r="O75" s="354">
        <f>IF(L75="nio",0,IF(L75&gt;0,VLOOKUP(H75,'3-Productie normen'!A:P,VLOOKUP(L75,'3-Productie normen'!$B$31:$C$45,2,FALSE),FALSE)))/VLOOKUP(B75,'2-Kosten per locatie'!$A$13:$D$36,4,FALSE)</f>
        <v>0</v>
      </c>
      <c r="P75" s="82" t="str">
        <f>VLOOKUP(H75,'3-Productie normen'!A:T,20,FALSE)</f>
        <v>V</v>
      </c>
      <c r="Q75" s="447" t="s">
        <v>862</v>
      </c>
      <c r="S75" s="356">
        <f t="shared" si="5"/>
        <v>1754</v>
      </c>
    </row>
    <row r="76" spans="1:19" ht="14.1" customHeight="1">
      <c r="A76" s="72">
        <f t="shared" si="6"/>
        <v>76</v>
      </c>
      <c r="B76" s="50" t="s">
        <v>805</v>
      </c>
      <c r="C76" s="50" t="s">
        <v>824</v>
      </c>
      <c r="D76" s="427" t="s">
        <v>1033</v>
      </c>
      <c r="E76" s="422" t="s">
        <v>275</v>
      </c>
      <c r="F76" s="347" t="s">
        <v>289</v>
      </c>
      <c r="G76" s="81" t="s">
        <v>226</v>
      </c>
      <c r="H76" s="81" t="s">
        <v>16</v>
      </c>
      <c r="I76" s="81" t="s">
        <v>781</v>
      </c>
      <c r="J76" s="350">
        <v>12.44</v>
      </c>
      <c r="K76" s="351">
        <f t="shared" si="7"/>
        <v>201</v>
      </c>
      <c r="L76" s="352">
        <v>201</v>
      </c>
      <c r="M76" s="448" t="str">
        <f>IF(L76="nio","",VLOOKUP(L76,'3-Productie normen'!$B$31:$H$45,3,FALSE))</f>
        <v>5 x per week (40 weken + 1 Zomer refreshbeurt)</v>
      </c>
      <c r="N76" s="353" t="e">
        <f t="shared" si="4"/>
        <v>#DIV/0!</v>
      </c>
      <c r="O76" s="354">
        <f>IF(L76="nio",0,IF(L76&gt;0,VLOOKUP(H76,'3-Productie normen'!A:P,VLOOKUP(L76,'3-Productie normen'!$B$31:$C$45,2,FALSE),FALSE)))/VLOOKUP(B76,'2-Kosten per locatie'!$A$13:$D$36,4,FALSE)</f>
        <v>0</v>
      </c>
      <c r="P76" s="82" t="str">
        <f>VLOOKUP(H76,'3-Productie normen'!A:T,20,FALSE)</f>
        <v>S</v>
      </c>
      <c r="Q76" s="447" t="s">
        <v>863</v>
      </c>
      <c r="S76" s="356">
        <f t="shared" si="5"/>
        <v>2500.44</v>
      </c>
    </row>
    <row r="77" spans="1:19" ht="14.1" customHeight="1">
      <c r="A77" s="72">
        <f t="shared" si="6"/>
        <v>77</v>
      </c>
      <c r="B77" s="50" t="s">
        <v>805</v>
      </c>
      <c r="C77" s="50" t="s">
        <v>824</v>
      </c>
      <c r="D77" s="427" t="s">
        <v>1033</v>
      </c>
      <c r="E77" s="422" t="s">
        <v>275</v>
      </c>
      <c r="F77" s="347" t="s">
        <v>290</v>
      </c>
      <c r="G77" s="81" t="s">
        <v>226</v>
      </c>
      <c r="H77" s="81" t="s">
        <v>16</v>
      </c>
      <c r="I77" s="81" t="s">
        <v>781</v>
      </c>
      <c r="J77" s="350">
        <v>12.22</v>
      </c>
      <c r="K77" s="351">
        <f t="shared" si="7"/>
        <v>201</v>
      </c>
      <c r="L77" s="352">
        <v>201</v>
      </c>
      <c r="M77" s="448" t="str">
        <f>IF(L77="nio","",VLOOKUP(L77,'3-Productie normen'!$B$31:$H$45,3,FALSE))</f>
        <v>5 x per week (40 weken + 1 Zomer refreshbeurt)</v>
      </c>
      <c r="N77" s="353" t="e">
        <f t="shared" si="4"/>
        <v>#DIV/0!</v>
      </c>
      <c r="O77" s="354">
        <f>IF(L77="nio",0,IF(L77&gt;0,VLOOKUP(H77,'3-Productie normen'!A:P,VLOOKUP(L77,'3-Productie normen'!$B$31:$C$45,2,FALSE),FALSE)))/VLOOKUP(B77,'2-Kosten per locatie'!$A$13:$D$36,4,FALSE)</f>
        <v>0</v>
      </c>
      <c r="P77" s="82" t="str">
        <f>VLOOKUP(H77,'3-Productie normen'!A:T,20,FALSE)</f>
        <v>S</v>
      </c>
      <c r="Q77" s="447" t="s">
        <v>863</v>
      </c>
      <c r="S77" s="356">
        <f t="shared" si="5"/>
        <v>2456.2200000000003</v>
      </c>
    </row>
    <row r="78" spans="1:19" ht="14.1" customHeight="1">
      <c r="A78" s="72">
        <f t="shared" si="6"/>
        <v>78</v>
      </c>
      <c r="B78" s="50" t="s">
        <v>805</v>
      </c>
      <c r="C78" s="50" t="s">
        <v>824</v>
      </c>
      <c r="D78" s="427" t="s">
        <v>1033</v>
      </c>
      <c r="E78" s="422" t="s">
        <v>275</v>
      </c>
      <c r="F78" s="347" t="s">
        <v>291</v>
      </c>
      <c r="G78" s="81" t="s">
        <v>206</v>
      </c>
      <c r="H78" s="65" t="s">
        <v>1053</v>
      </c>
      <c r="I78" s="81" t="s">
        <v>780</v>
      </c>
      <c r="J78" s="350">
        <v>1.2599999904632599</v>
      </c>
      <c r="K78" s="351" t="str">
        <f t="shared" si="7"/>
        <v>nio</v>
      </c>
      <c r="L78" s="352" t="s">
        <v>804</v>
      </c>
      <c r="M78" s="448" t="str">
        <f>IF(L78="nio","",VLOOKUP(L78,'3-Productie normen'!$B$31:$H$45,3,FALSE))</f>
        <v/>
      </c>
      <c r="N78" s="353">
        <f t="shared" si="4"/>
        <v>0</v>
      </c>
      <c r="O78" s="354">
        <f>IF(L78="nio",0,IF(L78&gt;0,VLOOKUP(H78,'3-Productie normen'!A:P,VLOOKUP(L78,'3-Productie normen'!$B$31:$C$45,2,FALSE),FALSE)))/VLOOKUP(B78,'2-Kosten per locatie'!$A$13:$D$36,4,FALSE)</f>
        <v>0</v>
      </c>
      <c r="P78" s="82">
        <f>VLOOKUP(H78,'3-Productie normen'!A:T,20,FALSE)</f>
        <v>0</v>
      </c>
      <c r="Q78" s="447" t="s">
        <v>864</v>
      </c>
      <c r="S78" s="356">
        <f t="shared" si="5"/>
        <v>0</v>
      </c>
    </row>
    <row r="79" spans="1:19" ht="14.1" customHeight="1">
      <c r="A79" s="72">
        <f t="shared" si="6"/>
        <v>79</v>
      </c>
      <c r="B79" s="50" t="s">
        <v>805</v>
      </c>
      <c r="C79" s="50" t="s">
        <v>824</v>
      </c>
      <c r="D79" s="427" t="s">
        <v>1033</v>
      </c>
      <c r="E79" s="422" t="s">
        <v>275</v>
      </c>
      <c r="F79" s="347" t="s">
        <v>292</v>
      </c>
      <c r="G79" s="81" t="s">
        <v>201</v>
      </c>
      <c r="H79" s="432" t="s">
        <v>198</v>
      </c>
      <c r="I79" s="81" t="s">
        <v>780</v>
      </c>
      <c r="J79" s="350">
        <v>60.92</v>
      </c>
      <c r="K79" s="351">
        <f t="shared" si="7"/>
        <v>200</v>
      </c>
      <c r="L79" s="352">
        <v>200</v>
      </c>
      <c r="M79" s="448" t="str">
        <f>IF(L79="nio","",VLOOKUP(L79,'3-Productie normen'!$B$31:$H$45,3,FALSE))</f>
        <v>5 x per week (40 weken)</v>
      </c>
      <c r="N79" s="353" t="e">
        <f t="shared" si="4"/>
        <v>#DIV/0!</v>
      </c>
      <c r="O79" s="354">
        <f>IF(L79="nio",0,IF(L79&gt;0,VLOOKUP(H79,'3-Productie normen'!A:P,VLOOKUP(L79,'3-Productie normen'!$B$31:$C$45,2,FALSE),FALSE)))/VLOOKUP(B79,'2-Kosten per locatie'!$A$13:$D$36,4,FALSE)</f>
        <v>0</v>
      </c>
      <c r="P79" s="82" t="str">
        <f>VLOOKUP(H79,'3-Productie normen'!A:T,20,FALSE)</f>
        <v>V</v>
      </c>
      <c r="Q79" s="447" t="s">
        <v>792</v>
      </c>
      <c r="S79" s="356">
        <f t="shared" si="5"/>
        <v>12184</v>
      </c>
    </row>
    <row r="80" spans="1:19" ht="14.1" customHeight="1">
      <c r="A80" s="72">
        <f t="shared" si="6"/>
        <v>80</v>
      </c>
      <c r="B80" s="50" t="s">
        <v>805</v>
      </c>
      <c r="C80" s="50" t="s">
        <v>824</v>
      </c>
      <c r="D80" s="427" t="s">
        <v>1033</v>
      </c>
      <c r="E80" s="422" t="s">
        <v>275</v>
      </c>
      <c r="F80" s="347" t="s">
        <v>292</v>
      </c>
      <c r="G80" s="433" t="s">
        <v>229</v>
      </c>
      <c r="H80" s="432" t="s">
        <v>198</v>
      </c>
      <c r="I80" s="81" t="s">
        <v>780</v>
      </c>
      <c r="J80" s="350">
        <v>22.940000534057599</v>
      </c>
      <c r="K80" s="351">
        <f t="shared" si="7"/>
        <v>200</v>
      </c>
      <c r="L80" s="352">
        <v>200</v>
      </c>
      <c r="M80" s="448" t="str">
        <f>IF(L80="nio","",VLOOKUP(L80,'3-Productie normen'!$B$31:$H$45,3,FALSE))</f>
        <v>5 x per week (40 weken)</v>
      </c>
      <c r="N80" s="353" t="e">
        <f t="shared" si="4"/>
        <v>#DIV/0!</v>
      </c>
      <c r="O80" s="354">
        <f>IF(L80="nio",0,IF(L80&gt;0,VLOOKUP(H80,'3-Productie normen'!A:P,VLOOKUP(L80,'3-Productie normen'!$B$31:$C$45,2,FALSE),FALSE)))/VLOOKUP(B80,'2-Kosten per locatie'!$A$13:$D$36,4,FALSE)</f>
        <v>0</v>
      </c>
      <c r="P80" s="82" t="str">
        <f>VLOOKUP(H80,'3-Productie normen'!A:T,20,FALSE)</f>
        <v>V</v>
      </c>
      <c r="Q80" s="447" t="s">
        <v>792</v>
      </c>
      <c r="S80" s="356">
        <f t="shared" si="5"/>
        <v>4588.0001068115198</v>
      </c>
    </row>
    <row r="81" spans="1:19" ht="14.1" customHeight="1">
      <c r="A81" s="72">
        <f t="shared" si="6"/>
        <v>81</v>
      </c>
      <c r="B81" s="50" t="s">
        <v>805</v>
      </c>
      <c r="C81" s="50" t="s">
        <v>824</v>
      </c>
      <c r="D81" s="427" t="s">
        <v>1033</v>
      </c>
      <c r="E81" s="422" t="s">
        <v>275</v>
      </c>
      <c r="F81" s="347" t="s">
        <v>292</v>
      </c>
      <c r="G81" s="433" t="s">
        <v>229</v>
      </c>
      <c r="H81" s="432" t="s">
        <v>198</v>
      </c>
      <c r="I81" s="81" t="s">
        <v>780</v>
      </c>
      <c r="J81" s="350">
        <v>14.3500003814697</v>
      </c>
      <c r="K81" s="351">
        <f t="shared" si="7"/>
        <v>200</v>
      </c>
      <c r="L81" s="352">
        <v>200</v>
      </c>
      <c r="M81" s="448" t="str">
        <f>IF(L81="nio","",VLOOKUP(L81,'3-Productie normen'!$B$31:$H$45,3,FALSE))</f>
        <v>5 x per week (40 weken)</v>
      </c>
      <c r="N81" s="353" t="e">
        <f t="shared" si="4"/>
        <v>#DIV/0!</v>
      </c>
      <c r="O81" s="354">
        <f>IF(L81="nio",0,IF(L81&gt;0,VLOOKUP(H81,'3-Productie normen'!A:P,VLOOKUP(L81,'3-Productie normen'!$B$31:$C$45,2,FALSE),FALSE)))/VLOOKUP(B81,'2-Kosten per locatie'!$A$13:$D$36,4,FALSE)</f>
        <v>0</v>
      </c>
      <c r="P81" s="82" t="str">
        <f>VLOOKUP(H81,'3-Productie normen'!A:T,20,FALSE)</f>
        <v>V</v>
      </c>
      <c r="Q81" s="447" t="s">
        <v>792</v>
      </c>
      <c r="S81" s="356">
        <f t="shared" si="5"/>
        <v>2870.0000762939399</v>
      </c>
    </row>
    <row r="82" spans="1:19" ht="14.1" customHeight="1">
      <c r="A82" s="72">
        <f t="shared" si="6"/>
        <v>82</v>
      </c>
      <c r="B82" s="50" t="s">
        <v>805</v>
      </c>
      <c r="C82" s="50" t="s">
        <v>824</v>
      </c>
      <c r="D82" s="427" t="s">
        <v>1033</v>
      </c>
      <c r="E82" s="422" t="s">
        <v>275</v>
      </c>
      <c r="F82" s="347" t="s">
        <v>293</v>
      </c>
      <c r="G82" s="81" t="s">
        <v>201</v>
      </c>
      <c r="H82" s="432" t="s">
        <v>198</v>
      </c>
      <c r="I82" s="81" t="s">
        <v>780</v>
      </c>
      <c r="J82" s="350">
        <v>8.7100000000000009</v>
      </c>
      <c r="K82" s="351">
        <f t="shared" si="7"/>
        <v>200</v>
      </c>
      <c r="L82" s="352">
        <v>200</v>
      </c>
      <c r="M82" s="448" t="str">
        <f>IF(L82="nio","",VLOOKUP(L82,'3-Productie normen'!$B$31:$H$45,3,FALSE))</f>
        <v>5 x per week (40 weken)</v>
      </c>
      <c r="N82" s="353" t="e">
        <f t="shared" si="4"/>
        <v>#DIV/0!</v>
      </c>
      <c r="O82" s="354">
        <f>IF(L82="nio",0,IF(L82&gt;0,VLOOKUP(H82,'3-Productie normen'!A:P,VLOOKUP(L82,'3-Productie normen'!$B$31:$C$45,2,FALSE),FALSE)))/VLOOKUP(B82,'2-Kosten per locatie'!$A$13:$D$36,4,FALSE)</f>
        <v>0</v>
      </c>
      <c r="P82" s="82" t="str">
        <f>VLOOKUP(H82,'3-Productie normen'!A:T,20,FALSE)</f>
        <v>V</v>
      </c>
      <c r="Q82" s="447" t="s">
        <v>792</v>
      </c>
      <c r="S82" s="356">
        <f t="shared" si="5"/>
        <v>1742.0000000000002</v>
      </c>
    </row>
    <row r="83" spans="1:19" ht="14.1" customHeight="1">
      <c r="A83" s="72">
        <f t="shared" si="6"/>
        <v>83</v>
      </c>
      <c r="B83" s="50" t="s">
        <v>805</v>
      </c>
      <c r="C83" s="50" t="s">
        <v>824</v>
      </c>
      <c r="D83" s="427" t="s">
        <v>1033</v>
      </c>
      <c r="E83" s="422" t="s">
        <v>196</v>
      </c>
      <c r="F83" s="347" t="s">
        <v>294</v>
      </c>
      <c r="G83" s="81" t="s">
        <v>232</v>
      </c>
      <c r="H83" s="430" t="s">
        <v>1046</v>
      </c>
      <c r="I83" s="81" t="s">
        <v>782</v>
      </c>
      <c r="J83" s="350">
        <v>9.58</v>
      </c>
      <c r="K83" s="351">
        <f t="shared" si="7"/>
        <v>200</v>
      </c>
      <c r="L83" s="352">
        <v>200</v>
      </c>
      <c r="M83" s="448" t="str">
        <f>IF(L83="nio","",VLOOKUP(L83,'3-Productie normen'!$B$31:$H$45,3,FALSE))</f>
        <v>5 x per week (40 weken)</v>
      </c>
      <c r="N83" s="353" t="e">
        <f t="shared" si="4"/>
        <v>#DIV/0!</v>
      </c>
      <c r="O83" s="354">
        <f>IF(L83="nio",0,IF(L83&gt;0,VLOOKUP(H83,'3-Productie normen'!A:P,VLOOKUP(L83,'3-Productie normen'!$B$31:$C$45,2,FALSE),FALSE)))/VLOOKUP(B83,'2-Kosten per locatie'!$A$13:$D$36,4,FALSE)</f>
        <v>0</v>
      </c>
      <c r="P83" s="82" t="str">
        <f>VLOOKUP(H83,'3-Productie normen'!A:T,20,FALSE)</f>
        <v>V</v>
      </c>
      <c r="Q83" s="447" t="s">
        <v>865</v>
      </c>
      <c r="S83" s="356">
        <f t="shared" si="5"/>
        <v>1916</v>
      </c>
    </row>
    <row r="84" spans="1:19" ht="14.1" customHeight="1">
      <c r="A84" s="72">
        <f t="shared" si="6"/>
        <v>84</v>
      </c>
      <c r="B84" s="50" t="s">
        <v>805</v>
      </c>
      <c r="C84" s="50" t="s">
        <v>824</v>
      </c>
      <c r="D84" s="427" t="s">
        <v>1033</v>
      </c>
      <c r="E84" s="422" t="s">
        <v>275</v>
      </c>
      <c r="F84" s="347" t="s">
        <v>295</v>
      </c>
      <c r="G84" s="81" t="s">
        <v>215</v>
      </c>
      <c r="H84" s="63" t="s">
        <v>1040</v>
      </c>
      <c r="I84" s="81" t="s">
        <v>781</v>
      </c>
      <c r="J84" s="350">
        <v>1.1200000000000001</v>
      </c>
      <c r="K84" s="351">
        <f t="shared" si="7"/>
        <v>12</v>
      </c>
      <c r="L84" s="352">
        <v>12</v>
      </c>
      <c r="M84" s="448" t="str">
        <f>IF(L84="nio","",VLOOKUP(L84,'3-Productie normen'!$B$31:$H$45,3,FALSE))</f>
        <v>1 x per maand</v>
      </c>
      <c r="N84" s="353" t="e">
        <f t="shared" si="4"/>
        <v>#DIV/0!</v>
      </c>
      <c r="O84" s="354">
        <f>IF(L84="nio",0,IF(L84&gt;0,VLOOKUP(H84,'3-Productie normen'!A:P,VLOOKUP(L84,'3-Productie normen'!$B$31:$C$45,2,FALSE),FALSE)))/VLOOKUP(B84,'2-Kosten per locatie'!$A$13:$D$36,4,FALSE)</f>
        <v>0</v>
      </c>
      <c r="P84" s="82" t="str">
        <f>VLOOKUP(H84,'3-Productie normen'!A:T,20,FALSE)</f>
        <v>V</v>
      </c>
      <c r="Q84" s="447" t="s">
        <v>853</v>
      </c>
      <c r="S84" s="356">
        <f t="shared" si="5"/>
        <v>13.440000000000001</v>
      </c>
    </row>
    <row r="85" spans="1:19" ht="14.1" customHeight="1">
      <c r="A85" s="72">
        <f t="shared" si="6"/>
        <v>85</v>
      </c>
      <c r="B85" s="50" t="s">
        <v>805</v>
      </c>
      <c r="C85" s="50" t="s">
        <v>824</v>
      </c>
      <c r="D85" s="427" t="s">
        <v>1033</v>
      </c>
      <c r="E85" s="422" t="s">
        <v>275</v>
      </c>
      <c r="F85" s="347" t="s">
        <v>296</v>
      </c>
      <c r="G85" s="81" t="s">
        <v>209</v>
      </c>
      <c r="H85" s="50" t="s">
        <v>1040</v>
      </c>
      <c r="I85" s="81" t="s">
        <v>780</v>
      </c>
      <c r="J85" s="350">
        <v>1.1399999999999999</v>
      </c>
      <c r="K85" s="351">
        <f t="shared" si="7"/>
        <v>12</v>
      </c>
      <c r="L85" s="352">
        <v>12</v>
      </c>
      <c r="M85" s="448" t="str">
        <f>IF(L85="nio","",VLOOKUP(L85,'3-Productie normen'!$B$31:$H$45,3,FALSE))</f>
        <v>1 x per maand</v>
      </c>
      <c r="N85" s="353" t="e">
        <f t="shared" si="4"/>
        <v>#DIV/0!</v>
      </c>
      <c r="O85" s="354">
        <f>IF(L85="nio",0,IF(L85&gt;0,VLOOKUP(H85,'3-Productie normen'!A:P,VLOOKUP(L85,'3-Productie normen'!$B$31:$C$45,2,FALSE),FALSE)))/VLOOKUP(B85,'2-Kosten per locatie'!$A$13:$D$36,4,FALSE)</f>
        <v>0</v>
      </c>
      <c r="P85" s="82" t="str">
        <f>VLOOKUP(H85,'3-Productie normen'!A:T,20,FALSE)</f>
        <v>V</v>
      </c>
      <c r="Q85" s="447" t="s">
        <v>866</v>
      </c>
      <c r="S85" s="356">
        <f t="shared" si="5"/>
        <v>13.68</v>
      </c>
    </row>
    <row r="86" spans="1:19" ht="14.1" customHeight="1">
      <c r="A86" s="72">
        <f t="shared" si="6"/>
        <v>86</v>
      </c>
      <c r="B86" s="50" t="s">
        <v>805</v>
      </c>
      <c r="C86" s="50" t="s">
        <v>824</v>
      </c>
      <c r="D86" s="427" t="s">
        <v>1033</v>
      </c>
      <c r="E86" s="422" t="s">
        <v>275</v>
      </c>
      <c r="F86" s="347" t="s">
        <v>297</v>
      </c>
      <c r="G86" s="81" t="s">
        <v>298</v>
      </c>
      <c r="H86" s="81" t="s">
        <v>241</v>
      </c>
      <c r="I86" s="81" t="s">
        <v>780</v>
      </c>
      <c r="J86" s="350">
        <v>54.4</v>
      </c>
      <c r="K86" s="351">
        <f t="shared" si="7"/>
        <v>201</v>
      </c>
      <c r="L86" s="352">
        <v>201</v>
      </c>
      <c r="M86" s="448" t="str">
        <f>IF(L86="nio","",VLOOKUP(L86,'3-Productie normen'!$B$31:$H$45,3,FALSE))</f>
        <v>5 x per week (40 weken + 1 Zomer refreshbeurt)</v>
      </c>
      <c r="N86" s="353" t="e">
        <f t="shared" si="4"/>
        <v>#DIV/0!</v>
      </c>
      <c r="O86" s="354">
        <f>IF(L86="nio",0,IF(L86&gt;0,VLOOKUP(H86,'3-Productie normen'!A:P,VLOOKUP(L86,'3-Productie normen'!$B$31:$C$45,2,FALSE),FALSE)))/VLOOKUP(B86,'2-Kosten per locatie'!$A$13:$D$36,4,FALSE)</f>
        <v>0</v>
      </c>
      <c r="P86" s="82" t="str">
        <f>VLOOKUP(H86,'3-Productie normen'!A:T,20,FALSE)</f>
        <v>L</v>
      </c>
      <c r="Q86" s="447" t="s">
        <v>867</v>
      </c>
      <c r="S86" s="356">
        <f t="shared" si="5"/>
        <v>10934.4</v>
      </c>
    </row>
    <row r="87" spans="1:19" ht="14.1" customHeight="1">
      <c r="A87" s="72">
        <f t="shared" si="6"/>
        <v>87</v>
      </c>
      <c r="B87" s="50" t="s">
        <v>805</v>
      </c>
      <c r="C87" s="50" t="s">
        <v>824</v>
      </c>
      <c r="D87" s="427" t="s">
        <v>1033</v>
      </c>
      <c r="E87" s="422" t="s">
        <v>275</v>
      </c>
      <c r="F87" s="347" t="s">
        <v>299</v>
      </c>
      <c r="G87" s="81" t="s">
        <v>298</v>
      </c>
      <c r="H87" s="81" t="s">
        <v>241</v>
      </c>
      <c r="I87" s="81" t="s">
        <v>780</v>
      </c>
      <c r="J87" s="350">
        <v>54.77</v>
      </c>
      <c r="K87" s="351">
        <f t="shared" si="7"/>
        <v>201</v>
      </c>
      <c r="L87" s="352">
        <v>201</v>
      </c>
      <c r="M87" s="448" t="str">
        <f>IF(L87="nio","",VLOOKUP(L87,'3-Productie normen'!$B$31:$H$45,3,FALSE))</f>
        <v>5 x per week (40 weken + 1 Zomer refreshbeurt)</v>
      </c>
      <c r="N87" s="353" t="e">
        <f t="shared" si="4"/>
        <v>#DIV/0!</v>
      </c>
      <c r="O87" s="354">
        <f>IF(L87="nio",0,IF(L87&gt;0,VLOOKUP(H87,'3-Productie normen'!A:P,VLOOKUP(L87,'3-Productie normen'!$B$31:$C$45,2,FALSE),FALSE)))/VLOOKUP(B87,'2-Kosten per locatie'!$A$13:$D$36,4,FALSE)</f>
        <v>0</v>
      </c>
      <c r="P87" s="82" t="str">
        <f>VLOOKUP(H87,'3-Productie normen'!A:T,20,FALSE)</f>
        <v>L</v>
      </c>
      <c r="Q87" s="447" t="s">
        <v>867</v>
      </c>
      <c r="S87" s="356">
        <f t="shared" si="5"/>
        <v>11008.77</v>
      </c>
    </row>
    <row r="88" spans="1:19" ht="14.1" customHeight="1">
      <c r="A88" s="72">
        <f t="shared" si="6"/>
        <v>88</v>
      </c>
      <c r="B88" s="50" t="s">
        <v>805</v>
      </c>
      <c r="C88" s="50" t="s">
        <v>824</v>
      </c>
      <c r="D88" s="427" t="s">
        <v>1033</v>
      </c>
      <c r="E88" s="422" t="s">
        <v>275</v>
      </c>
      <c r="F88" s="347" t="s">
        <v>300</v>
      </c>
      <c r="G88" s="81" t="s">
        <v>298</v>
      </c>
      <c r="H88" s="81" t="s">
        <v>241</v>
      </c>
      <c r="I88" s="81" t="s">
        <v>780</v>
      </c>
      <c r="J88" s="350">
        <v>54.81</v>
      </c>
      <c r="K88" s="351">
        <f t="shared" si="7"/>
        <v>201</v>
      </c>
      <c r="L88" s="352">
        <v>201</v>
      </c>
      <c r="M88" s="448" t="str">
        <f>IF(L88="nio","",VLOOKUP(L88,'3-Productie normen'!$B$31:$H$45,3,FALSE))</f>
        <v>5 x per week (40 weken + 1 Zomer refreshbeurt)</v>
      </c>
      <c r="N88" s="353" t="e">
        <f t="shared" si="4"/>
        <v>#DIV/0!</v>
      </c>
      <c r="O88" s="354">
        <f>IF(L88="nio",0,IF(L88&gt;0,VLOOKUP(H88,'3-Productie normen'!A:P,VLOOKUP(L88,'3-Productie normen'!$B$31:$C$45,2,FALSE),FALSE)))/VLOOKUP(B88,'2-Kosten per locatie'!$A$13:$D$36,4,FALSE)</f>
        <v>0</v>
      </c>
      <c r="P88" s="82" t="str">
        <f>VLOOKUP(H88,'3-Productie normen'!A:T,20,FALSE)</f>
        <v>L</v>
      </c>
      <c r="Q88" s="447" t="s">
        <v>868</v>
      </c>
      <c r="S88" s="356">
        <f t="shared" si="5"/>
        <v>11016.810000000001</v>
      </c>
    </row>
    <row r="89" spans="1:19" ht="14.1" customHeight="1">
      <c r="A89" s="72">
        <f t="shared" si="6"/>
        <v>89</v>
      </c>
      <c r="B89" s="50" t="s">
        <v>805</v>
      </c>
      <c r="C89" s="50" t="s">
        <v>824</v>
      </c>
      <c r="D89" s="427" t="s">
        <v>1033</v>
      </c>
      <c r="E89" s="422" t="s">
        <v>275</v>
      </c>
      <c r="F89" s="347" t="s">
        <v>301</v>
      </c>
      <c r="G89" s="81" t="s">
        <v>298</v>
      </c>
      <c r="H89" s="81" t="s">
        <v>241</v>
      </c>
      <c r="I89" s="81" t="s">
        <v>780</v>
      </c>
      <c r="J89" s="350">
        <v>54.81</v>
      </c>
      <c r="K89" s="351">
        <f t="shared" si="7"/>
        <v>201</v>
      </c>
      <c r="L89" s="352">
        <v>201</v>
      </c>
      <c r="M89" s="448" t="str">
        <f>IF(L89="nio","",VLOOKUP(L89,'3-Productie normen'!$B$31:$H$45,3,FALSE))</f>
        <v>5 x per week (40 weken + 1 Zomer refreshbeurt)</v>
      </c>
      <c r="N89" s="353" t="e">
        <f t="shared" si="4"/>
        <v>#DIV/0!</v>
      </c>
      <c r="O89" s="354">
        <f>IF(L89="nio",0,IF(L89&gt;0,VLOOKUP(H89,'3-Productie normen'!A:P,VLOOKUP(L89,'3-Productie normen'!$B$31:$C$45,2,FALSE),FALSE)))/VLOOKUP(B89,'2-Kosten per locatie'!$A$13:$D$36,4,FALSE)</f>
        <v>0</v>
      </c>
      <c r="P89" s="82" t="str">
        <f>VLOOKUP(H89,'3-Productie normen'!A:T,20,FALSE)</f>
        <v>L</v>
      </c>
      <c r="Q89" s="447" t="s">
        <v>868</v>
      </c>
      <c r="S89" s="356">
        <f t="shared" si="5"/>
        <v>11016.810000000001</v>
      </c>
    </row>
    <row r="90" spans="1:19" ht="14.1" customHeight="1">
      <c r="A90" s="72">
        <f t="shared" si="6"/>
        <v>90</v>
      </c>
      <c r="B90" s="50" t="s">
        <v>805</v>
      </c>
      <c r="C90" s="50" t="s">
        <v>824</v>
      </c>
      <c r="D90" s="427" t="s">
        <v>1033</v>
      </c>
      <c r="E90" s="422" t="s">
        <v>275</v>
      </c>
      <c r="F90" s="347" t="s">
        <v>302</v>
      </c>
      <c r="G90" s="81" t="s">
        <v>242</v>
      </c>
      <c r="H90" s="81" t="s">
        <v>241</v>
      </c>
      <c r="I90" s="81" t="s">
        <v>780</v>
      </c>
      <c r="J90" s="350">
        <v>54.22</v>
      </c>
      <c r="K90" s="351">
        <f t="shared" si="7"/>
        <v>201</v>
      </c>
      <c r="L90" s="352">
        <v>201</v>
      </c>
      <c r="M90" s="448" t="str">
        <f>IF(L90="nio","",VLOOKUP(L90,'3-Productie normen'!$B$31:$H$45,3,FALSE))</f>
        <v>5 x per week (40 weken + 1 Zomer refreshbeurt)</v>
      </c>
      <c r="N90" s="353" t="e">
        <f t="shared" si="4"/>
        <v>#DIV/0!</v>
      </c>
      <c r="O90" s="354">
        <f>IF(L90="nio",0,IF(L90&gt;0,VLOOKUP(H90,'3-Productie normen'!A:P,VLOOKUP(L90,'3-Productie normen'!$B$31:$C$45,2,FALSE),FALSE)))/VLOOKUP(B90,'2-Kosten per locatie'!$A$13:$D$36,4,FALSE)</f>
        <v>0</v>
      </c>
      <c r="P90" s="82" t="str">
        <f>VLOOKUP(H90,'3-Productie normen'!A:T,20,FALSE)</f>
        <v>L</v>
      </c>
      <c r="Q90" s="447" t="s">
        <v>869</v>
      </c>
      <c r="S90" s="356">
        <f t="shared" si="5"/>
        <v>10898.22</v>
      </c>
    </row>
    <row r="91" spans="1:19" ht="14.1" customHeight="1">
      <c r="A91" s="72">
        <f t="shared" si="6"/>
        <v>91</v>
      </c>
      <c r="B91" s="50" t="s">
        <v>805</v>
      </c>
      <c r="C91" s="50" t="s">
        <v>824</v>
      </c>
      <c r="D91" s="427" t="s">
        <v>1033</v>
      </c>
      <c r="E91" s="422" t="s">
        <v>275</v>
      </c>
      <c r="F91" s="347" t="s">
        <v>303</v>
      </c>
      <c r="G91" s="81" t="s">
        <v>242</v>
      </c>
      <c r="H91" s="81" t="s">
        <v>241</v>
      </c>
      <c r="I91" s="81" t="s">
        <v>780</v>
      </c>
      <c r="J91" s="350">
        <v>54.04</v>
      </c>
      <c r="K91" s="351">
        <f t="shared" si="7"/>
        <v>201</v>
      </c>
      <c r="L91" s="352">
        <v>201</v>
      </c>
      <c r="M91" s="448" t="str">
        <f>IF(L91="nio","",VLOOKUP(L91,'3-Productie normen'!$B$31:$H$45,3,FALSE))</f>
        <v>5 x per week (40 weken + 1 Zomer refreshbeurt)</v>
      </c>
      <c r="N91" s="353" t="e">
        <f t="shared" si="4"/>
        <v>#DIV/0!</v>
      </c>
      <c r="O91" s="354">
        <f>IF(L91="nio",0,IF(L91&gt;0,VLOOKUP(H91,'3-Productie normen'!A:P,VLOOKUP(L91,'3-Productie normen'!$B$31:$C$45,2,FALSE),FALSE)))/VLOOKUP(B91,'2-Kosten per locatie'!$A$13:$D$36,4,FALSE)</f>
        <v>0</v>
      </c>
      <c r="P91" s="82" t="str">
        <f>VLOOKUP(H91,'3-Productie normen'!A:T,20,FALSE)</f>
        <v>L</v>
      </c>
      <c r="Q91" s="447" t="s">
        <v>869</v>
      </c>
      <c r="S91" s="356">
        <f t="shared" si="5"/>
        <v>10862.039999999999</v>
      </c>
    </row>
    <row r="92" spans="1:19" ht="14.1" customHeight="1">
      <c r="A92" s="72">
        <f t="shared" si="6"/>
        <v>92</v>
      </c>
      <c r="B92" s="50" t="s">
        <v>805</v>
      </c>
      <c r="C92" s="50" t="s">
        <v>824</v>
      </c>
      <c r="D92" s="427" t="s">
        <v>1033</v>
      </c>
      <c r="E92" s="422" t="s">
        <v>304</v>
      </c>
      <c r="F92" s="347" t="s">
        <v>305</v>
      </c>
      <c r="G92" s="81" t="s">
        <v>201</v>
      </c>
      <c r="H92" s="432" t="s">
        <v>198</v>
      </c>
      <c r="I92" s="81" t="s">
        <v>780</v>
      </c>
      <c r="J92" s="350">
        <v>59.65</v>
      </c>
      <c r="K92" s="351">
        <f t="shared" si="7"/>
        <v>200</v>
      </c>
      <c r="L92" s="352">
        <v>200</v>
      </c>
      <c r="M92" s="448" t="str">
        <f>IF(L92="nio","",VLOOKUP(L92,'3-Productie normen'!$B$31:$H$45,3,FALSE))</f>
        <v>5 x per week (40 weken)</v>
      </c>
      <c r="N92" s="353" t="e">
        <f t="shared" si="4"/>
        <v>#DIV/0!</v>
      </c>
      <c r="O92" s="354">
        <f>IF(L92="nio",0,IF(L92&gt;0,VLOOKUP(H92,'3-Productie normen'!A:P,VLOOKUP(L92,'3-Productie normen'!$B$31:$C$45,2,FALSE),FALSE)))/VLOOKUP(B92,'2-Kosten per locatie'!$A$13:$D$36,4,FALSE)</f>
        <v>0</v>
      </c>
      <c r="P92" s="82" t="str">
        <f>VLOOKUP(H92,'3-Productie normen'!A:T,20,FALSE)</f>
        <v>V</v>
      </c>
      <c r="Q92" s="447" t="s">
        <v>792</v>
      </c>
      <c r="S92" s="356">
        <f t="shared" si="5"/>
        <v>11930</v>
      </c>
    </row>
    <row r="93" spans="1:19" ht="14.1" customHeight="1">
      <c r="A93" s="72">
        <f t="shared" si="6"/>
        <v>93</v>
      </c>
      <c r="B93" s="50" t="s">
        <v>805</v>
      </c>
      <c r="C93" s="50" t="s">
        <v>824</v>
      </c>
      <c r="D93" s="427" t="s">
        <v>1033</v>
      </c>
      <c r="E93" s="422" t="s">
        <v>304</v>
      </c>
      <c r="F93" s="347" t="s">
        <v>306</v>
      </c>
      <c r="G93" s="433" t="s">
        <v>229</v>
      </c>
      <c r="H93" s="432" t="s">
        <v>198</v>
      </c>
      <c r="I93" s="81" t="s">
        <v>780</v>
      </c>
      <c r="J93" s="350">
        <v>33.880001068115199</v>
      </c>
      <c r="K93" s="351">
        <f t="shared" si="7"/>
        <v>200</v>
      </c>
      <c r="L93" s="352">
        <v>200</v>
      </c>
      <c r="M93" s="448" t="str">
        <f>IF(L93="nio","",VLOOKUP(L93,'3-Productie normen'!$B$31:$H$45,3,FALSE))</f>
        <v>5 x per week (40 weken)</v>
      </c>
      <c r="N93" s="353" t="e">
        <f t="shared" si="4"/>
        <v>#DIV/0!</v>
      </c>
      <c r="O93" s="354">
        <f>IF(L93="nio",0,IF(L93&gt;0,VLOOKUP(H93,'3-Productie normen'!A:P,VLOOKUP(L93,'3-Productie normen'!$B$31:$C$45,2,FALSE),FALSE)))/VLOOKUP(B93,'2-Kosten per locatie'!$A$13:$D$36,4,FALSE)</f>
        <v>0</v>
      </c>
      <c r="P93" s="82" t="str">
        <f>VLOOKUP(H93,'3-Productie normen'!A:T,20,FALSE)</f>
        <v>V</v>
      </c>
      <c r="Q93" s="447" t="s">
        <v>792</v>
      </c>
      <c r="S93" s="356">
        <f t="shared" si="5"/>
        <v>6776.0002136230396</v>
      </c>
    </row>
    <row r="94" spans="1:19" ht="14.1" customHeight="1">
      <c r="A94" s="72">
        <f t="shared" si="6"/>
        <v>94</v>
      </c>
      <c r="B94" s="50" t="s">
        <v>805</v>
      </c>
      <c r="C94" s="50" t="s">
        <v>824</v>
      </c>
      <c r="D94" s="427" t="s">
        <v>1033</v>
      </c>
      <c r="E94" s="422" t="s">
        <v>275</v>
      </c>
      <c r="F94" s="347" t="s">
        <v>306</v>
      </c>
      <c r="G94" s="81" t="s">
        <v>232</v>
      </c>
      <c r="H94" s="430" t="s">
        <v>1046</v>
      </c>
      <c r="I94" s="81" t="s">
        <v>780</v>
      </c>
      <c r="J94" s="350">
        <v>6.24</v>
      </c>
      <c r="K94" s="351">
        <f t="shared" si="7"/>
        <v>200</v>
      </c>
      <c r="L94" s="352">
        <v>200</v>
      </c>
      <c r="M94" s="448" t="str">
        <f>IF(L94="nio","",VLOOKUP(L94,'3-Productie normen'!$B$31:$H$45,3,FALSE))</f>
        <v>5 x per week (40 weken)</v>
      </c>
      <c r="N94" s="353" t="e">
        <f t="shared" si="4"/>
        <v>#DIV/0!</v>
      </c>
      <c r="O94" s="354">
        <f>IF(L94="nio",0,IF(L94&gt;0,VLOOKUP(H94,'3-Productie normen'!A:P,VLOOKUP(L94,'3-Productie normen'!$B$31:$C$45,2,FALSE),FALSE)))/VLOOKUP(B94,'2-Kosten per locatie'!$A$13:$D$36,4,FALSE)</f>
        <v>0</v>
      </c>
      <c r="P94" s="82" t="str">
        <f>VLOOKUP(H94,'3-Productie normen'!A:T,20,FALSE)</f>
        <v>V</v>
      </c>
      <c r="Q94" s="447" t="s">
        <v>870</v>
      </c>
      <c r="S94" s="356">
        <f t="shared" si="5"/>
        <v>1248</v>
      </c>
    </row>
    <row r="95" spans="1:19" ht="14.1" customHeight="1">
      <c r="A95" s="72">
        <f t="shared" si="6"/>
        <v>95</v>
      </c>
      <c r="B95" s="50" t="s">
        <v>805</v>
      </c>
      <c r="C95" s="50" t="s">
        <v>824</v>
      </c>
      <c r="D95" s="427" t="s">
        <v>1033</v>
      </c>
      <c r="E95" s="422" t="s">
        <v>304</v>
      </c>
      <c r="F95" s="347" t="s">
        <v>307</v>
      </c>
      <c r="G95" s="81" t="s">
        <v>209</v>
      </c>
      <c r="H95" s="50" t="s">
        <v>1040</v>
      </c>
      <c r="I95" s="81" t="s">
        <v>780</v>
      </c>
      <c r="J95" s="350">
        <v>15.560000419616699</v>
      </c>
      <c r="K95" s="351">
        <f t="shared" si="7"/>
        <v>12</v>
      </c>
      <c r="L95" s="352">
        <v>12</v>
      </c>
      <c r="M95" s="448" t="str">
        <f>IF(L95="nio","",VLOOKUP(L95,'3-Productie normen'!$B$31:$H$45,3,FALSE))</f>
        <v>1 x per maand</v>
      </c>
      <c r="N95" s="353" t="e">
        <f t="shared" si="4"/>
        <v>#DIV/0!</v>
      </c>
      <c r="O95" s="354">
        <f>IF(L95="nio",0,IF(L95&gt;0,VLOOKUP(H95,'3-Productie normen'!A:P,VLOOKUP(L95,'3-Productie normen'!$B$31:$C$45,2,FALSE),FALSE)))/VLOOKUP(B95,'2-Kosten per locatie'!$A$13:$D$36,4,FALSE)</f>
        <v>0</v>
      </c>
      <c r="P95" s="82" t="str">
        <f>VLOOKUP(H95,'3-Productie normen'!A:T,20,FALSE)</f>
        <v>V</v>
      </c>
      <c r="Q95" s="447" t="s">
        <v>792</v>
      </c>
      <c r="S95" s="356">
        <f t="shared" si="5"/>
        <v>186.72000503540039</v>
      </c>
    </row>
    <row r="96" spans="1:19" ht="14.1" customHeight="1">
      <c r="A96" s="72">
        <f t="shared" si="6"/>
        <v>96</v>
      </c>
      <c r="B96" s="50" t="s">
        <v>805</v>
      </c>
      <c r="C96" s="50" t="s">
        <v>824</v>
      </c>
      <c r="D96" s="427" t="s">
        <v>1033</v>
      </c>
      <c r="E96" s="422" t="s">
        <v>304</v>
      </c>
      <c r="F96" s="347" t="s">
        <v>308</v>
      </c>
      <c r="G96" s="81" t="s">
        <v>209</v>
      </c>
      <c r="H96" s="50" t="s">
        <v>1040</v>
      </c>
      <c r="I96" s="81" t="s">
        <v>780</v>
      </c>
      <c r="J96" s="350">
        <v>11.5</v>
      </c>
      <c r="K96" s="351">
        <f t="shared" si="7"/>
        <v>12</v>
      </c>
      <c r="L96" s="352">
        <v>12</v>
      </c>
      <c r="M96" s="448" t="str">
        <f>IF(L96="nio","",VLOOKUP(L96,'3-Productie normen'!$B$31:$H$45,3,FALSE))</f>
        <v>1 x per maand</v>
      </c>
      <c r="N96" s="353" t="e">
        <f t="shared" si="4"/>
        <v>#DIV/0!</v>
      </c>
      <c r="O96" s="354">
        <f>IF(L96="nio",0,IF(L96&gt;0,VLOOKUP(H96,'3-Productie normen'!A:P,VLOOKUP(L96,'3-Productie normen'!$B$31:$C$45,2,FALSE),FALSE)))/VLOOKUP(B96,'2-Kosten per locatie'!$A$13:$D$36,4,FALSE)</f>
        <v>0</v>
      </c>
      <c r="P96" s="82" t="str">
        <f>VLOOKUP(H96,'3-Productie normen'!A:T,20,FALSE)</f>
        <v>V</v>
      </c>
      <c r="Q96" s="447" t="s">
        <v>792</v>
      </c>
      <c r="S96" s="356">
        <f t="shared" si="5"/>
        <v>138</v>
      </c>
    </row>
    <row r="97" spans="1:19" ht="14.1" customHeight="1">
      <c r="A97" s="72">
        <f t="shared" si="6"/>
        <v>97</v>
      </c>
      <c r="B97" s="50" t="s">
        <v>805</v>
      </c>
      <c r="C97" s="50" t="s">
        <v>824</v>
      </c>
      <c r="D97" s="427" t="s">
        <v>1033</v>
      </c>
      <c r="E97" s="422" t="s">
        <v>304</v>
      </c>
      <c r="F97" s="347" t="s">
        <v>309</v>
      </c>
      <c r="G97" s="81" t="s">
        <v>206</v>
      </c>
      <c r="H97" s="65" t="s">
        <v>1053</v>
      </c>
      <c r="I97" s="81" t="s">
        <v>92</v>
      </c>
      <c r="J97" s="350">
        <v>11.1099996566772</v>
      </c>
      <c r="K97" s="351" t="str">
        <f t="shared" si="7"/>
        <v>nio</v>
      </c>
      <c r="L97" s="352" t="s">
        <v>804</v>
      </c>
      <c r="M97" s="448" t="str">
        <f>IF(L97="nio","",VLOOKUP(L97,'3-Productie normen'!$B$31:$H$45,3,FALSE))</f>
        <v/>
      </c>
      <c r="N97" s="353">
        <f t="shared" si="4"/>
        <v>0</v>
      </c>
      <c r="O97" s="354">
        <f>IF(L97="nio",0,IF(L97&gt;0,VLOOKUP(H97,'3-Productie normen'!A:P,VLOOKUP(L97,'3-Productie normen'!$B$31:$C$45,2,FALSE),FALSE)))/VLOOKUP(B97,'2-Kosten per locatie'!$A$13:$D$36,4,FALSE)</f>
        <v>0</v>
      </c>
      <c r="P97" s="82">
        <f>VLOOKUP(H97,'3-Productie normen'!A:T,20,FALSE)</f>
        <v>0</v>
      </c>
      <c r="Q97" s="447" t="s">
        <v>871</v>
      </c>
      <c r="S97" s="356">
        <f t="shared" si="5"/>
        <v>0</v>
      </c>
    </row>
    <row r="98" spans="1:19" ht="14.1" customHeight="1">
      <c r="A98" s="72">
        <f t="shared" si="6"/>
        <v>98</v>
      </c>
      <c r="B98" s="50" t="s">
        <v>805</v>
      </c>
      <c r="C98" s="50" t="s">
        <v>824</v>
      </c>
      <c r="D98" s="427" t="s">
        <v>1033</v>
      </c>
      <c r="E98" s="422" t="s">
        <v>304</v>
      </c>
      <c r="F98" s="347" t="s">
        <v>310</v>
      </c>
      <c r="G98" s="81" t="s">
        <v>311</v>
      </c>
      <c r="H98" s="81" t="s">
        <v>203</v>
      </c>
      <c r="I98" s="81" t="s">
        <v>780</v>
      </c>
      <c r="J98" s="350">
        <v>10.48</v>
      </c>
      <c r="K98" s="351">
        <f t="shared" si="7"/>
        <v>120</v>
      </c>
      <c r="L98" s="352">
        <v>120</v>
      </c>
      <c r="M98" s="448" t="str">
        <f>IF(L98="nio","",VLOOKUP(L98,'3-Productie normen'!$B$31:$H$45,3,FALSE))</f>
        <v>3 x per week (40 weken)</v>
      </c>
      <c r="N98" s="353" t="e">
        <f t="shared" si="4"/>
        <v>#DIV/0!</v>
      </c>
      <c r="O98" s="354">
        <f>IF(L98="nio",0,IF(L98&gt;0,VLOOKUP(H98,'3-Productie normen'!A:P,VLOOKUP(L98,'3-Productie normen'!$B$31:$C$45,2,FALSE),FALSE)))/VLOOKUP(B98,'2-Kosten per locatie'!$A$13:$D$36,4,FALSE)</f>
        <v>0</v>
      </c>
      <c r="P98" s="82" t="str">
        <f>VLOOKUP(H98,'3-Productie normen'!A:T,20,FALSE)</f>
        <v>B</v>
      </c>
      <c r="Q98" s="447" t="s">
        <v>792</v>
      </c>
      <c r="S98" s="356">
        <f t="shared" si="5"/>
        <v>1257.6000000000001</v>
      </c>
    </row>
    <row r="99" spans="1:19" ht="14.1" customHeight="1">
      <c r="A99" s="72">
        <f t="shared" si="6"/>
        <v>99</v>
      </c>
      <c r="B99" s="50" t="s">
        <v>805</v>
      </c>
      <c r="C99" s="50" t="s">
        <v>824</v>
      </c>
      <c r="D99" s="427" t="s">
        <v>1033</v>
      </c>
      <c r="E99" s="422" t="s">
        <v>304</v>
      </c>
      <c r="F99" s="347" t="s">
        <v>312</v>
      </c>
      <c r="G99" s="81" t="s">
        <v>215</v>
      </c>
      <c r="H99" s="63" t="s">
        <v>1040</v>
      </c>
      <c r="I99" s="81" t="s">
        <v>780</v>
      </c>
      <c r="J99" s="350">
        <v>1.9</v>
      </c>
      <c r="K99" s="351">
        <f t="shared" si="7"/>
        <v>12</v>
      </c>
      <c r="L99" s="352">
        <v>12</v>
      </c>
      <c r="M99" s="448" t="str">
        <f>IF(L99="nio","",VLOOKUP(L99,'3-Productie normen'!$B$31:$H$45,3,FALSE))</f>
        <v>1 x per maand</v>
      </c>
      <c r="N99" s="353" t="e">
        <f t="shared" si="4"/>
        <v>#DIV/0!</v>
      </c>
      <c r="O99" s="354">
        <f>IF(L99="nio",0,IF(L99&gt;0,VLOOKUP(H99,'3-Productie normen'!A:P,VLOOKUP(L99,'3-Productie normen'!$B$31:$C$45,2,FALSE),FALSE)))/VLOOKUP(B99,'2-Kosten per locatie'!$A$13:$D$36,4,FALSE)</f>
        <v>0</v>
      </c>
      <c r="P99" s="82" t="str">
        <f>VLOOKUP(H99,'3-Productie normen'!A:T,20,FALSE)</f>
        <v>V</v>
      </c>
      <c r="Q99" s="447" t="s">
        <v>853</v>
      </c>
      <c r="S99" s="356">
        <f t="shared" si="5"/>
        <v>22.799999999999997</v>
      </c>
    </row>
    <row r="100" spans="1:19" ht="14.1" customHeight="1">
      <c r="A100" s="72">
        <f t="shared" si="6"/>
        <v>100</v>
      </c>
      <c r="B100" s="50" t="s">
        <v>805</v>
      </c>
      <c r="C100" s="50" t="s">
        <v>824</v>
      </c>
      <c r="D100" s="427" t="s">
        <v>1033</v>
      </c>
      <c r="E100" s="422" t="s">
        <v>304</v>
      </c>
      <c r="F100" s="347" t="s">
        <v>313</v>
      </c>
      <c r="G100" s="81" t="s">
        <v>201</v>
      </c>
      <c r="H100" s="432" t="s">
        <v>198</v>
      </c>
      <c r="I100" s="81" t="s">
        <v>780</v>
      </c>
      <c r="J100" s="350">
        <v>9.16</v>
      </c>
      <c r="K100" s="351">
        <f t="shared" si="7"/>
        <v>200</v>
      </c>
      <c r="L100" s="352">
        <v>200</v>
      </c>
      <c r="M100" s="448" t="str">
        <f>IF(L100="nio","",VLOOKUP(L100,'3-Productie normen'!$B$31:$H$45,3,FALSE))</f>
        <v>5 x per week (40 weken)</v>
      </c>
      <c r="N100" s="353" t="e">
        <f t="shared" si="4"/>
        <v>#DIV/0!</v>
      </c>
      <c r="O100" s="354">
        <f>IF(L100="nio",0,IF(L100&gt;0,VLOOKUP(H100,'3-Productie normen'!A:P,VLOOKUP(L100,'3-Productie normen'!$B$31:$C$45,2,FALSE),FALSE)))/VLOOKUP(B100,'2-Kosten per locatie'!$A$13:$D$36,4,FALSE)</f>
        <v>0</v>
      </c>
      <c r="P100" s="82" t="str">
        <f>VLOOKUP(H100,'3-Productie normen'!A:T,20,FALSE)</f>
        <v>V</v>
      </c>
      <c r="Q100" s="447" t="s">
        <v>792</v>
      </c>
      <c r="S100" s="356">
        <f t="shared" si="5"/>
        <v>1832</v>
      </c>
    </row>
    <row r="101" spans="1:19" ht="14.1" customHeight="1">
      <c r="A101" s="72">
        <f t="shared" si="6"/>
        <v>101</v>
      </c>
      <c r="B101" s="50" t="s">
        <v>805</v>
      </c>
      <c r="C101" s="50" t="s">
        <v>824</v>
      </c>
      <c r="D101" s="427" t="s">
        <v>1033</v>
      </c>
      <c r="E101" s="422" t="s">
        <v>304</v>
      </c>
      <c r="F101" s="347" t="s">
        <v>314</v>
      </c>
      <c r="G101" s="81" t="s">
        <v>222</v>
      </c>
      <c r="H101" s="81" t="s">
        <v>16</v>
      </c>
      <c r="I101" s="81" t="s">
        <v>781</v>
      </c>
      <c r="J101" s="350">
        <v>1.48</v>
      </c>
      <c r="K101" s="351">
        <f t="shared" si="7"/>
        <v>201</v>
      </c>
      <c r="L101" s="352">
        <v>201</v>
      </c>
      <c r="M101" s="448" t="str">
        <f>IF(L101="nio","",VLOOKUP(L101,'3-Productie normen'!$B$31:$H$45,3,FALSE))</f>
        <v>5 x per week (40 weken + 1 Zomer refreshbeurt)</v>
      </c>
      <c r="N101" s="353" t="e">
        <f t="shared" si="4"/>
        <v>#DIV/0!</v>
      </c>
      <c r="O101" s="354">
        <f>IF(L101="nio",0,IF(L101&gt;0,VLOOKUP(H101,'3-Productie normen'!A:P,VLOOKUP(L101,'3-Productie normen'!$B$31:$C$45,2,FALSE),FALSE)))/VLOOKUP(B101,'2-Kosten per locatie'!$A$13:$D$36,4,FALSE)</f>
        <v>0</v>
      </c>
      <c r="P101" s="82" t="str">
        <f>VLOOKUP(H101,'3-Productie normen'!A:T,20,FALSE)</f>
        <v>S</v>
      </c>
      <c r="Q101" s="447" t="s">
        <v>857</v>
      </c>
      <c r="S101" s="356">
        <f t="shared" si="5"/>
        <v>297.48</v>
      </c>
    </row>
    <row r="102" spans="1:19" ht="14.1" customHeight="1">
      <c r="A102" s="72">
        <f t="shared" si="6"/>
        <v>102</v>
      </c>
      <c r="B102" s="50" t="s">
        <v>805</v>
      </c>
      <c r="C102" s="50" t="s">
        <v>824</v>
      </c>
      <c r="D102" s="427" t="s">
        <v>1033</v>
      </c>
      <c r="E102" s="422" t="s">
        <v>304</v>
      </c>
      <c r="F102" s="347" t="s">
        <v>315</v>
      </c>
      <c r="G102" s="81" t="s">
        <v>226</v>
      </c>
      <c r="H102" s="81" t="s">
        <v>16</v>
      </c>
      <c r="I102" s="81" t="s">
        <v>781</v>
      </c>
      <c r="J102" s="350">
        <v>9.23</v>
      </c>
      <c r="K102" s="351">
        <f t="shared" si="7"/>
        <v>201</v>
      </c>
      <c r="L102" s="352">
        <v>201</v>
      </c>
      <c r="M102" s="448" t="str">
        <f>IF(L102="nio","",VLOOKUP(L102,'3-Productie normen'!$B$31:$H$45,3,FALSE))</f>
        <v>5 x per week (40 weken + 1 Zomer refreshbeurt)</v>
      </c>
      <c r="N102" s="353" t="e">
        <f t="shared" si="4"/>
        <v>#DIV/0!</v>
      </c>
      <c r="O102" s="354">
        <f>IF(L102="nio",0,IF(L102&gt;0,VLOOKUP(H102,'3-Productie normen'!A:P,VLOOKUP(L102,'3-Productie normen'!$B$31:$C$45,2,FALSE),FALSE)))/VLOOKUP(B102,'2-Kosten per locatie'!$A$13:$D$36,4,FALSE)</f>
        <v>0</v>
      </c>
      <c r="P102" s="82" t="str">
        <f>VLOOKUP(H102,'3-Productie normen'!A:T,20,FALSE)</f>
        <v>S</v>
      </c>
      <c r="Q102" s="447" t="s">
        <v>863</v>
      </c>
      <c r="S102" s="356">
        <f t="shared" si="5"/>
        <v>1855.23</v>
      </c>
    </row>
    <row r="103" spans="1:19" ht="14.1" customHeight="1">
      <c r="A103" s="72">
        <f t="shared" si="6"/>
        <v>103</v>
      </c>
      <c r="B103" s="50" t="s">
        <v>805</v>
      </c>
      <c r="C103" s="50" t="s">
        <v>824</v>
      </c>
      <c r="D103" s="427" t="s">
        <v>1033</v>
      </c>
      <c r="E103" s="422" t="s">
        <v>304</v>
      </c>
      <c r="F103" s="347" t="s">
        <v>316</v>
      </c>
      <c r="G103" s="81" t="s">
        <v>222</v>
      </c>
      <c r="H103" s="81" t="s">
        <v>16</v>
      </c>
      <c r="I103" s="81" t="s">
        <v>781</v>
      </c>
      <c r="J103" s="350">
        <v>1.49</v>
      </c>
      <c r="K103" s="351">
        <f t="shared" si="7"/>
        <v>201</v>
      </c>
      <c r="L103" s="352">
        <v>201</v>
      </c>
      <c r="M103" s="448" t="str">
        <f>IF(L103="nio","",VLOOKUP(L103,'3-Productie normen'!$B$31:$H$45,3,FALSE))</f>
        <v>5 x per week (40 weken + 1 Zomer refreshbeurt)</v>
      </c>
      <c r="N103" s="353" t="e">
        <f t="shared" si="4"/>
        <v>#DIV/0!</v>
      </c>
      <c r="O103" s="354">
        <f>IF(L103="nio",0,IF(L103&gt;0,VLOOKUP(H103,'3-Productie normen'!A:P,VLOOKUP(L103,'3-Productie normen'!$B$31:$C$45,2,FALSE),FALSE)))/VLOOKUP(B103,'2-Kosten per locatie'!$A$13:$D$36,4,FALSE)</f>
        <v>0</v>
      </c>
      <c r="P103" s="82" t="str">
        <f>VLOOKUP(H103,'3-Productie normen'!A:T,20,FALSE)</f>
        <v>S</v>
      </c>
      <c r="Q103" s="447" t="s">
        <v>857</v>
      </c>
      <c r="S103" s="356">
        <f t="shared" si="5"/>
        <v>299.49</v>
      </c>
    </row>
    <row r="104" spans="1:19" ht="14.1" customHeight="1">
      <c r="A104" s="72">
        <f t="shared" si="6"/>
        <v>104</v>
      </c>
      <c r="B104" s="50" t="s">
        <v>805</v>
      </c>
      <c r="C104" s="50" t="s">
        <v>824</v>
      </c>
      <c r="D104" s="427" t="s">
        <v>1033</v>
      </c>
      <c r="E104" s="422" t="s">
        <v>304</v>
      </c>
      <c r="F104" s="347" t="s">
        <v>317</v>
      </c>
      <c r="G104" s="81" t="s">
        <v>226</v>
      </c>
      <c r="H104" s="81" t="s">
        <v>16</v>
      </c>
      <c r="I104" s="81" t="s">
        <v>781</v>
      </c>
      <c r="J104" s="350">
        <v>9.27</v>
      </c>
      <c r="K104" s="351">
        <f t="shared" si="7"/>
        <v>201</v>
      </c>
      <c r="L104" s="352">
        <v>201</v>
      </c>
      <c r="M104" s="448" t="str">
        <f>IF(L104="nio","",VLOOKUP(L104,'3-Productie normen'!$B$31:$H$45,3,FALSE))</f>
        <v>5 x per week (40 weken + 1 Zomer refreshbeurt)</v>
      </c>
      <c r="N104" s="353" t="e">
        <f t="shared" si="4"/>
        <v>#DIV/0!</v>
      </c>
      <c r="O104" s="354">
        <f>IF(L104="nio",0,IF(L104&gt;0,VLOOKUP(H104,'3-Productie normen'!A:P,VLOOKUP(L104,'3-Productie normen'!$B$31:$C$45,2,FALSE),FALSE)))/VLOOKUP(B104,'2-Kosten per locatie'!$A$13:$D$36,4,FALSE)</f>
        <v>0</v>
      </c>
      <c r="P104" s="82" t="str">
        <f>VLOOKUP(H104,'3-Productie normen'!A:T,20,FALSE)</f>
        <v>S</v>
      </c>
      <c r="Q104" s="447" t="s">
        <v>863</v>
      </c>
      <c r="S104" s="356">
        <f t="shared" si="5"/>
        <v>1863.27</v>
      </c>
    </row>
    <row r="105" spans="1:19" ht="14.1" customHeight="1">
      <c r="A105" s="72">
        <f t="shared" si="6"/>
        <v>105</v>
      </c>
      <c r="B105" s="50" t="s">
        <v>805</v>
      </c>
      <c r="C105" s="50" t="s">
        <v>824</v>
      </c>
      <c r="D105" s="427" t="s">
        <v>1033</v>
      </c>
      <c r="E105" s="422" t="s">
        <v>304</v>
      </c>
      <c r="F105" s="347" t="s">
        <v>318</v>
      </c>
      <c r="G105" s="81" t="s">
        <v>206</v>
      </c>
      <c r="H105" s="65" t="s">
        <v>1053</v>
      </c>
      <c r="I105" s="81" t="s">
        <v>780</v>
      </c>
      <c r="J105" s="350">
        <v>1.26</v>
      </c>
      <c r="K105" s="351" t="str">
        <f t="shared" si="7"/>
        <v>nio</v>
      </c>
      <c r="L105" s="352" t="s">
        <v>804</v>
      </c>
      <c r="M105" s="448" t="str">
        <f>IF(L105="nio","",VLOOKUP(L105,'3-Productie normen'!$B$31:$H$45,3,FALSE))</f>
        <v/>
      </c>
      <c r="N105" s="353">
        <f t="shared" si="4"/>
        <v>0</v>
      </c>
      <c r="O105" s="354">
        <f>IF(L105="nio",0,IF(L105&gt;0,VLOOKUP(H105,'3-Productie normen'!A:P,VLOOKUP(L105,'3-Productie normen'!$B$31:$C$45,2,FALSE),FALSE)))/VLOOKUP(B105,'2-Kosten per locatie'!$A$13:$D$36,4,FALSE)</f>
        <v>0</v>
      </c>
      <c r="P105" s="82">
        <f>VLOOKUP(H105,'3-Productie normen'!A:T,20,FALSE)</f>
        <v>0</v>
      </c>
      <c r="Q105" s="447" t="s">
        <v>864</v>
      </c>
      <c r="S105" s="356">
        <f t="shared" si="5"/>
        <v>0</v>
      </c>
    </row>
    <row r="106" spans="1:19" ht="14.1" customHeight="1">
      <c r="A106" s="72">
        <f t="shared" si="6"/>
        <v>106</v>
      </c>
      <c r="B106" s="50" t="s">
        <v>805</v>
      </c>
      <c r="C106" s="50" t="s">
        <v>824</v>
      </c>
      <c r="D106" s="427" t="s">
        <v>1033</v>
      </c>
      <c r="E106" s="422" t="s">
        <v>304</v>
      </c>
      <c r="F106" s="347" t="s">
        <v>319</v>
      </c>
      <c r="G106" s="81" t="s">
        <v>201</v>
      </c>
      <c r="H106" s="432" t="s">
        <v>198</v>
      </c>
      <c r="I106" s="81" t="s">
        <v>780</v>
      </c>
      <c r="J106" s="350">
        <v>25.55</v>
      </c>
      <c r="K106" s="351">
        <f t="shared" si="7"/>
        <v>200</v>
      </c>
      <c r="L106" s="352">
        <v>200</v>
      </c>
      <c r="M106" s="448" t="str">
        <f>IF(L106="nio","",VLOOKUP(L106,'3-Productie normen'!$B$31:$H$45,3,FALSE))</f>
        <v>5 x per week (40 weken)</v>
      </c>
      <c r="N106" s="353" t="e">
        <f t="shared" si="4"/>
        <v>#DIV/0!</v>
      </c>
      <c r="O106" s="354">
        <f>IF(L106="nio",0,IF(L106&gt;0,VLOOKUP(H106,'3-Productie normen'!A:P,VLOOKUP(L106,'3-Productie normen'!$B$31:$C$45,2,FALSE),FALSE)))/VLOOKUP(B106,'2-Kosten per locatie'!$A$13:$D$36,4,FALSE)</f>
        <v>0</v>
      </c>
      <c r="P106" s="82" t="str">
        <f>VLOOKUP(H106,'3-Productie normen'!A:T,20,FALSE)</f>
        <v>V</v>
      </c>
      <c r="Q106" s="447" t="s">
        <v>792</v>
      </c>
      <c r="S106" s="356">
        <f t="shared" si="5"/>
        <v>5110</v>
      </c>
    </row>
    <row r="107" spans="1:19" ht="14.1" customHeight="1">
      <c r="A107" s="72">
        <f t="shared" si="6"/>
        <v>107</v>
      </c>
      <c r="B107" s="50" t="s">
        <v>805</v>
      </c>
      <c r="C107" s="50" t="s">
        <v>824</v>
      </c>
      <c r="D107" s="427" t="s">
        <v>1033</v>
      </c>
      <c r="E107" s="422" t="s">
        <v>304</v>
      </c>
      <c r="F107" s="347" t="s">
        <v>319</v>
      </c>
      <c r="G107" s="433" t="s">
        <v>229</v>
      </c>
      <c r="H107" s="432" t="s">
        <v>198</v>
      </c>
      <c r="I107" s="81" t="s">
        <v>780</v>
      </c>
      <c r="J107" s="350">
        <v>20.629999160766602</v>
      </c>
      <c r="K107" s="351">
        <f t="shared" si="7"/>
        <v>200</v>
      </c>
      <c r="L107" s="352">
        <v>200</v>
      </c>
      <c r="M107" s="448" t="str">
        <f>IF(L107="nio","",VLOOKUP(L107,'3-Productie normen'!$B$31:$H$45,3,FALSE))</f>
        <v>5 x per week (40 weken)</v>
      </c>
      <c r="N107" s="353" t="e">
        <f t="shared" si="4"/>
        <v>#DIV/0!</v>
      </c>
      <c r="O107" s="354">
        <f>IF(L107="nio",0,IF(L107&gt;0,VLOOKUP(H107,'3-Productie normen'!A:P,VLOOKUP(L107,'3-Productie normen'!$B$31:$C$45,2,FALSE),FALSE)))/VLOOKUP(B107,'2-Kosten per locatie'!$A$13:$D$36,4,FALSE)</f>
        <v>0</v>
      </c>
      <c r="P107" s="82" t="str">
        <f>VLOOKUP(H107,'3-Productie normen'!A:T,20,FALSE)</f>
        <v>V</v>
      </c>
      <c r="Q107" s="447" t="s">
        <v>792</v>
      </c>
      <c r="S107" s="356">
        <f t="shared" si="5"/>
        <v>4125.9998321533203</v>
      </c>
    </row>
    <row r="108" spans="1:19" ht="14.1" customHeight="1">
      <c r="A108" s="72">
        <f t="shared" si="6"/>
        <v>108</v>
      </c>
      <c r="B108" s="50" t="s">
        <v>805</v>
      </c>
      <c r="C108" s="50" t="s">
        <v>824</v>
      </c>
      <c r="D108" s="427" t="s">
        <v>1033</v>
      </c>
      <c r="E108" s="422" t="s">
        <v>304</v>
      </c>
      <c r="F108" s="347" t="s">
        <v>320</v>
      </c>
      <c r="G108" s="81" t="s">
        <v>201</v>
      </c>
      <c r="H108" s="432" t="s">
        <v>198</v>
      </c>
      <c r="I108" s="81" t="s">
        <v>780</v>
      </c>
      <c r="J108" s="350">
        <v>2.4100000858306898</v>
      </c>
      <c r="K108" s="351">
        <f t="shared" si="7"/>
        <v>200</v>
      </c>
      <c r="L108" s="352">
        <v>200</v>
      </c>
      <c r="M108" s="448" t="str">
        <f>IF(L108="nio","",VLOOKUP(L108,'3-Productie normen'!$B$31:$H$45,3,FALSE))</f>
        <v>5 x per week (40 weken)</v>
      </c>
      <c r="N108" s="353" t="e">
        <f t="shared" si="4"/>
        <v>#DIV/0!</v>
      </c>
      <c r="O108" s="354">
        <f>IF(L108="nio",0,IF(L108&gt;0,VLOOKUP(H108,'3-Productie normen'!A:P,VLOOKUP(L108,'3-Productie normen'!$B$31:$C$45,2,FALSE),FALSE)))/VLOOKUP(B108,'2-Kosten per locatie'!$A$13:$D$36,4,FALSE)</f>
        <v>0</v>
      </c>
      <c r="P108" s="82" t="str">
        <f>VLOOKUP(H108,'3-Productie normen'!A:T,20,FALSE)</f>
        <v>V</v>
      </c>
      <c r="Q108" s="447" t="s">
        <v>792</v>
      </c>
      <c r="S108" s="356">
        <f t="shared" si="5"/>
        <v>482.00001716613798</v>
      </c>
    </row>
    <row r="109" spans="1:19" ht="14.1" customHeight="1">
      <c r="A109" s="72">
        <f t="shared" si="6"/>
        <v>109</v>
      </c>
      <c r="B109" s="50" t="s">
        <v>805</v>
      </c>
      <c r="C109" s="50" t="s">
        <v>824</v>
      </c>
      <c r="D109" s="427" t="s">
        <v>1033</v>
      </c>
      <c r="E109" s="422" t="s">
        <v>275</v>
      </c>
      <c r="F109" s="347" t="s">
        <v>320</v>
      </c>
      <c r="G109" s="81" t="s">
        <v>201</v>
      </c>
      <c r="H109" s="432" t="s">
        <v>198</v>
      </c>
      <c r="I109" s="81" t="s">
        <v>782</v>
      </c>
      <c r="J109" s="350">
        <v>2.86</v>
      </c>
      <c r="K109" s="351">
        <f t="shared" si="7"/>
        <v>200</v>
      </c>
      <c r="L109" s="352">
        <v>200</v>
      </c>
      <c r="M109" s="448" t="str">
        <f>IF(L109="nio","",VLOOKUP(L109,'3-Productie normen'!$B$31:$H$45,3,FALSE))</f>
        <v>5 x per week (40 weken)</v>
      </c>
      <c r="N109" s="353" t="e">
        <f t="shared" si="4"/>
        <v>#DIV/0!</v>
      </c>
      <c r="O109" s="354">
        <f>IF(L109="nio",0,IF(L109&gt;0,VLOOKUP(H109,'3-Productie normen'!A:P,VLOOKUP(L109,'3-Productie normen'!$B$31:$C$45,2,FALSE),FALSE)))/VLOOKUP(B109,'2-Kosten per locatie'!$A$13:$D$36,4,FALSE)</f>
        <v>0</v>
      </c>
      <c r="P109" s="82" t="str">
        <f>VLOOKUP(H109,'3-Productie normen'!A:T,20,FALSE)</f>
        <v>V</v>
      </c>
      <c r="Q109" s="447" t="s">
        <v>792</v>
      </c>
      <c r="S109" s="356">
        <f t="shared" si="5"/>
        <v>572</v>
      </c>
    </row>
    <row r="110" spans="1:19" ht="14.1" customHeight="1">
      <c r="A110" s="72">
        <f t="shared" si="6"/>
        <v>110</v>
      </c>
      <c r="B110" s="50" t="s">
        <v>805</v>
      </c>
      <c r="C110" s="50" t="s">
        <v>824</v>
      </c>
      <c r="D110" s="427" t="s">
        <v>1033</v>
      </c>
      <c r="E110" s="422" t="s">
        <v>304</v>
      </c>
      <c r="F110" s="347" t="s">
        <v>321</v>
      </c>
      <c r="G110" s="81" t="s">
        <v>209</v>
      </c>
      <c r="H110" s="50" t="s">
        <v>1040</v>
      </c>
      <c r="I110" s="81" t="s">
        <v>780</v>
      </c>
      <c r="J110" s="350">
        <v>2.35</v>
      </c>
      <c r="K110" s="351">
        <f t="shared" si="7"/>
        <v>12</v>
      </c>
      <c r="L110" s="352">
        <v>12</v>
      </c>
      <c r="M110" s="448" t="str">
        <f>IF(L110="nio","",VLOOKUP(L110,'3-Productie normen'!$B$31:$H$45,3,FALSE))</f>
        <v>1 x per maand</v>
      </c>
      <c r="N110" s="353" t="e">
        <f t="shared" si="4"/>
        <v>#DIV/0!</v>
      </c>
      <c r="O110" s="354">
        <f>IF(L110="nio",0,IF(L110&gt;0,VLOOKUP(H110,'3-Productie normen'!A:P,VLOOKUP(L110,'3-Productie normen'!$B$31:$C$45,2,FALSE),FALSE)))/VLOOKUP(B110,'2-Kosten per locatie'!$A$13:$D$36,4,FALSE)</f>
        <v>0</v>
      </c>
      <c r="P110" s="82" t="str">
        <f>VLOOKUP(H110,'3-Productie normen'!A:T,20,FALSE)</f>
        <v>V</v>
      </c>
      <c r="Q110" s="447" t="s">
        <v>792</v>
      </c>
      <c r="S110" s="356">
        <f t="shared" si="5"/>
        <v>28.200000000000003</v>
      </c>
    </row>
    <row r="111" spans="1:19" ht="14.1" customHeight="1">
      <c r="A111" s="72">
        <f t="shared" si="6"/>
        <v>111</v>
      </c>
      <c r="B111" s="50" t="s">
        <v>805</v>
      </c>
      <c r="C111" s="50" t="s">
        <v>824</v>
      </c>
      <c r="D111" s="427" t="s">
        <v>1033</v>
      </c>
      <c r="E111" s="422" t="s">
        <v>304</v>
      </c>
      <c r="F111" s="347" t="s">
        <v>322</v>
      </c>
      <c r="G111" s="81" t="s">
        <v>298</v>
      </c>
      <c r="H111" s="81" t="s">
        <v>241</v>
      </c>
      <c r="I111" s="81" t="s">
        <v>780</v>
      </c>
      <c r="J111" s="350">
        <v>54.44</v>
      </c>
      <c r="K111" s="351">
        <f t="shared" si="7"/>
        <v>201</v>
      </c>
      <c r="L111" s="352">
        <v>201</v>
      </c>
      <c r="M111" s="448" t="str">
        <f>IF(L111="nio","",VLOOKUP(L111,'3-Productie normen'!$B$31:$H$45,3,FALSE))</f>
        <v>5 x per week (40 weken + 1 Zomer refreshbeurt)</v>
      </c>
      <c r="N111" s="353" t="e">
        <f t="shared" si="4"/>
        <v>#DIV/0!</v>
      </c>
      <c r="O111" s="354">
        <f>IF(L111="nio",0,IF(L111&gt;0,VLOOKUP(H111,'3-Productie normen'!A:P,VLOOKUP(L111,'3-Productie normen'!$B$31:$C$45,2,FALSE),FALSE)))/VLOOKUP(B111,'2-Kosten per locatie'!$A$13:$D$36,4,FALSE)</f>
        <v>0</v>
      </c>
      <c r="P111" s="82" t="str">
        <f>VLOOKUP(H111,'3-Productie normen'!A:T,20,FALSE)</f>
        <v>L</v>
      </c>
      <c r="Q111" s="447" t="s">
        <v>872</v>
      </c>
      <c r="S111" s="356">
        <f t="shared" si="5"/>
        <v>10942.439999999999</v>
      </c>
    </row>
    <row r="112" spans="1:19" ht="14.1" customHeight="1">
      <c r="A112" s="72">
        <f t="shared" si="6"/>
        <v>112</v>
      </c>
      <c r="B112" s="50" t="s">
        <v>805</v>
      </c>
      <c r="C112" s="50" t="s">
        <v>824</v>
      </c>
      <c r="D112" s="427" t="s">
        <v>1033</v>
      </c>
      <c r="E112" s="422" t="s">
        <v>304</v>
      </c>
      <c r="F112" s="347" t="s">
        <v>323</v>
      </c>
      <c r="G112" s="81" t="s">
        <v>298</v>
      </c>
      <c r="H112" s="81" t="s">
        <v>241</v>
      </c>
      <c r="I112" s="81" t="s">
        <v>780</v>
      </c>
      <c r="J112" s="350">
        <v>54.85</v>
      </c>
      <c r="K112" s="351">
        <f t="shared" si="7"/>
        <v>201</v>
      </c>
      <c r="L112" s="352">
        <v>201</v>
      </c>
      <c r="M112" s="448" t="str">
        <f>IF(L112="nio","",VLOOKUP(L112,'3-Productie normen'!$B$31:$H$45,3,FALSE))</f>
        <v>5 x per week (40 weken + 1 Zomer refreshbeurt)</v>
      </c>
      <c r="N112" s="353" t="e">
        <f t="shared" si="4"/>
        <v>#DIV/0!</v>
      </c>
      <c r="O112" s="354">
        <f>IF(L112="nio",0,IF(L112&gt;0,VLOOKUP(H112,'3-Productie normen'!A:P,VLOOKUP(L112,'3-Productie normen'!$B$31:$C$45,2,FALSE),FALSE)))/VLOOKUP(B112,'2-Kosten per locatie'!$A$13:$D$36,4,FALSE)</f>
        <v>0</v>
      </c>
      <c r="P112" s="82" t="str">
        <f>VLOOKUP(H112,'3-Productie normen'!A:T,20,FALSE)</f>
        <v>L</v>
      </c>
      <c r="Q112" s="447" t="s">
        <v>872</v>
      </c>
      <c r="S112" s="356">
        <f t="shared" si="5"/>
        <v>11024.85</v>
      </c>
    </row>
    <row r="113" spans="1:19" ht="14.1" customHeight="1">
      <c r="A113" s="72">
        <f t="shared" si="6"/>
        <v>113</v>
      </c>
      <c r="B113" s="50" t="s">
        <v>805</v>
      </c>
      <c r="C113" s="50" t="s">
        <v>824</v>
      </c>
      <c r="D113" s="427" t="s">
        <v>1033</v>
      </c>
      <c r="E113" s="422" t="s">
        <v>304</v>
      </c>
      <c r="F113" s="347" t="s">
        <v>324</v>
      </c>
      <c r="G113" s="81" t="s">
        <v>298</v>
      </c>
      <c r="H113" s="81" t="s">
        <v>241</v>
      </c>
      <c r="I113" s="81" t="s">
        <v>780</v>
      </c>
      <c r="J113" s="350">
        <v>54.43</v>
      </c>
      <c r="K113" s="351">
        <f t="shared" si="7"/>
        <v>201</v>
      </c>
      <c r="L113" s="352">
        <v>201</v>
      </c>
      <c r="M113" s="448" t="str">
        <f>IF(L113="nio","",VLOOKUP(L113,'3-Productie normen'!$B$31:$H$45,3,FALSE))</f>
        <v>5 x per week (40 weken + 1 Zomer refreshbeurt)</v>
      </c>
      <c r="N113" s="353" t="e">
        <f t="shared" si="4"/>
        <v>#DIV/0!</v>
      </c>
      <c r="O113" s="354">
        <f>IF(L113="nio",0,IF(L113&gt;0,VLOOKUP(H113,'3-Productie normen'!A:P,VLOOKUP(L113,'3-Productie normen'!$B$31:$C$45,2,FALSE),FALSE)))/VLOOKUP(B113,'2-Kosten per locatie'!$A$13:$D$36,4,FALSE)</f>
        <v>0</v>
      </c>
      <c r="P113" s="82" t="str">
        <f>VLOOKUP(H113,'3-Productie normen'!A:T,20,FALSE)</f>
        <v>L</v>
      </c>
      <c r="Q113" s="447" t="s">
        <v>872</v>
      </c>
      <c r="S113" s="356">
        <f t="shared" si="5"/>
        <v>10940.43</v>
      </c>
    </row>
    <row r="114" spans="1:19" ht="14.1" customHeight="1">
      <c r="A114" s="72">
        <f t="shared" si="6"/>
        <v>114</v>
      </c>
      <c r="B114" s="50" t="s">
        <v>805</v>
      </c>
      <c r="C114" s="50" t="s">
        <v>824</v>
      </c>
      <c r="D114" s="427" t="s">
        <v>1033</v>
      </c>
      <c r="E114" s="422" t="s">
        <v>304</v>
      </c>
      <c r="F114" s="347" t="s">
        <v>325</v>
      </c>
      <c r="G114" s="81" t="s">
        <v>298</v>
      </c>
      <c r="H114" s="81" t="s">
        <v>241</v>
      </c>
      <c r="I114" s="81" t="s">
        <v>780</v>
      </c>
      <c r="J114" s="350">
        <v>54.81</v>
      </c>
      <c r="K114" s="351">
        <f t="shared" si="7"/>
        <v>201</v>
      </c>
      <c r="L114" s="352">
        <v>201</v>
      </c>
      <c r="M114" s="448" t="str">
        <f>IF(L114="nio","",VLOOKUP(L114,'3-Productie normen'!$B$31:$H$45,3,FALSE))</f>
        <v>5 x per week (40 weken + 1 Zomer refreshbeurt)</v>
      </c>
      <c r="N114" s="353" t="e">
        <f t="shared" si="4"/>
        <v>#DIV/0!</v>
      </c>
      <c r="O114" s="354">
        <f>IF(L114="nio",0,IF(L114&gt;0,VLOOKUP(H114,'3-Productie normen'!A:P,VLOOKUP(L114,'3-Productie normen'!$B$31:$C$45,2,FALSE),FALSE)))/VLOOKUP(B114,'2-Kosten per locatie'!$A$13:$D$36,4,FALSE)</f>
        <v>0</v>
      </c>
      <c r="P114" s="82" t="str">
        <f>VLOOKUP(H114,'3-Productie normen'!A:T,20,FALSE)</f>
        <v>L</v>
      </c>
      <c r="Q114" s="447" t="s">
        <v>872</v>
      </c>
      <c r="S114" s="356">
        <f t="shared" si="5"/>
        <v>11016.810000000001</v>
      </c>
    </row>
    <row r="115" spans="1:19" ht="14.1" customHeight="1">
      <c r="A115" s="72">
        <f t="shared" si="6"/>
        <v>115</v>
      </c>
      <c r="B115" s="50" t="s">
        <v>806</v>
      </c>
      <c r="C115" s="50" t="s">
        <v>825</v>
      </c>
      <c r="D115" s="427" t="s">
        <v>1033</v>
      </c>
      <c r="E115" s="426" t="s">
        <v>196</v>
      </c>
      <c r="F115" s="349" t="s">
        <v>197</v>
      </c>
      <c r="G115" s="86" t="s">
        <v>199</v>
      </c>
      <c r="H115" s="432" t="s">
        <v>198</v>
      </c>
      <c r="I115" s="86" t="s">
        <v>779</v>
      </c>
      <c r="J115" s="343">
        <v>9.8000001907348597</v>
      </c>
      <c r="K115" s="351">
        <f t="shared" ref="K115:K146" si="8">L115</f>
        <v>200</v>
      </c>
      <c r="L115" s="352">
        <v>200</v>
      </c>
      <c r="M115" s="448" t="str">
        <f>IF(L115="nio","",VLOOKUP(L115,'3-Productie normen'!$B$31:$H$45,3,FALSE))</f>
        <v>5 x per week (40 weken)</v>
      </c>
      <c r="N115" s="353" t="e">
        <f t="shared" ref="N115:N145" si="9">IF(L115="nio",0,IF(L115&gt;0,L115*J115/O115,0))</f>
        <v>#DIV/0!</v>
      </c>
      <c r="O115" s="354">
        <f>IF(L115="nio",0,IF(L115&gt;0,VLOOKUP(H115,'3-Productie normen'!A:P,VLOOKUP(L115,'3-Productie normen'!$B$31:$C$45,2,FALSE),FALSE)))/VLOOKUP(B115,'2-Kosten per locatie'!$A$13:$D$36,4,FALSE)</f>
        <v>0</v>
      </c>
      <c r="P115" s="82" t="str">
        <f>VLOOKUP(H115,'3-Productie normen'!A:T,20,FALSE)</f>
        <v>V</v>
      </c>
      <c r="Q115" s="447" t="s">
        <v>873</v>
      </c>
      <c r="S115" s="356">
        <f t="shared" ref="S115:S145" si="10">IF(L115="nio",0,K115*J115)</f>
        <v>1960.000038146972</v>
      </c>
    </row>
    <row r="116" spans="1:19" ht="14.1" customHeight="1">
      <c r="A116" s="72">
        <f t="shared" si="6"/>
        <v>116</v>
      </c>
      <c r="B116" s="50" t="s">
        <v>806</v>
      </c>
      <c r="C116" s="50" t="s">
        <v>825</v>
      </c>
      <c r="D116" s="427" t="s">
        <v>1033</v>
      </c>
      <c r="E116" s="426" t="s">
        <v>196</v>
      </c>
      <c r="F116" s="349" t="s">
        <v>200</v>
      </c>
      <c r="G116" s="86" t="s">
        <v>206</v>
      </c>
      <c r="H116" s="65" t="s">
        <v>1053</v>
      </c>
      <c r="I116" s="86" t="s">
        <v>92</v>
      </c>
      <c r="J116" s="343">
        <v>0.28999999999999998</v>
      </c>
      <c r="K116" s="351" t="str">
        <f t="shared" si="8"/>
        <v>nio</v>
      </c>
      <c r="L116" s="352" t="s">
        <v>804</v>
      </c>
      <c r="M116" s="448" t="str">
        <f>IF(L116="nio","",VLOOKUP(L116,'3-Productie normen'!$B$31:$H$45,3,FALSE))</f>
        <v/>
      </c>
      <c r="N116" s="353">
        <f t="shared" si="9"/>
        <v>0</v>
      </c>
      <c r="O116" s="354">
        <f>IF(L116="nio",0,IF(L116&gt;0,VLOOKUP(H116,'3-Productie normen'!A:P,VLOOKUP(L116,'3-Productie normen'!$B$31:$C$45,2,FALSE),FALSE)))/VLOOKUP(B116,'2-Kosten per locatie'!$A$13:$D$36,4,FALSE)</f>
        <v>0</v>
      </c>
      <c r="P116" s="82">
        <f>VLOOKUP(H116,'3-Productie normen'!A:T,20,FALSE)</f>
        <v>0</v>
      </c>
      <c r="Q116" s="447" t="s">
        <v>904</v>
      </c>
      <c r="S116" s="356">
        <f t="shared" si="10"/>
        <v>0</v>
      </c>
    </row>
    <row r="117" spans="1:19" ht="14.1" customHeight="1">
      <c r="A117" s="72">
        <f t="shared" si="6"/>
        <v>117</v>
      </c>
      <c r="B117" s="50" t="s">
        <v>806</v>
      </c>
      <c r="C117" s="50" t="s">
        <v>825</v>
      </c>
      <c r="D117" s="427" t="s">
        <v>1033</v>
      </c>
      <c r="E117" s="426" t="s">
        <v>196</v>
      </c>
      <c r="F117" s="349" t="s">
        <v>202</v>
      </c>
      <c r="G117" s="86" t="s">
        <v>206</v>
      </c>
      <c r="H117" s="65" t="s">
        <v>1053</v>
      </c>
      <c r="I117" s="86" t="s">
        <v>92</v>
      </c>
      <c r="J117" s="343">
        <v>9.1599998474121094</v>
      </c>
      <c r="K117" s="351" t="str">
        <f t="shared" si="8"/>
        <v>nio</v>
      </c>
      <c r="L117" s="352" t="s">
        <v>804</v>
      </c>
      <c r="M117" s="448" t="str">
        <f>IF(L117="nio","",VLOOKUP(L117,'3-Productie normen'!$B$31:$H$45,3,FALSE))</f>
        <v/>
      </c>
      <c r="N117" s="353">
        <f t="shared" si="9"/>
        <v>0</v>
      </c>
      <c r="O117" s="354">
        <f>IF(L117="nio",0,IF(L117&gt;0,VLOOKUP(H117,'3-Productie normen'!A:P,VLOOKUP(L117,'3-Productie normen'!$B$31:$C$45,2,FALSE),FALSE)))/VLOOKUP(B117,'2-Kosten per locatie'!$A$13:$D$36,4,FALSE)</f>
        <v>0</v>
      </c>
      <c r="P117" s="82">
        <f>VLOOKUP(H117,'3-Productie normen'!A:T,20,FALSE)</f>
        <v>0</v>
      </c>
      <c r="Q117" s="447" t="s">
        <v>898</v>
      </c>
      <c r="S117" s="356">
        <f t="shared" si="10"/>
        <v>0</v>
      </c>
    </row>
    <row r="118" spans="1:19" ht="14.1" customHeight="1">
      <c r="A118" s="72">
        <f t="shared" si="6"/>
        <v>118</v>
      </c>
      <c r="B118" s="50" t="s">
        <v>806</v>
      </c>
      <c r="C118" s="50" t="s">
        <v>825</v>
      </c>
      <c r="D118" s="427" t="s">
        <v>1033</v>
      </c>
      <c r="E118" s="426" t="s">
        <v>196</v>
      </c>
      <c r="F118" s="349" t="s">
        <v>205</v>
      </c>
      <c r="G118" s="86" t="s">
        <v>212</v>
      </c>
      <c r="H118" s="65" t="s">
        <v>1053</v>
      </c>
      <c r="I118" s="86" t="s">
        <v>92</v>
      </c>
      <c r="J118" s="343">
        <v>16.18</v>
      </c>
      <c r="K118" s="351" t="str">
        <f t="shared" si="8"/>
        <v>nio</v>
      </c>
      <c r="L118" s="352" t="s">
        <v>804</v>
      </c>
      <c r="M118" s="448" t="str">
        <f>IF(L118="nio","",VLOOKUP(L118,'3-Productie normen'!$B$31:$H$45,3,FALSE))</f>
        <v/>
      </c>
      <c r="N118" s="353">
        <f t="shared" si="9"/>
        <v>0</v>
      </c>
      <c r="O118" s="354">
        <f>IF(L118="nio",0,IF(L118&gt;0,VLOOKUP(H118,'3-Productie normen'!A:P,VLOOKUP(L118,'3-Productie normen'!$B$31:$C$45,2,FALSE),FALSE)))/VLOOKUP(B118,'2-Kosten per locatie'!$A$13:$D$36,4,FALSE)</f>
        <v>0</v>
      </c>
      <c r="P118" s="82">
        <f>VLOOKUP(H118,'3-Productie normen'!A:T,20,FALSE)</f>
        <v>0</v>
      </c>
      <c r="Q118" s="447" t="s">
        <v>792</v>
      </c>
      <c r="S118" s="356">
        <f t="shared" si="10"/>
        <v>0</v>
      </c>
    </row>
    <row r="119" spans="1:19" ht="14.1" customHeight="1">
      <c r="A119" s="72">
        <f t="shared" si="6"/>
        <v>119</v>
      </c>
      <c r="B119" s="50" t="s">
        <v>806</v>
      </c>
      <c r="C119" s="50" t="s">
        <v>825</v>
      </c>
      <c r="D119" s="427" t="s">
        <v>1033</v>
      </c>
      <c r="E119" s="426" t="s">
        <v>196</v>
      </c>
      <c r="F119" s="349" t="s">
        <v>207</v>
      </c>
      <c r="G119" s="86" t="s">
        <v>201</v>
      </c>
      <c r="H119" s="432" t="s">
        <v>198</v>
      </c>
      <c r="I119" s="86" t="s">
        <v>91</v>
      </c>
      <c r="J119" s="343">
        <v>33.799999237060497</v>
      </c>
      <c r="K119" s="351">
        <f t="shared" si="8"/>
        <v>200</v>
      </c>
      <c r="L119" s="352">
        <v>200</v>
      </c>
      <c r="M119" s="448" t="str">
        <f>IF(L119="nio","",VLOOKUP(L119,'3-Productie normen'!$B$31:$H$45,3,FALSE))</f>
        <v>5 x per week (40 weken)</v>
      </c>
      <c r="N119" s="353" t="e">
        <f t="shared" si="9"/>
        <v>#DIV/0!</v>
      </c>
      <c r="O119" s="354">
        <f>IF(L119="nio",0,IF(L119&gt;0,VLOOKUP(H119,'3-Productie normen'!A:P,VLOOKUP(L119,'3-Productie normen'!$B$31:$C$45,2,FALSE),FALSE)))/VLOOKUP(B119,'2-Kosten per locatie'!$A$13:$D$36,4,FALSE)</f>
        <v>0</v>
      </c>
      <c r="P119" s="82" t="str">
        <f>VLOOKUP(H119,'3-Productie normen'!A:T,20,FALSE)</f>
        <v>V</v>
      </c>
      <c r="Q119" s="447" t="s">
        <v>905</v>
      </c>
      <c r="S119" s="356">
        <f t="shared" si="10"/>
        <v>6759.9998474120994</v>
      </c>
    </row>
    <row r="120" spans="1:19" ht="14.1" customHeight="1">
      <c r="A120" s="72">
        <f t="shared" si="6"/>
        <v>120</v>
      </c>
      <c r="B120" s="50" t="s">
        <v>806</v>
      </c>
      <c r="C120" s="50" t="s">
        <v>825</v>
      </c>
      <c r="D120" s="427" t="s">
        <v>1033</v>
      </c>
      <c r="E120" s="426" t="s">
        <v>196</v>
      </c>
      <c r="F120" s="349" t="s">
        <v>208</v>
      </c>
      <c r="G120" s="86" t="s">
        <v>242</v>
      </c>
      <c r="H120" s="86" t="s">
        <v>241</v>
      </c>
      <c r="I120" s="86" t="s">
        <v>780</v>
      </c>
      <c r="J120" s="343">
        <v>72.199996948242202</v>
      </c>
      <c r="K120" s="351">
        <f t="shared" si="8"/>
        <v>201</v>
      </c>
      <c r="L120" s="352">
        <v>201</v>
      </c>
      <c r="M120" s="448" t="str">
        <f>IF(L120="nio","",VLOOKUP(L120,'3-Productie normen'!$B$31:$H$45,3,FALSE))</f>
        <v>5 x per week (40 weken + 1 Zomer refreshbeurt)</v>
      </c>
      <c r="N120" s="353" t="e">
        <f t="shared" si="9"/>
        <v>#DIV/0!</v>
      </c>
      <c r="O120" s="354">
        <f>IF(L120="nio",0,IF(L120&gt;0,VLOOKUP(H120,'3-Productie normen'!A:P,VLOOKUP(L120,'3-Productie normen'!$B$31:$C$45,2,FALSE),FALSE)))/VLOOKUP(B120,'2-Kosten per locatie'!$A$13:$D$36,4,FALSE)</f>
        <v>0</v>
      </c>
      <c r="P120" s="82" t="str">
        <f>VLOOKUP(H120,'3-Productie normen'!A:T,20,FALSE)</f>
        <v>L</v>
      </c>
      <c r="Q120" s="447" t="s">
        <v>874</v>
      </c>
      <c r="S120" s="356">
        <f t="shared" si="10"/>
        <v>14512.199386596683</v>
      </c>
    </row>
    <row r="121" spans="1:19" ht="14.1" customHeight="1">
      <c r="A121" s="72">
        <f t="shared" si="6"/>
        <v>121</v>
      </c>
      <c r="B121" s="50" t="s">
        <v>806</v>
      </c>
      <c r="C121" s="50" t="s">
        <v>825</v>
      </c>
      <c r="D121" s="427" t="s">
        <v>1033</v>
      </c>
      <c r="E121" s="426" t="s">
        <v>196</v>
      </c>
      <c r="F121" s="349" t="s">
        <v>210</v>
      </c>
      <c r="G121" s="86" t="s">
        <v>242</v>
      </c>
      <c r="H121" s="86" t="s">
        <v>241</v>
      </c>
      <c r="I121" s="86" t="s">
        <v>780</v>
      </c>
      <c r="J121" s="343">
        <v>68.180000305175795</v>
      </c>
      <c r="K121" s="351">
        <f t="shared" si="8"/>
        <v>201</v>
      </c>
      <c r="L121" s="352">
        <v>201</v>
      </c>
      <c r="M121" s="448" t="str">
        <f>IF(L121="nio","",VLOOKUP(L121,'3-Productie normen'!$B$31:$H$45,3,FALSE))</f>
        <v>5 x per week (40 weken + 1 Zomer refreshbeurt)</v>
      </c>
      <c r="N121" s="353" t="e">
        <f t="shared" si="9"/>
        <v>#DIV/0!</v>
      </c>
      <c r="O121" s="354">
        <f>IF(L121="nio",0,IF(L121&gt;0,VLOOKUP(H121,'3-Productie normen'!A:P,VLOOKUP(L121,'3-Productie normen'!$B$31:$C$45,2,FALSE),FALSE)))/VLOOKUP(B121,'2-Kosten per locatie'!$A$13:$D$36,4,FALSE)</f>
        <v>0</v>
      </c>
      <c r="P121" s="82" t="str">
        <f>VLOOKUP(H121,'3-Productie normen'!A:T,20,FALSE)</f>
        <v>L</v>
      </c>
      <c r="Q121" s="447" t="s">
        <v>874</v>
      </c>
      <c r="S121" s="356">
        <f t="shared" si="10"/>
        <v>13704.180061340336</v>
      </c>
    </row>
    <row r="122" spans="1:19" ht="14.1" customHeight="1">
      <c r="A122" s="72">
        <f t="shared" si="6"/>
        <v>122</v>
      </c>
      <c r="B122" s="50" t="s">
        <v>806</v>
      </c>
      <c r="C122" s="50" t="s">
        <v>825</v>
      </c>
      <c r="D122" s="427" t="s">
        <v>1033</v>
      </c>
      <c r="E122" s="426" t="s">
        <v>196</v>
      </c>
      <c r="F122" s="349" t="s">
        <v>211</v>
      </c>
      <c r="G122" s="86" t="s">
        <v>201</v>
      </c>
      <c r="H122" s="432" t="s">
        <v>198</v>
      </c>
      <c r="I122" s="86" t="s">
        <v>91</v>
      </c>
      <c r="J122" s="343">
        <v>81.550003051757798</v>
      </c>
      <c r="K122" s="351">
        <f t="shared" si="8"/>
        <v>200</v>
      </c>
      <c r="L122" s="352">
        <v>200</v>
      </c>
      <c r="M122" s="448" t="str">
        <f>IF(L122="nio","",VLOOKUP(L122,'3-Productie normen'!$B$31:$H$45,3,FALSE))</f>
        <v>5 x per week (40 weken)</v>
      </c>
      <c r="N122" s="353" t="e">
        <f t="shared" si="9"/>
        <v>#DIV/0!</v>
      </c>
      <c r="O122" s="354">
        <f>IF(L122="nio",0,IF(L122&gt;0,VLOOKUP(H122,'3-Productie normen'!A:P,VLOOKUP(L122,'3-Productie normen'!$B$31:$C$45,2,FALSE),FALSE)))/VLOOKUP(B122,'2-Kosten per locatie'!$A$13:$D$36,4,FALSE)</f>
        <v>0</v>
      </c>
      <c r="P122" s="82" t="str">
        <f>VLOOKUP(H122,'3-Productie normen'!A:T,20,FALSE)</f>
        <v>V</v>
      </c>
      <c r="Q122" s="447" t="s">
        <v>905</v>
      </c>
      <c r="S122" s="356">
        <f t="shared" si="10"/>
        <v>16310.000610351559</v>
      </c>
    </row>
    <row r="123" spans="1:19" ht="14.1" customHeight="1">
      <c r="A123" s="72">
        <f t="shared" si="6"/>
        <v>123</v>
      </c>
      <c r="B123" s="50" t="s">
        <v>806</v>
      </c>
      <c r="C123" s="50" t="s">
        <v>825</v>
      </c>
      <c r="D123" s="427" t="s">
        <v>1033</v>
      </c>
      <c r="E123" s="426" t="s">
        <v>196</v>
      </c>
      <c r="F123" s="349" t="s">
        <v>213</v>
      </c>
      <c r="G123" s="86" t="s">
        <v>209</v>
      </c>
      <c r="H123" s="50" t="s">
        <v>1040</v>
      </c>
      <c r="I123" s="86" t="s">
        <v>91</v>
      </c>
      <c r="J123" s="343">
        <v>1.6499999761581401</v>
      </c>
      <c r="K123" s="351">
        <f t="shared" si="8"/>
        <v>12</v>
      </c>
      <c r="L123" s="352">
        <v>12</v>
      </c>
      <c r="M123" s="448" t="str">
        <f>IF(L123="nio","",VLOOKUP(L123,'3-Productie normen'!$B$31:$H$45,3,FALSE))</f>
        <v>1 x per maand</v>
      </c>
      <c r="N123" s="353" t="e">
        <f t="shared" si="9"/>
        <v>#DIV/0!</v>
      </c>
      <c r="O123" s="354">
        <f>IF(L123="nio",0,IF(L123&gt;0,VLOOKUP(H123,'3-Productie normen'!A:P,VLOOKUP(L123,'3-Productie normen'!$B$31:$C$45,2,FALSE),FALSE)))/VLOOKUP(B123,'2-Kosten per locatie'!$A$13:$D$36,4,FALSE)</f>
        <v>0</v>
      </c>
      <c r="P123" s="82" t="str">
        <f>VLOOKUP(H123,'3-Productie normen'!A:T,20,FALSE)</f>
        <v>V</v>
      </c>
      <c r="Q123" s="447" t="s">
        <v>905</v>
      </c>
      <c r="S123" s="356">
        <f t="shared" si="10"/>
        <v>19.79999971389768</v>
      </c>
    </row>
    <row r="124" spans="1:19" ht="14.1" customHeight="1">
      <c r="A124" s="72">
        <f t="shared" si="6"/>
        <v>124</v>
      </c>
      <c r="B124" s="50" t="s">
        <v>806</v>
      </c>
      <c r="C124" s="50" t="s">
        <v>825</v>
      </c>
      <c r="D124" s="427" t="s">
        <v>1033</v>
      </c>
      <c r="E124" s="426" t="s">
        <v>196</v>
      </c>
      <c r="F124" s="349" t="s">
        <v>214</v>
      </c>
      <c r="G124" s="86" t="s">
        <v>281</v>
      </c>
      <c r="H124" s="86" t="s">
        <v>203</v>
      </c>
      <c r="I124" s="86" t="s">
        <v>793</v>
      </c>
      <c r="J124" s="343">
        <v>27.9799995422363</v>
      </c>
      <c r="K124" s="351">
        <f t="shared" si="8"/>
        <v>120</v>
      </c>
      <c r="L124" s="352">
        <v>120</v>
      </c>
      <c r="M124" s="448" t="str">
        <f>IF(L124="nio","",VLOOKUP(L124,'3-Productie normen'!$B$31:$H$45,3,FALSE))</f>
        <v>3 x per week (40 weken)</v>
      </c>
      <c r="N124" s="353" t="e">
        <f t="shared" si="9"/>
        <v>#DIV/0!</v>
      </c>
      <c r="O124" s="354">
        <f>IF(L124="nio",0,IF(L124&gt;0,VLOOKUP(H124,'3-Productie normen'!A:P,VLOOKUP(L124,'3-Productie normen'!$B$31:$C$45,2,FALSE),FALSE)))/VLOOKUP(B124,'2-Kosten per locatie'!$A$13:$D$36,4,FALSE)</f>
        <v>0</v>
      </c>
      <c r="P124" s="82" t="str">
        <f>VLOOKUP(H124,'3-Productie normen'!A:T,20,FALSE)</f>
        <v>B</v>
      </c>
      <c r="Q124" s="447" t="s">
        <v>792</v>
      </c>
      <c r="S124" s="356">
        <f t="shared" si="10"/>
        <v>3357.5999450683557</v>
      </c>
    </row>
    <row r="125" spans="1:19" ht="14.1" customHeight="1">
      <c r="A125" s="72">
        <f t="shared" si="6"/>
        <v>125</v>
      </c>
      <c r="B125" s="50" t="s">
        <v>806</v>
      </c>
      <c r="C125" s="50" t="s">
        <v>825</v>
      </c>
      <c r="D125" s="427" t="s">
        <v>1033</v>
      </c>
      <c r="E125" s="426" t="s">
        <v>196</v>
      </c>
      <c r="F125" s="349" t="s">
        <v>216</v>
      </c>
      <c r="G125" s="86" t="s">
        <v>209</v>
      </c>
      <c r="H125" s="50" t="s">
        <v>1040</v>
      </c>
      <c r="I125" s="86" t="s">
        <v>91</v>
      </c>
      <c r="J125" s="343">
        <v>2.4300000667571999</v>
      </c>
      <c r="K125" s="351">
        <f t="shared" si="8"/>
        <v>12</v>
      </c>
      <c r="L125" s="352">
        <v>12</v>
      </c>
      <c r="M125" s="448" t="str">
        <f>IF(L125="nio","",VLOOKUP(L125,'3-Productie normen'!$B$31:$H$45,3,FALSE))</f>
        <v>1 x per maand</v>
      </c>
      <c r="N125" s="353" t="e">
        <f t="shared" si="9"/>
        <v>#DIV/0!</v>
      </c>
      <c r="O125" s="354">
        <f>IF(L125="nio",0,IF(L125&gt;0,VLOOKUP(H125,'3-Productie normen'!A:P,VLOOKUP(L125,'3-Productie normen'!$B$31:$C$45,2,FALSE),FALSE)))/VLOOKUP(B125,'2-Kosten per locatie'!$A$13:$D$36,4,FALSE)</f>
        <v>0</v>
      </c>
      <c r="P125" s="82" t="str">
        <f>VLOOKUP(H125,'3-Productie normen'!A:T,20,FALSE)</f>
        <v>V</v>
      </c>
      <c r="Q125" s="447" t="s">
        <v>905</v>
      </c>
      <c r="S125" s="356">
        <f t="shared" si="10"/>
        <v>29.160000801086397</v>
      </c>
    </row>
    <row r="126" spans="1:19" ht="14.1" customHeight="1">
      <c r="A126" s="72">
        <f t="shared" si="6"/>
        <v>126</v>
      </c>
      <c r="B126" s="50" t="s">
        <v>806</v>
      </c>
      <c r="C126" s="50" t="s">
        <v>825</v>
      </c>
      <c r="D126" s="427" t="s">
        <v>1033</v>
      </c>
      <c r="E126" s="426" t="s">
        <v>196</v>
      </c>
      <c r="F126" s="349" t="s">
        <v>217</v>
      </c>
      <c r="G126" s="86" t="s">
        <v>246</v>
      </c>
      <c r="H126" s="81" t="s">
        <v>1039</v>
      </c>
      <c r="I126" s="86" t="s">
        <v>783</v>
      </c>
      <c r="J126" s="343">
        <v>139.39999389648401</v>
      </c>
      <c r="K126" s="351">
        <f t="shared" si="8"/>
        <v>200</v>
      </c>
      <c r="L126" s="352">
        <v>200</v>
      </c>
      <c r="M126" s="448" t="str">
        <f>IF(L126="nio","",VLOOKUP(L126,'3-Productie normen'!$B$31:$H$45,3,FALSE))</f>
        <v>5 x per week (40 weken)</v>
      </c>
      <c r="N126" s="353" t="e">
        <f t="shared" si="9"/>
        <v>#DIV/0!</v>
      </c>
      <c r="O126" s="354">
        <f>IF(L126="nio",0,IF(L126&gt;0,VLOOKUP(H126,'3-Productie normen'!A:P,VLOOKUP(L126,'3-Productie normen'!$B$31:$C$45,2,FALSE),FALSE)))/VLOOKUP(B126,'2-Kosten per locatie'!$A$13:$D$36,4,FALSE)</f>
        <v>0</v>
      </c>
      <c r="P126" s="82" t="str">
        <f>VLOOKUP(H126,'3-Productie normen'!A:T,20,FALSE)</f>
        <v>V</v>
      </c>
      <c r="Q126" s="447" t="s">
        <v>792</v>
      </c>
      <c r="S126" s="356">
        <f t="shared" si="10"/>
        <v>27879.998779296802</v>
      </c>
    </row>
    <row r="127" spans="1:19" ht="14.1" customHeight="1">
      <c r="A127" s="72">
        <f t="shared" si="6"/>
        <v>127</v>
      </c>
      <c r="B127" s="50" t="s">
        <v>806</v>
      </c>
      <c r="C127" s="50" t="s">
        <v>825</v>
      </c>
      <c r="D127" s="427" t="s">
        <v>1033</v>
      </c>
      <c r="E127" s="426" t="s">
        <v>196</v>
      </c>
      <c r="F127" s="349" t="s">
        <v>218</v>
      </c>
      <c r="G127" s="86" t="s">
        <v>199</v>
      </c>
      <c r="H127" s="432" t="s">
        <v>198</v>
      </c>
      <c r="I127" s="86" t="s">
        <v>91</v>
      </c>
      <c r="J127" s="343">
        <v>2.3299999237060498</v>
      </c>
      <c r="K127" s="351">
        <f t="shared" si="8"/>
        <v>200</v>
      </c>
      <c r="L127" s="352">
        <v>200</v>
      </c>
      <c r="M127" s="448" t="str">
        <f>IF(L127="nio","",VLOOKUP(L127,'3-Productie normen'!$B$31:$H$45,3,FALSE))</f>
        <v>5 x per week (40 weken)</v>
      </c>
      <c r="N127" s="353" t="e">
        <f t="shared" si="9"/>
        <v>#DIV/0!</v>
      </c>
      <c r="O127" s="354">
        <f>IF(L127="nio",0,IF(L127&gt;0,VLOOKUP(H127,'3-Productie normen'!A:P,VLOOKUP(L127,'3-Productie normen'!$B$31:$C$45,2,FALSE),FALSE)))/VLOOKUP(B127,'2-Kosten per locatie'!$A$13:$D$36,4,FALSE)</f>
        <v>0</v>
      </c>
      <c r="P127" s="82" t="str">
        <f>VLOOKUP(H127,'3-Productie normen'!A:T,20,FALSE)</f>
        <v>V</v>
      </c>
      <c r="Q127" s="447" t="s">
        <v>905</v>
      </c>
      <c r="S127" s="356">
        <f t="shared" si="10"/>
        <v>465.99998474120997</v>
      </c>
    </row>
    <row r="128" spans="1:19" ht="14.1" customHeight="1">
      <c r="A128" s="72">
        <f t="shared" si="6"/>
        <v>128</v>
      </c>
      <c r="B128" s="50" t="s">
        <v>806</v>
      </c>
      <c r="C128" s="50" t="s">
        <v>825</v>
      </c>
      <c r="D128" s="427" t="s">
        <v>1033</v>
      </c>
      <c r="E128" s="426" t="s">
        <v>196</v>
      </c>
      <c r="F128" s="349" t="s">
        <v>218</v>
      </c>
      <c r="G128" s="86" t="s">
        <v>199</v>
      </c>
      <c r="H128" s="432" t="s">
        <v>198</v>
      </c>
      <c r="I128" s="86" t="s">
        <v>779</v>
      </c>
      <c r="J128" s="343">
        <v>2.5</v>
      </c>
      <c r="K128" s="351">
        <f t="shared" si="8"/>
        <v>200</v>
      </c>
      <c r="L128" s="352">
        <v>200</v>
      </c>
      <c r="M128" s="448" t="str">
        <f>IF(L128="nio","",VLOOKUP(L128,'3-Productie normen'!$B$31:$H$45,3,FALSE))</f>
        <v>5 x per week (40 weken)</v>
      </c>
      <c r="N128" s="353" t="e">
        <f t="shared" si="9"/>
        <v>#DIV/0!</v>
      </c>
      <c r="O128" s="354">
        <f>IF(L128="nio",0,IF(L128&gt;0,VLOOKUP(H128,'3-Productie normen'!A:P,VLOOKUP(L128,'3-Productie normen'!$B$31:$C$45,2,FALSE),FALSE)))/VLOOKUP(B128,'2-Kosten per locatie'!$A$13:$D$36,4,FALSE)</f>
        <v>0</v>
      </c>
      <c r="P128" s="82" t="str">
        <f>VLOOKUP(H128,'3-Productie normen'!A:T,20,FALSE)</f>
        <v>V</v>
      </c>
      <c r="Q128" s="447" t="s">
        <v>906</v>
      </c>
      <c r="S128" s="356">
        <f t="shared" si="10"/>
        <v>500</v>
      </c>
    </row>
    <row r="129" spans="1:19" ht="14.1" customHeight="1">
      <c r="A129" s="72">
        <f t="shared" si="6"/>
        <v>129</v>
      </c>
      <c r="B129" s="50" t="s">
        <v>806</v>
      </c>
      <c r="C129" s="50" t="s">
        <v>825</v>
      </c>
      <c r="D129" s="427" t="s">
        <v>1033</v>
      </c>
      <c r="E129" s="426" t="s">
        <v>196</v>
      </c>
      <c r="F129" s="349" t="s">
        <v>219</v>
      </c>
      <c r="G129" s="86" t="s">
        <v>201</v>
      </c>
      <c r="H129" s="432" t="s">
        <v>198</v>
      </c>
      <c r="I129" s="86" t="s">
        <v>91</v>
      </c>
      <c r="J129" s="343">
        <v>29.649999618530298</v>
      </c>
      <c r="K129" s="351">
        <f t="shared" si="8"/>
        <v>200</v>
      </c>
      <c r="L129" s="352">
        <v>200</v>
      </c>
      <c r="M129" s="448" t="str">
        <f>IF(L129="nio","",VLOOKUP(L129,'3-Productie normen'!$B$31:$H$45,3,FALSE))</f>
        <v>5 x per week (40 weken)</v>
      </c>
      <c r="N129" s="353" t="e">
        <f t="shared" si="9"/>
        <v>#DIV/0!</v>
      </c>
      <c r="O129" s="354">
        <f>IF(L129="nio",0,IF(L129&gt;0,VLOOKUP(H129,'3-Productie normen'!A:P,VLOOKUP(L129,'3-Productie normen'!$B$31:$C$45,2,FALSE),FALSE)))/VLOOKUP(B129,'2-Kosten per locatie'!$A$13:$D$36,4,FALSE)</f>
        <v>0</v>
      </c>
      <c r="P129" s="82" t="str">
        <f>VLOOKUP(H129,'3-Productie normen'!A:T,20,FALSE)</f>
        <v>V</v>
      </c>
      <c r="Q129" s="447" t="s">
        <v>905</v>
      </c>
      <c r="S129" s="356">
        <f t="shared" si="10"/>
        <v>5929.9999237060592</v>
      </c>
    </row>
    <row r="130" spans="1:19" ht="14.1" customHeight="1">
      <c r="A130" s="72">
        <f t="shared" si="6"/>
        <v>130</v>
      </c>
      <c r="B130" s="50" t="s">
        <v>806</v>
      </c>
      <c r="C130" s="50" t="s">
        <v>825</v>
      </c>
      <c r="D130" s="427" t="s">
        <v>1033</v>
      </c>
      <c r="E130" s="426" t="s">
        <v>196</v>
      </c>
      <c r="F130" s="349" t="s">
        <v>219</v>
      </c>
      <c r="G130" s="86" t="s">
        <v>201</v>
      </c>
      <c r="H130" s="432" t="s">
        <v>198</v>
      </c>
      <c r="I130" s="86" t="s">
        <v>180</v>
      </c>
      <c r="J130" s="343">
        <v>0.60000002384185802</v>
      </c>
      <c r="K130" s="351">
        <f t="shared" si="8"/>
        <v>200</v>
      </c>
      <c r="L130" s="352">
        <v>200</v>
      </c>
      <c r="M130" s="448" t="str">
        <f>IF(L130="nio","",VLOOKUP(L130,'3-Productie normen'!$B$31:$H$45,3,FALSE))</f>
        <v>5 x per week (40 weken)</v>
      </c>
      <c r="N130" s="353" t="e">
        <f t="shared" si="9"/>
        <v>#DIV/0!</v>
      </c>
      <c r="O130" s="354">
        <f>IF(L130="nio",0,IF(L130&gt;0,VLOOKUP(H130,'3-Productie normen'!A:P,VLOOKUP(L130,'3-Productie normen'!$B$31:$C$45,2,FALSE),FALSE)))/VLOOKUP(B130,'2-Kosten per locatie'!$A$13:$D$36,4,FALSE)</f>
        <v>0</v>
      </c>
      <c r="P130" s="82" t="str">
        <f>VLOOKUP(H130,'3-Productie normen'!A:T,20,FALSE)</f>
        <v>V</v>
      </c>
      <c r="Q130" s="447" t="s">
        <v>907</v>
      </c>
      <c r="S130" s="356">
        <f t="shared" si="10"/>
        <v>120.00000476837161</v>
      </c>
    </row>
    <row r="131" spans="1:19" ht="14.1" customHeight="1">
      <c r="A131" s="72">
        <f t="shared" si="6"/>
        <v>131</v>
      </c>
      <c r="B131" s="50" t="s">
        <v>806</v>
      </c>
      <c r="C131" s="50" t="s">
        <v>825</v>
      </c>
      <c r="D131" s="427" t="s">
        <v>1033</v>
      </c>
      <c r="E131" s="426" t="s">
        <v>196</v>
      </c>
      <c r="F131" s="349" t="s">
        <v>220</v>
      </c>
      <c r="G131" s="86" t="s">
        <v>279</v>
      </c>
      <c r="H131" s="81" t="s">
        <v>279</v>
      </c>
      <c r="I131" s="86" t="s">
        <v>780</v>
      </c>
      <c r="J131" s="343">
        <v>63.200000762939503</v>
      </c>
      <c r="K131" s="351">
        <f t="shared" si="8"/>
        <v>200</v>
      </c>
      <c r="L131" s="352">
        <v>200</v>
      </c>
      <c r="M131" s="448" t="str">
        <f>IF(L131="nio","",VLOOKUP(L131,'3-Productie normen'!$B$31:$H$45,3,FALSE))</f>
        <v>5 x per week (40 weken)</v>
      </c>
      <c r="N131" s="353" t="e">
        <f t="shared" si="9"/>
        <v>#DIV/0!</v>
      </c>
      <c r="O131" s="354">
        <f>IF(L131="nio",0,IF(L131&gt;0,VLOOKUP(H131,'3-Productie normen'!A:P,VLOOKUP(L131,'3-Productie normen'!$B$31:$C$45,2,FALSE),FALSE)))/VLOOKUP(B131,'2-Kosten per locatie'!$A$13:$D$36,4,FALSE)</f>
        <v>0</v>
      </c>
      <c r="P131" s="82" t="str">
        <f>VLOOKUP(H131,'3-Productie normen'!A:T,20,FALSE)</f>
        <v>B</v>
      </c>
      <c r="Q131" s="447" t="s">
        <v>792</v>
      </c>
      <c r="S131" s="356">
        <f t="shared" si="10"/>
        <v>12640.0001525879</v>
      </c>
    </row>
    <row r="132" spans="1:19" ht="14.1" customHeight="1">
      <c r="A132" s="72">
        <f t="shared" si="6"/>
        <v>132</v>
      </c>
      <c r="B132" s="50" t="s">
        <v>806</v>
      </c>
      <c r="C132" s="50" t="s">
        <v>825</v>
      </c>
      <c r="D132" s="427" t="s">
        <v>1033</v>
      </c>
      <c r="E132" s="426" t="s">
        <v>196</v>
      </c>
      <c r="F132" s="349" t="s">
        <v>408</v>
      </c>
      <c r="G132" s="86" t="s">
        <v>209</v>
      </c>
      <c r="H132" s="50" t="s">
        <v>1040</v>
      </c>
      <c r="I132" s="86" t="s">
        <v>180</v>
      </c>
      <c r="J132" s="343">
        <v>0.75999999046325695</v>
      </c>
      <c r="K132" s="351">
        <f t="shared" si="8"/>
        <v>12</v>
      </c>
      <c r="L132" s="352">
        <v>12</v>
      </c>
      <c r="M132" s="448" t="str">
        <f>IF(L132="nio","",VLOOKUP(L132,'3-Productie normen'!$B$31:$H$45,3,FALSE))</f>
        <v>1 x per maand</v>
      </c>
      <c r="N132" s="353" t="e">
        <f t="shared" si="9"/>
        <v>#DIV/0!</v>
      </c>
      <c r="O132" s="354">
        <f>IF(L132="nio",0,IF(L132&gt;0,VLOOKUP(H132,'3-Productie normen'!A:P,VLOOKUP(L132,'3-Productie normen'!$B$31:$C$45,2,FALSE),FALSE)))/VLOOKUP(B132,'2-Kosten per locatie'!$A$13:$D$36,4,FALSE)</f>
        <v>0</v>
      </c>
      <c r="P132" s="82" t="str">
        <f>VLOOKUP(H132,'3-Productie normen'!A:T,20,FALSE)</f>
        <v>V</v>
      </c>
      <c r="Q132" s="447" t="s">
        <v>792</v>
      </c>
      <c r="S132" s="356">
        <f t="shared" si="10"/>
        <v>9.1199998855590838</v>
      </c>
    </row>
    <row r="133" spans="1:19" ht="14.1" customHeight="1">
      <c r="A133" s="72">
        <f t="shared" si="6"/>
        <v>133</v>
      </c>
      <c r="B133" s="50" t="s">
        <v>806</v>
      </c>
      <c r="C133" s="50" t="s">
        <v>825</v>
      </c>
      <c r="D133" s="427" t="s">
        <v>1033</v>
      </c>
      <c r="E133" s="426" t="s">
        <v>196</v>
      </c>
      <c r="F133" s="349" t="s">
        <v>221</v>
      </c>
      <c r="G133" s="86" t="s">
        <v>226</v>
      </c>
      <c r="H133" s="86" t="s">
        <v>16</v>
      </c>
      <c r="I133" s="86" t="s">
        <v>781</v>
      </c>
      <c r="J133" s="343">
        <v>4.0700001716613796</v>
      </c>
      <c r="K133" s="351">
        <f t="shared" si="8"/>
        <v>201</v>
      </c>
      <c r="L133" s="352">
        <v>201</v>
      </c>
      <c r="M133" s="448" t="str">
        <f>IF(L133="nio","",VLOOKUP(L133,'3-Productie normen'!$B$31:$H$45,3,FALSE))</f>
        <v>5 x per week (40 weken + 1 Zomer refreshbeurt)</v>
      </c>
      <c r="N133" s="353" t="e">
        <f t="shared" si="9"/>
        <v>#DIV/0!</v>
      </c>
      <c r="O133" s="354">
        <f>IF(L133="nio",0,IF(L133&gt;0,VLOOKUP(H133,'3-Productie normen'!A:P,VLOOKUP(L133,'3-Productie normen'!$B$31:$C$45,2,FALSE),FALSE)))/VLOOKUP(B133,'2-Kosten per locatie'!$A$13:$D$36,4,FALSE)</f>
        <v>0</v>
      </c>
      <c r="P133" s="82" t="str">
        <f>VLOOKUP(H133,'3-Productie normen'!A:T,20,FALSE)</f>
        <v>S</v>
      </c>
      <c r="Q133" s="447" t="s">
        <v>899</v>
      </c>
      <c r="S133" s="356">
        <f t="shared" si="10"/>
        <v>818.07003450393734</v>
      </c>
    </row>
    <row r="134" spans="1:19" ht="14.1" customHeight="1">
      <c r="A134" s="72">
        <f t="shared" si="6"/>
        <v>134</v>
      </c>
      <c r="B134" s="50" t="s">
        <v>806</v>
      </c>
      <c r="C134" s="50" t="s">
        <v>825</v>
      </c>
      <c r="D134" s="427" t="s">
        <v>1033</v>
      </c>
      <c r="E134" s="426" t="s">
        <v>196</v>
      </c>
      <c r="F134" s="349" t="s">
        <v>223</v>
      </c>
      <c r="G134" s="86" t="s">
        <v>209</v>
      </c>
      <c r="H134" s="50" t="s">
        <v>1040</v>
      </c>
      <c r="I134" s="86" t="s">
        <v>780</v>
      </c>
      <c r="J134" s="343">
        <v>6.96000003814697</v>
      </c>
      <c r="K134" s="351">
        <f t="shared" si="8"/>
        <v>12</v>
      </c>
      <c r="L134" s="352">
        <v>12</v>
      </c>
      <c r="M134" s="448" t="str">
        <f>IF(L134="nio","",VLOOKUP(L134,'3-Productie normen'!$B$31:$H$45,3,FALSE))</f>
        <v>1 x per maand</v>
      </c>
      <c r="N134" s="353" t="e">
        <f t="shared" si="9"/>
        <v>#DIV/0!</v>
      </c>
      <c r="O134" s="354">
        <f>IF(L134="nio",0,IF(L134&gt;0,VLOOKUP(H134,'3-Productie normen'!A:P,VLOOKUP(L134,'3-Productie normen'!$B$31:$C$45,2,FALSE),FALSE)))/VLOOKUP(B134,'2-Kosten per locatie'!$A$13:$D$36,4,FALSE)</f>
        <v>0</v>
      </c>
      <c r="P134" s="82" t="str">
        <f>VLOOKUP(H134,'3-Productie normen'!A:T,20,FALSE)</f>
        <v>V</v>
      </c>
      <c r="Q134" s="447" t="s">
        <v>792</v>
      </c>
      <c r="S134" s="356">
        <f t="shared" si="10"/>
        <v>83.520000457763643</v>
      </c>
    </row>
    <row r="135" spans="1:19" ht="14.1" customHeight="1">
      <c r="A135" s="72">
        <f t="shared" si="6"/>
        <v>135</v>
      </c>
      <c r="B135" s="50" t="s">
        <v>806</v>
      </c>
      <c r="C135" s="50" t="s">
        <v>825</v>
      </c>
      <c r="D135" s="427" t="s">
        <v>1033</v>
      </c>
      <c r="E135" s="426" t="s">
        <v>196</v>
      </c>
      <c r="F135" s="349" t="s">
        <v>224</v>
      </c>
      <c r="G135" s="86" t="s">
        <v>222</v>
      </c>
      <c r="H135" s="86" t="s">
        <v>16</v>
      </c>
      <c r="I135" s="86" t="s">
        <v>781</v>
      </c>
      <c r="J135" s="343">
        <v>2.1400001049041699</v>
      </c>
      <c r="K135" s="351">
        <f t="shared" si="8"/>
        <v>201</v>
      </c>
      <c r="L135" s="352">
        <v>201</v>
      </c>
      <c r="M135" s="448" t="str">
        <f>IF(L135="nio","",VLOOKUP(L135,'3-Productie normen'!$B$31:$H$45,3,FALSE))</f>
        <v>5 x per week (40 weken + 1 Zomer refreshbeurt)</v>
      </c>
      <c r="N135" s="353" t="e">
        <f t="shared" si="9"/>
        <v>#DIV/0!</v>
      </c>
      <c r="O135" s="354">
        <f>IF(L135="nio",0,IF(L135&gt;0,VLOOKUP(H135,'3-Productie normen'!A:P,VLOOKUP(L135,'3-Productie normen'!$B$31:$C$45,2,FALSE),FALSE)))/VLOOKUP(B135,'2-Kosten per locatie'!$A$13:$D$36,4,FALSE)</f>
        <v>0</v>
      </c>
      <c r="P135" s="82" t="str">
        <f>VLOOKUP(H135,'3-Productie normen'!A:T,20,FALSE)</f>
        <v>S</v>
      </c>
      <c r="Q135" s="447" t="s">
        <v>857</v>
      </c>
      <c r="S135" s="356">
        <f t="shared" si="10"/>
        <v>430.14002108573817</v>
      </c>
    </row>
    <row r="136" spans="1:19" ht="14.1" customHeight="1">
      <c r="A136" s="72">
        <f t="shared" si="6"/>
        <v>136</v>
      </c>
      <c r="B136" s="50" t="s">
        <v>806</v>
      </c>
      <c r="C136" s="50" t="s">
        <v>825</v>
      </c>
      <c r="D136" s="427" t="s">
        <v>1033</v>
      </c>
      <c r="E136" s="426" t="s">
        <v>196</v>
      </c>
      <c r="F136" s="349" t="s">
        <v>225</v>
      </c>
      <c r="G136" s="86" t="s">
        <v>222</v>
      </c>
      <c r="H136" s="86" t="s">
        <v>16</v>
      </c>
      <c r="I136" s="86" t="s">
        <v>781</v>
      </c>
      <c r="J136" s="343">
        <v>2.1400001049041699</v>
      </c>
      <c r="K136" s="351">
        <f t="shared" si="8"/>
        <v>201</v>
      </c>
      <c r="L136" s="352">
        <v>201</v>
      </c>
      <c r="M136" s="448" t="str">
        <f>IF(L136="nio","",VLOOKUP(L136,'3-Productie normen'!$B$31:$H$45,3,FALSE))</f>
        <v>5 x per week (40 weken + 1 Zomer refreshbeurt)</v>
      </c>
      <c r="N136" s="353" t="e">
        <f t="shared" si="9"/>
        <v>#DIV/0!</v>
      </c>
      <c r="O136" s="354">
        <f>IF(L136="nio",0,IF(L136&gt;0,VLOOKUP(H136,'3-Productie normen'!A:P,VLOOKUP(L136,'3-Productie normen'!$B$31:$C$45,2,FALSE),FALSE)))/VLOOKUP(B136,'2-Kosten per locatie'!$A$13:$D$36,4,FALSE)</f>
        <v>0</v>
      </c>
      <c r="P136" s="82" t="str">
        <f>VLOOKUP(H136,'3-Productie normen'!A:T,20,FALSE)</f>
        <v>S</v>
      </c>
      <c r="Q136" s="447" t="s">
        <v>857</v>
      </c>
      <c r="S136" s="356">
        <f t="shared" si="10"/>
        <v>430.14002108573817</v>
      </c>
    </row>
    <row r="137" spans="1:19" ht="14.1" customHeight="1">
      <c r="A137" s="72">
        <f t="shared" si="6"/>
        <v>137</v>
      </c>
      <c r="B137" s="50" t="s">
        <v>806</v>
      </c>
      <c r="C137" s="50" t="s">
        <v>825</v>
      </c>
      <c r="D137" s="427" t="s">
        <v>1033</v>
      </c>
      <c r="E137" s="426" t="s">
        <v>196</v>
      </c>
      <c r="F137" s="349" t="s">
        <v>227</v>
      </c>
      <c r="G137" s="86" t="s">
        <v>206</v>
      </c>
      <c r="H137" s="65" t="s">
        <v>1053</v>
      </c>
      <c r="I137" s="86" t="s">
        <v>91</v>
      </c>
      <c r="J137" s="343">
        <v>1.1000000238418599</v>
      </c>
      <c r="K137" s="351" t="str">
        <f t="shared" si="8"/>
        <v>nio</v>
      </c>
      <c r="L137" s="352" t="s">
        <v>804</v>
      </c>
      <c r="M137" s="448" t="str">
        <f>IF(L137="nio","",VLOOKUP(L137,'3-Productie normen'!$B$31:$H$45,3,FALSE))</f>
        <v/>
      </c>
      <c r="N137" s="353">
        <f t="shared" si="9"/>
        <v>0</v>
      </c>
      <c r="O137" s="354">
        <f>IF(L137="nio",0,IF(L137&gt;0,VLOOKUP(H137,'3-Productie normen'!A:P,VLOOKUP(L137,'3-Productie normen'!$B$31:$C$45,2,FALSE),FALSE)))/VLOOKUP(B137,'2-Kosten per locatie'!$A$13:$D$36,4,FALSE)</f>
        <v>0</v>
      </c>
      <c r="P137" s="82">
        <f>VLOOKUP(H137,'3-Productie normen'!A:T,20,FALSE)</f>
        <v>0</v>
      </c>
      <c r="Q137" s="447" t="s">
        <v>889</v>
      </c>
      <c r="S137" s="356">
        <f t="shared" si="10"/>
        <v>0</v>
      </c>
    </row>
    <row r="138" spans="1:19" ht="14.1" customHeight="1">
      <c r="A138" s="72">
        <f t="shared" si="6"/>
        <v>138</v>
      </c>
      <c r="B138" s="50" t="s">
        <v>806</v>
      </c>
      <c r="C138" s="50" t="s">
        <v>825</v>
      </c>
      <c r="D138" s="427" t="s">
        <v>1033</v>
      </c>
      <c r="E138" s="426" t="s">
        <v>196</v>
      </c>
      <c r="F138" s="349" t="s">
        <v>414</v>
      </c>
      <c r="G138" s="86" t="s">
        <v>206</v>
      </c>
      <c r="H138" s="65" t="s">
        <v>1053</v>
      </c>
      <c r="I138" s="86" t="s">
        <v>92</v>
      </c>
      <c r="J138" s="343">
        <v>0.21999999880790699</v>
      </c>
      <c r="K138" s="351" t="str">
        <f t="shared" si="8"/>
        <v>nio</v>
      </c>
      <c r="L138" s="352" t="s">
        <v>804</v>
      </c>
      <c r="M138" s="448" t="str">
        <f>IF(L138="nio","",VLOOKUP(L138,'3-Productie normen'!$B$31:$H$45,3,FALSE))</f>
        <v/>
      </c>
      <c r="N138" s="353">
        <f t="shared" si="9"/>
        <v>0</v>
      </c>
      <c r="O138" s="354">
        <f>IF(L138="nio",0,IF(L138&gt;0,VLOOKUP(H138,'3-Productie normen'!A:P,VLOOKUP(L138,'3-Productie normen'!$B$31:$C$45,2,FALSE),FALSE)))/VLOOKUP(B138,'2-Kosten per locatie'!$A$13:$D$36,4,FALSE)</f>
        <v>0</v>
      </c>
      <c r="P138" s="82">
        <f>VLOOKUP(H138,'3-Productie normen'!A:T,20,FALSE)</f>
        <v>0</v>
      </c>
      <c r="Q138" s="447" t="s">
        <v>885</v>
      </c>
      <c r="S138" s="356">
        <f t="shared" si="10"/>
        <v>0</v>
      </c>
    </row>
    <row r="139" spans="1:19" ht="14.1" customHeight="1">
      <c r="A139" s="72">
        <f t="shared" ref="A139:A202" si="11">A138+1</f>
        <v>139</v>
      </c>
      <c r="B139" s="50" t="s">
        <v>806</v>
      </c>
      <c r="C139" s="50" t="s">
        <v>825</v>
      </c>
      <c r="D139" s="427" t="s">
        <v>1033</v>
      </c>
      <c r="E139" s="426" t="s">
        <v>196</v>
      </c>
      <c r="F139" s="349" t="s">
        <v>228</v>
      </c>
      <c r="G139" s="86" t="s">
        <v>328</v>
      </c>
      <c r="H139" s="86" t="s">
        <v>241</v>
      </c>
      <c r="I139" s="86" t="s">
        <v>793</v>
      </c>
      <c r="J139" s="343">
        <v>13.050000190734901</v>
      </c>
      <c r="K139" s="351">
        <f t="shared" si="8"/>
        <v>201</v>
      </c>
      <c r="L139" s="352">
        <v>201</v>
      </c>
      <c r="M139" s="448" t="str">
        <f>IF(L139="nio","",VLOOKUP(L139,'3-Productie normen'!$B$31:$H$45,3,FALSE))</f>
        <v>5 x per week (40 weken + 1 Zomer refreshbeurt)</v>
      </c>
      <c r="N139" s="353" t="e">
        <f t="shared" si="9"/>
        <v>#DIV/0!</v>
      </c>
      <c r="O139" s="354">
        <f>IF(L139="nio",0,IF(L139&gt;0,VLOOKUP(H139,'3-Productie normen'!A:P,VLOOKUP(L139,'3-Productie normen'!$B$31:$C$45,2,FALSE),FALSE)))/VLOOKUP(B139,'2-Kosten per locatie'!$A$13:$D$36,4,FALSE)</f>
        <v>0</v>
      </c>
      <c r="P139" s="82" t="str">
        <f>VLOOKUP(H139,'3-Productie normen'!A:T,20,FALSE)</f>
        <v>L</v>
      </c>
      <c r="Q139" s="447" t="s">
        <v>792</v>
      </c>
      <c r="S139" s="356">
        <f t="shared" si="10"/>
        <v>2623.0500383377148</v>
      </c>
    </row>
    <row r="140" spans="1:19" ht="14.1" customHeight="1">
      <c r="A140" s="72">
        <f t="shared" si="11"/>
        <v>140</v>
      </c>
      <c r="B140" s="50" t="s">
        <v>806</v>
      </c>
      <c r="C140" s="50" t="s">
        <v>825</v>
      </c>
      <c r="D140" s="427" t="s">
        <v>1033</v>
      </c>
      <c r="E140" s="426" t="s">
        <v>196</v>
      </c>
      <c r="F140" s="349" t="s">
        <v>230</v>
      </c>
      <c r="G140" s="86" t="s">
        <v>242</v>
      </c>
      <c r="H140" s="86" t="s">
        <v>241</v>
      </c>
      <c r="I140" s="86" t="s">
        <v>780</v>
      </c>
      <c r="J140" s="343">
        <v>55.409999847412102</v>
      </c>
      <c r="K140" s="351">
        <f t="shared" si="8"/>
        <v>201</v>
      </c>
      <c r="L140" s="352">
        <v>201</v>
      </c>
      <c r="M140" s="448" t="str">
        <f>IF(L140="nio","",VLOOKUP(L140,'3-Productie normen'!$B$31:$H$45,3,FALSE))</f>
        <v>5 x per week (40 weken + 1 Zomer refreshbeurt)</v>
      </c>
      <c r="N140" s="353" t="e">
        <f t="shared" si="9"/>
        <v>#DIV/0!</v>
      </c>
      <c r="O140" s="354">
        <f>IF(L140="nio",0,IF(L140&gt;0,VLOOKUP(H140,'3-Productie normen'!A:P,VLOOKUP(L140,'3-Productie normen'!$B$31:$C$45,2,FALSE),FALSE)))/VLOOKUP(B140,'2-Kosten per locatie'!$A$13:$D$36,4,FALSE)</f>
        <v>0</v>
      </c>
      <c r="P140" s="82" t="str">
        <f>VLOOKUP(H140,'3-Productie normen'!A:T,20,FALSE)</f>
        <v>L</v>
      </c>
      <c r="Q140" s="447" t="s">
        <v>876</v>
      </c>
      <c r="S140" s="356">
        <f t="shared" si="10"/>
        <v>11137.409969329832</v>
      </c>
    </row>
    <row r="141" spans="1:19" ht="14.1" customHeight="1">
      <c r="A141" s="72">
        <f t="shared" si="11"/>
        <v>141</v>
      </c>
      <c r="B141" s="50" t="s">
        <v>806</v>
      </c>
      <c r="C141" s="50" t="s">
        <v>825</v>
      </c>
      <c r="D141" s="427" t="s">
        <v>1033</v>
      </c>
      <c r="E141" s="426" t="s">
        <v>196</v>
      </c>
      <c r="F141" s="349" t="s">
        <v>230</v>
      </c>
      <c r="G141" s="86" t="s">
        <v>242</v>
      </c>
      <c r="H141" s="86" t="s">
        <v>241</v>
      </c>
      <c r="I141" s="86" t="s">
        <v>794</v>
      </c>
      <c r="J141" s="343">
        <v>0.60000002384185802</v>
      </c>
      <c r="K141" s="351">
        <f t="shared" si="8"/>
        <v>201</v>
      </c>
      <c r="L141" s="352">
        <v>201</v>
      </c>
      <c r="M141" s="448" t="str">
        <f>IF(L141="nio","",VLOOKUP(L141,'3-Productie normen'!$B$31:$H$45,3,FALSE))</f>
        <v>5 x per week (40 weken + 1 Zomer refreshbeurt)</v>
      </c>
      <c r="N141" s="353" t="e">
        <f t="shared" si="9"/>
        <v>#DIV/0!</v>
      </c>
      <c r="O141" s="354">
        <f>IF(L141="nio",0,IF(L141&gt;0,VLOOKUP(H141,'3-Productie normen'!A:P,VLOOKUP(L141,'3-Productie normen'!$B$31:$C$45,2,FALSE),FALSE)))/VLOOKUP(B141,'2-Kosten per locatie'!$A$13:$D$36,4,FALSE)</f>
        <v>0</v>
      </c>
      <c r="P141" s="82" t="str">
        <f>VLOOKUP(H141,'3-Productie normen'!A:T,20,FALSE)</f>
        <v>L</v>
      </c>
      <c r="Q141" s="447" t="s">
        <v>876</v>
      </c>
      <c r="S141" s="356">
        <f t="shared" si="10"/>
        <v>120.60000479221347</v>
      </c>
    </row>
    <row r="142" spans="1:19" ht="14.1" customHeight="1">
      <c r="A142" s="72">
        <f t="shared" si="11"/>
        <v>142</v>
      </c>
      <c r="B142" s="50" t="s">
        <v>806</v>
      </c>
      <c r="C142" s="50" t="s">
        <v>825</v>
      </c>
      <c r="D142" s="427" t="s">
        <v>1033</v>
      </c>
      <c r="E142" s="426" t="s">
        <v>196</v>
      </c>
      <c r="F142" s="349" t="s">
        <v>233</v>
      </c>
      <c r="G142" s="86" t="s">
        <v>298</v>
      </c>
      <c r="H142" s="86" t="s">
        <v>241</v>
      </c>
      <c r="I142" s="86" t="s">
        <v>794</v>
      </c>
      <c r="J142" s="343">
        <v>0.60000002384185802</v>
      </c>
      <c r="K142" s="351">
        <f t="shared" si="8"/>
        <v>201</v>
      </c>
      <c r="L142" s="352">
        <v>201</v>
      </c>
      <c r="M142" s="448" t="str">
        <f>IF(L142="nio","",VLOOKUP(L142,'3-Productie normen'!$B$31:$H$45,3,FALSE))</f>
        <v>5 x per week (40 weken + 1 Zomer refreshbeurt)</v>
      </c>
      <c r="N142" s="353" t="e">
        <f t="shared" si="9"/>
        <v>#DIV/0!</v>
      </c>
      <c r="O142" s="354">
        <f>IF(L142="nio",0,IF(L142&gt;0,VLOOKUP(H142,'3-Productie normen'!A:P,VLOOKUP(L142,'3-Productie normen'!$B$31:$C$45,2,FALSE),FALSE)))/VLOOKUP(B142,'2-Kosten per locatie'!$A$13:$D$36,4,FALSE)</f>
        <v>0</v>
      </c>
      <c r="P142" s="82" t="str">
        <f>VLOOKUP(H142,'3-Productie normen'!A:T,20,FALSE)</f>
        <v>L</v>
      </c>
      <c r="Q142" s="447" t="s">
        <v>875</v>
      </c>
      <c r="S142" s="356">
        <f t="shared" si="10"/>
        <v>120.60000479221347</v>
      </c>
    </row>
    <row r="143" spans="1:19" ht="14.1" customHeight="1">
      <c r="A143" s="72">
        <f t="shared" si="11"/>
        <v>143</v>
      </c>
      <c r="B143" s="50" t="s">
        <v>806</v>
      </c>
      <c r="C143" s="50" t="s">
        <v>825</v>
      </c>
      <c r="D143" s="427" t="s">
        <v>1033</v>
      </c>
      <c r="E143" s="426" t="s">
        <v>196</v>
      </c>
      <c r="F143" s="349" t="s">
        <v>233</v>
      </c>
      <c r="G143" s="86" t="s">
        <v>298</v>
      </c>
      <c r="H143" s="86" t="s">
        <v>241</v>
      </c>
      <c r="I143" s="86" t="s">
        <v>780</v>
      </c>
      <c r="J143" s="343">
        <v>55.409999847412102</v>
      </c>
      <c r="K143" s="351">
        <f t="shared" si="8"/>
        <v>201</v>
      </c>
      <c r="L143" s="352">
        <v>201</v>
      </c>
      <c r="M143" s="448" t="str">
        <f>IF(L143="nio","",VLOOKUP(L143,'3-Productie normen'!$B$31:$H$45,3,FALSE))</f>
        <v>5 x per week (40 weken + 1 Zomer refreshbeurt)</v>
      </c>
      <c r="N143" s="353" t="e">
        <f t="shared" si="9"/>
        <v>#DIV/0!</v>
      </c>
      <c r="O143" s="354">
        <f>IF(L143="nio",0,IF(L143&gt;0,VLOOKUP(H143,'3-Productie normen'!A:P,VLOOKUP(L143,'3-Productie normen'!$B$31:$C$45,2,FALSE),FALSE)))/VLOOKUP(B143,'2-Kosten per locatie'!$A$13:$D$36,4,FALSE)</f>
        <v>0</v>
      </c>
      <c r="P143" s="82" t="str">
        <f>VLOOKUP(H143,'3-Productie normen'!A:T,20,FALSE)</f>
        <v>L</v>
      </c>
      <c r="Q143" s="447" t="s">
        <v>875</v>
      </c>
      <c r="S143" s="356">
        <f t="shared" si="10"/>
        <v>11137.409969329832</v>
      </c>
    </row>
    <row r="144" spans="1:19" ht="14.1" customHeight="1">
      <c r="A144" s="72">
        <f t="shared" si="11"/>
        <v>144</v>
      </c>
      <c r="B144" s="50" t="s">
        <v>806</v>
      </c>
      <c r="C144" s="50" t="s">
        <v>825</v>
      </c>
      <c r="D144" s="427" t="s">
        <v>1033</v>
      </c>
      <c r="E144" s="426" t="s">
        <v>196</v>
      </c>
      <c r="F144" s="349" t="s">
        <v>234</v>
      </c>
      <c r="G144" s="86" t="s">
        <v>298</v>
      </c>
      <c r="H144" s="86" t="s">
        <v>241</v>
      </c>
      <c r="I144" s="86" t="s">
        <v>180</v>
      </c>
      <c r="J144" s="343">
        <v>0.60000002384185802</v>
      </c>
      <c r="K144" s="351">
        <f t="shared" si="8"/>
        <v>201</v>
      </c>
      <c r="L144" s="352">
        <v>201</v>
      </c>
      <c r="M144" s="448" t="str">
        <f>IF(L144="nio","",VLOOKUP(L144,'3-Productie normen'!$B$31:$H$45,3,FALSE))</f>
        <v>5 x per week (40 weken + 1 Zomer refreshbeurt)</v>
      </c>
      <c r="N144" s="353" t="e">
        <f t="shared" si="9"/>
        <v>#DIV/0!</v>
      </c>
      <c r="O144" s="354">
        <f>IF(L144="nio",0,IF(L144&gt;0,VLOOKUP(H144,'3-Productie normen'!A:P,VLOOKUP(L144,'3-Productie normen'!$B$31:$C$45,2,FALSE),FALSE)))/VLOOKUP(B144,'2-Kosten per locatie'!$A$13:$D$36,4,FALSE)</f>
        <v>0</v>
      </c>
      <c r="P144" s="82" t="str">
        <f>VLOOKUP(H144,'3-Productie normen'!A:T,20,FALSE)</f>
        <v>L</v>
      </c>
      <c r="Q144" s="447" t="s">
        <v>881</v>
      </c>
      <c r="S144" s="356">
        <f t="shared" si="10"/>
        <v>120.60000479221347</v>
      </c>
    </row>
    <row r="145" spans="1:19" ht="14.1" customHeight="1">
      <c r="A145" s="72">
        <f t="shared" si="11"/>
        <v>145</v>
      </c>
      <c r="B145" s="50" t="s">
        <v>806</v>
      </c>
      <c r="C145" s="50" t="s">
        <v>825</v>
      </c>
      <c r="D145" s="427" t="s">
        <v>1033</v>
      </c>
      <c r="E145" s="426" t="s">
        <v>196</v>
      </c>
      <c r="F145" s="349" t="s">
        <v>234</v>
      </c>
      <c r="G145" s="86" t="s">
        <v>298</v>
      </c>
      <c r="H145" s="86" t="s">
        <v>241</v>
      </c>
      <c r="I145" s="86" t="s">
        <v>780</v>
      </c>
      <c r="J145" s="343">
        <v>55.409999847412102</v>
      </c>
      <c r="K145" s="351">
        <f t="shared" si="8"/>
        <v>201</v>
      </c>
      <c r="L145" s="352">
        <v>201</v>
      </c>
      <c r="M145" s="448" t="str">
        <f>IF(L145="nio","",VLOOKUP(L145,'3-Productie normen'!$B$31:$H$45,3,FALSE))</f>
        <v>5 x per week (40 weken + 1 Zomer refreshbeurt)</v>
      </c>
      <c r="N145" s="353" t="e">
        <f t="shared" si="9"/>
        <v>#DIV/0!</v>
      </c>
      <c r="O145" s="354">
        <f>IF(L145="nio",0,IF(L145&gt;0,VLOOKUP(H145,'3-Productie normen'!A:P,VLOOKUP(L145,'3-Productie normen'!$B$31:$C$45,2,FALSE),FALSE)))/VLOOKUP(B145,'2-Kosten per locatie'!$A$13:$D$36,4,FALSE)</f>
        <v>0</v>
      </c>
      <c r="P145" s="82" t="str">
        <f>VLOOKUP(H145,'3-Productie normen'!A:T,20,FALSE)</f>
        <v>L</v>
      </c>
      <c r="Q145" s="447" t="s">
        <v>881</v>
      </c>
      <c r="S145" s="356">
        <f t="shared" si="10"/>
        <v>11137.409969329832</v>
      </c>
    </row>
    <row r="146" spans="1:19" ht="14.1" customHeight="1">
      <c r="A146" s="72">
        <f t="shared" si="11"/>
        <v>146</v>
      </c>
      <c r="B146" s="50" t="s">
        <v>806</v>
      </c>
      <c r="C146" s="50" t="s">
        <v>825</v>
      </c>
      <c r="D146" s="427" t="s">
        <v>1033</v>
      </c>
      <c r="E146" s="426" t="s">
        <v>196</v>
      </c>
      <c r="F146" s="349" t="s">
        <v>236</v>
      </c>
      <c r="G146" s="86" t="s">
        <v>222</v>
      </c>
      <c r="H146" s="86" t="s">
        <v>16</v>
      </c>
      <c r="I146" s="86" t="s">
        <v>781</v>
      </c>
      <c r="J146" s="343">
        <v>7.9200000762939498</v>
      </c>
      <c r="K146" s="351">
        <f t="shared" si="8"/>
        <v>224</v>
      </c>
      <c r="L146" s="352">
        <v>224</v>
      </c>
      <c r="M146" s="448" t="str">
        <f>IF(L146="nio","",VLOOKUP(L146,'3-Productie normen'!$B$31:$H$45,3,FALSE))</f>
        <v>5 x per week (40 weken) + (12x2 vakantie)</v>
      </c>
      <c r="N146" s="353" t="e">
        <f t="shared" ref="N146:N176" si="12">IF(L146="nio",0,IF(L146&gt;0,L146*J146/O146,0))</f>
        <v>#DIV/0!</v>
      </c>
      <c r="O146" s="354">
        <f>IF(L146="nio",0,IF(L146&gt;0,VLOOKUP(H146,'3-Productie normen'!A:P,VLOOKUP(L146,'3-Productie normen'!$B$31:$C$45,2,FALSE),FALSE)))/VLOOKUP(B146,'2-Kosten per locatie'!$A$13:$D$36,4,FALSE)</f>
        <v>0</v>
      </c>
      <c r="P146" s="82" t="str">
        <f>VLOOKUP(H146,'3-Productie normen'!A:T,20,FALSE)</f>
        <v>S</v>
      </c>
      <c r="Q146" s="447" t="s">
        <v>908</v>
      </c>
      <c r="S146" s="356">
        <f t="shared" ref="S146:S176" si="13">IF(L146="nio",0,K146*J146)</f>
        <v>1774.0800170898447</v>
      </c>
    </row>
    <row r="147" spans="1:19" ht="14.1" customHeight="1">
      <c r="A147" s="72">
        <f t="shared" si="11"/>
        <v>147</v>
      </c>
      <c r="B147" s="50" t="s">
        <v>806</v>
      </c>
      <c r="C147" s="50" t="s">
        <v>825</v>
      </c>
      <c r="D147" s="427" t="s">
        <v>1033</v>
      </c>
      <c r="E147" s="426" t="s">
        <v>196</v>
      </c>
      <c r="F147" s="349" t="s">
        <v>237</v>
      </c>
      <c r="G147" s="86" t="s">
        <v>283</v>
      </c>
      <c r="H147" s="86" t="s">
        <v>203</v>
      </c>
      <c r="I147" s="86" t="s">
        <v>793</v>
      </c>
      <c r="J147" s="343">
        <v>22.5</v>
      </c>
      <c r="K147" s="351">
        <f t="shared" ref="K147:K176" si="14">L147</f>
        <v>120</v>
      </c>
      <c r="L147" s="352">
        <v>120</v>
      </c>
      <c r="M147" s="448" t="str">
        <f>IF(L147="nio","",VLOOKUP(L147,'3-Productie normen'!$B$31:$H$45,3,FALSE))</f>
        <v>3 x per week (40 weken)</v>
      </c>
      <c r="N147" s="353" t="e">
        <f t="shared" si="12"/>
        <v>#DIV/0!</v>
      </c>
      <c r="O147" s="354">
        <f>IF(L147="nio",0,IF(L147&gt;0,VLOOKUP(H147,'3-Productie normen'!A:P,VLOOKUP(L147,'3-Productie normen'!$B$31:$C$45,2,FALSE),FALSE)))/VLOOKUP(B147,'2-Kosten per locatie'!$A$13:$D$36,4,FALSE)</f>
        <v>0</v>
      </c>
      <c r="P147" s="82" t="str">
        <f>VLOOKUP(H147,'3-Productie normen'!A:T,20,FALSE)</f>
        <v>B</v>
      </c>
      <c r="Q147" s="447" t="s">
        <v>792</v>
      </c>
      <c r="S147" s="356">
        <f t="shared" si="13"/>
        <v>2700</v>
      </c>
    </row>
    <row r="148" spans="1:19" ht="14.1" customHeight="1">
      <c r="A148" s="72">
        <f t="shared" si="11"/>
        <v>148</v>
      </c>
      <c r="B148" s="50" t="s">
        <v>806</v>
      </c>
      <c r="C148" s="50" t="s">
        <v>825</v>
      </c>
      <c r="D148" s="427" t="s">
        <v>1033</v>
      </c>
      <c r="E148" s="426" t="s">
        <v>196</v>
      </c>
      <c r="F148" s="349" t="s">
        <v>240</v>
      </c>
      <c r="G148" s="86" t="s">
        <v>201</v>
      </c>
      <c r="H148" s="432" t="s">
        <v>198</v>
      </c>
      <c r="I148" s="86" t="s">
        <v>793</v>
      </c>
      <c r="J148" s="343">
        <v>5.8800001144409197</v>
      </c>
      <c r="K148" s="351">
        <f t="shared" si="14"/>
        <v>200</v>
      </c>
      <c r="L148" s="352">
        <v>200</v>
      </c>
      <c r="M148" s="448" t="str">
        <f>IF(L148="nio","",VLOOKUP(L148,'3-Productie normen'!$B$31:$H$45,3,FALSE))</f>
        <v>5 x per week (40 weken)</v>
      </c>
      <c r="N148" s="353" t="e">
        <f t="shared" si="12"/>
        <v>#DIV/0!</v>
      </c>
      <c r="O148" s="354">
        <f>IF(L148="nio",0,IF(L148&gt;0,VLOOKUP(H148,'3-Productie normen'!A:P,VLOOKUP(L148,'3-Productie normen'!$B$31:$C$45,2,FALSE),FALSE)))/VLOOKUP(B148,'2-Kosten per locatie'!$A$13:$D$36,4,FALSE)</f>
        <v>0</v>
      </c>
      <c r="P148" s="82" t="str">
        <f>VLOOKUP(H148,'3-Productie normen'!A:T,20,FALSE)</f>
        <v>V</v>
      </c>
      <c r="Q148" s="447" t="s">
        <v>792</v>
      </c>
      <c r="S148" s="356">
        <f t="shared" si="13"/>
        <v>1176.000022888184</v>
      </c>
    </row>
    <row r="149" spans="1:19" ht="14.1" customHeight="1">
      <c r="A149" s="72">
        <f t="shared" si="11"/>
        <v>149</v>
      </c>
      <c r="B149" s="50" t="s">
        <v>806</v>
      </c>
      <c r="C149" s="50" t="s">
        <v>825</v>
      </c>
      <c r="D149" s="427" t="s">
        <v>1033</v>
      </c>
      <c r="E149" s="426" t="s">
        <v>196</v>
      </c>
      <c r="F149" s="349" t="s">
        <v>243</v>
      </c>
      <c r="G149" s="86" t="s">
        <v>242</v>
      </c>
      <c r="H149" s="86" t="s">
        <v>241</v>
      </c>
      <c r="I149" s="86" t="s">
        <v>780</v>
      </c>
      <c r="J149" s="343">
        <v>55.509998321533203</v>
      </c>
      <c r="K149" s="351">
        <f t="shared" si="14"/>
        <v>201</v>
      </c>
      <c r="L149" s="352">
        <v>201</v>
      </c>
      <c r="M149" s="448" t="str">
        <f>IF(L149="nio","",VLOOKUP(L149,'3-Productie normen'!$B$31:$H$45,3,FALSE))</f>
        <v>5 x per week (40 weken + 1 Zomer refreshbeurt)</v>
      </c>
      <c r="N149" s="353" t="e">
        <f t="shared" si="12"/>
        <v>#DIV/0!</v>
      </c>
      <c r="O149" s="354">
        <f>IF(L149="nio",0,IF(L149&gt;0,VLOOKUP(H149,'3-Productie normen'!A:P,VLOOKUP(L149,'3-Productie normen'!$B$31:$C$45,2,FALSE),FALSE)))/VLOOKUP(B149,'2-Kosten per locatie'!$A$13:$D$36,4,FALSE)</f>
        <v>0</v>
      </c>
      <c r="P149" s="82" t="str">
        <f>VLOOKUP(H149,'3-Productie normen'!A:T,20,FALSE)</f>
        <v>L</v>
      </c>
      <c r="Q149" s="447" t="s">
        <v>880</v>
      </c>
      <c r="S149" s="356">
        <f t="shared" si="13"/>
        <v>11157.509662628174</v>
      </c>
    </row>
    <row r="150" spans="1:19" ht="14.1" customHeight="1">
      <c r="A150" s="72">
        <f t="shared" si="11"/>
        <v>150</v>
      </c>
      <c r="B150" s="50" t="s">
        <v>806</v>
      </c>
      <c r="C150" s="50" t="s">
        <v>825</v>
      </c>
      <c r="D150" s="427" t="s">
        <v>1033</v>
      </c>
      <c r="E150" s="426" t="s">
        <v>196</v>
      </c>
      <c r="F150" s="349" t="s">
        <v>243</v>
      </c>
      <c r="G150" s="86" t="s">
        <v>242</v>
      </c>
      <c r="H150" s="86" t="s">
        <v>241</v>
      </c>
      <c r="I150" s="86" t="s">
        <v>180</v>
      </c>
      <c r="J150" s="343">
        <v>0.60000002384185802</v>
      </c>
      <c r="K150" s="351">
        <f t="shared" si="14"/>
        <v>201</v>
      </c>
      <c r="L150" s="352">
        <v>201</v>
      </c>
      <c r="M150" s="448" t="str">
        <f>IF(L150="nio","",VLOOKUP(L150,'3-Productie normen'!$B$31:$H$45,3,FALSE))</f>
        <v>5 x per week (40 weken + 1 Zomer refreshbeurt)</v>
      </c>
      <c r="N150" s="353" t="e">
        <f t="shared" si="12"/>
        <v>#DIV/0!</v>
      </c>
      <c r="O150" s="354">
        <f>IF(L150="nio",0,IF(L150&gt;0,VLOOKUP(H150,'3-Productie normen'!A:P,VLOOKUP(L150,'3-Productie normen'!$B$31:$C$45,2,FALSE),FALSE)))/VLOOKUP(B150,'2-Kosten per locatie'!$A$13:$D$36,4,FALSE)</f>
        <v>0</v>
      </c>
      <c r="P150" s="82" t="str">
        <f>VLOOKUP(H150,'3-Productie normen'!A:T,20,FALSE)</f>
        <v>L</v>
      </c>
      <c r="Q150" s="447" t="s">
        <v>880</v>
      </c>
      <c r="S150" s="356">
        <f t="shared" si="13"/>
        <v>120.60000479221347</v>
      </c>
    </row>
    <row r="151" spans="1:19" ht="14.1" customHeight="1">
      <c r="A151" s="72">
        <f t="shared" si="11"/>
        <v>151</v>
      </c>
      <c r="B151" s="50" t="s">
        <v>806</v>
      </c>
      <c r="C151" s="50" t="s">
        <v>825</v>
      </c>
      <c r="D151" s="427" t="s">
        <v>1033</v>
      </c>
      <c r="E151" s="426" t="s">
        <v>196</v>
      </c>
      <c r="F151" s="349" t="s">
        <v>244</v>
      </c>
      <c r="G151" s="86" t="s">
        <v>298</v>
      </c>
      <c r="H151" s="86" t="s">
        <v>241</v>
      </c>
      <c r="I151" s="86" t="s">
        <v>180</v>
      </c>
      <c r="J151" s="343">
        <v>0.60000002384185802</v>
      </c>
      <c r="K151" s="351">
        <f t="shared" si="14"/>
        <v>201</v>
      </c>
      <c r="L151" s="352">
        <v>201</v>
      </c>
      <c r="M151" s="448" t="str">
        <f>IF(L151="nio","",VLOOKUP(L151,'3-Productie normen'!$B$31:$H$45,3,FALSE))</f>
        <v>5 x per week (40 weken + 1 Zomer refreshbeurt)</v>
      </c>
      <c r="N151" s="353" t="e">
        <f t="shared" si="12"/>
        <v>#DIV/0!</v>
      </c>
      <c r="O151" s="354">
        <f>IF(L151="nio",0,IF(L151&gt;0,VLOOKUP(H151,'3-Productie normen'!A:P,VLOOKUP(L151,'3-Productie normen'!$B$31:$C$45,2,FALSE),FALSE)))/VLOOKUP(B151,'2-Kosten per locatie'!$A$13:$D$36,4,FALSE)</f>
        <v>0</v>
      </c>
      <c r="P151" s="82" t="str">
        <f>VLOOKUP(H151,'3-Productie normen'!A:T,20,FALSE)</f>
        <v>L</v>
      </c>
      <c r="Q151" s="447" t="s">
        <v>884</v>
      </c>
      <c r="S151" s="356">
        <f t="shared" si="13"/>
        <v>120.60000479221347</v>
      </c>
    </row>
    <row r="152" spans="1:19" ht="14.1" customHeight="1">
      <c r="A152" s="72">
        <f t="shared" si="11"/>
        <v>152</v>
      </c>
      <c r="B152" s="50" t="s">
        <v>806</v>
      </c>
      <c r="C152" s="50" t="s">
        <v>825</v>
      </c>
      <c r="D152" s="427" t="s">
        <v>1033</v>
      </c>
      <c r="E152" s="426" t="s">
        <v>196</v>
      </c>
      <c r="F152" s="349" t="s">
        <v>244</v>
      </c>
      <c r="G152" s="86" t="s">
        <v>298</v>
      </c>
      <c r="H152" s="86" t="s">
        <v>241</v>
      </c>
      <c r="I152" s="86" t="s">
        <v>780</v>
      </c>
      <c r="J152" s="343">
        <v>55.569999694824197</v>
      </c>
      <c r="K152" s="351">
        <f t="shared" si="14"/>
        <v>201</v>
      </c>
      <c r="L152" s="352">
        <v>201</v>
      </c>
      <c r="M152" s="448" t="str">
        <f>IF(L152="nio","",VLOOKUP(L152,'3-Productie normen'!$B$31:$H$45,3,FALSE))</f>
        <v>5 x per week (40 weken + 1 Zomer refreshbeurt)</v>
      </c>
      <c r="N152" s="353" t="e">
        <f t="shared" si="12"/>
        <v>#DIV/0!</v>
      </c>
      <c r="O152" s="354">
        <f>IF(L152="nio",0,IF(L152&gt;0,VLOOKUP(H152,'3-Productie normen'!A:P,VLOOKUP(L152,'3-Productie normen'!$B$31:$C$45,2,FALSE),FALSE)))/VLOOKUP(B152,'2-Kosten per locatie'!$A$13:$D$36,4,FALSE)</f>
        <v>0</v>
      </c>
      <c r="P152" s="82" t="str">
        <f>VLOOKUP(H152,'3-Productie normen'!A:T,20,FALSE)</f>
        <v>L</v>
      </c>
      <c r="Q152" s="447" t="s">
        <v>884</v>
      </c>
      <c r="S152" s="356">
        <f t="shared" si="13"/>
        <v>11169.569938659664</v>
      </c>
    </row>
    <row r="153" spans="1:19" ht="14.1" customHeight="1">
      <c r="A153" s="72">
        <f t="shared" si="11"/>
        <v>153</v>
      </c>
      <c r="B153" s="50" t="s">
        <v>806</v>
      </c>
      <c r="C153" s="50" t="s">
        <v>825</v>
      </c>
      <c r="D153" s="427" t="s">
        <v>1033</v>
      </c>
      <c r="E153" s="426" t="s">
        <v>196</v>
      </c>
      <c r="F153" s="349" t="s">
        <v>245</v>
      </c>
      <c r="G153" s="86" t="s">
        <v>226</v>
      </c>
      <c r="H153" s="86" t="s">
        <v>16</v>
      </c>
      <c r="I153" s="86" t="s">
        <v>781</v>
      </c>
      <c r="J153" s="343">
        <v>27.530000686645501</v>
      </c>
      <c r="K153" s="351">
        <f t="shared" si="14"/>
        <v>201</v>
      </c>
      <c r="L153" s="352">
        <v>201</v>
      </c>
      <c r="M153" s="448" t="str">
        <f>IF(L153="nio","",VLOOKUP(L153,'3-Productie normen'!$B$31:$H$45,3,FALSE))</f>
        <v>5 x per week (40 weken + 1 Zomer refreshbeurt)</v>
      </c>
      <c r="N153" s="353" t="e">
        <f t="shared" si="12"/>
        <v>#DIV/0!</v>
      </c>
      <c r="O153" s="354">
        <f>IF(L153="nio",0,IF(L153&gt;0,VLOOKUP(H153,'3-Productie normen'!A:P,VLOOKUP(L153,'3-Productie normen'!$B$31:$C$45,2,FALSE),FALSE)))/VLOOKUP(B153,'2-Kosten per locatie'!$A$13:$D$36,4,FALSE)</f>
        <v>0</v>
      </c>
      <c r="P153" s="82" t="str">
        <f>VLOOKUP(H153,'3-Productie normen'!A:T,20,FALSE)</f>
        <v>S</v>
      </c>
      <c r="Q153" s="447" t="s">
        <v>909</v>
      </c>
      <c r="S153" s="356">
        <f t="shared" si="13"/>
        <v>5533.5301380157453</v>
      </c>
    </row>
    <row r="154" spans="1:19" ht="14.1" customHeight="1">
      <c r="A154" s="72">
        <f t="shared" si="11"/>
        <v>154</v>
      </c>
      <c r="B154" s="50" t="s">
        <v>806</v>
      </c>
      <c r="C154" s="50" t="s">
        <v>825</v>
      </c>
      <c r="D154" s="427" t="s">
        <v>1034</v>
      </c>
      <c r="E154" s="426" t="s">
        <v>196</v>
      </c>
      <c r="F154" s="349" t="s">
        <v>330</v>
      </c>
      <c r="G154" s="86" t="s">
        <v>394</v>
      </c>
      <c r="H154" s="65" t="s">
        <v>731</v>
      </c>
      <c r="I154" s="86" t="s">
        <v>180</v>
      </c>
      <c r="J154" s="343">
        <v>0.60000002384185802</v>
      </c>
      <c r="K154" s="351">
        <f t="shared" si="14"/>
        <v>201</v>
      </c>
      <c r="L154" s="352">
        <v>201</v>
      </c>
      <c r="M154" s="448" t="str">
        <f>IF(L154="nio","",VLOOKUP(L154,'3-Productie normen'!$B$31:$H$45,3,FALSE))</f>
        <v>5 x per week (40 weken + 1 Zomer refreshbeurt)</v>
      </c>
      <c r="N154" s="353" t="e">
        <f t="shared" si="12"/>
        <v>#DIV/0!</v>
      </c>
      <c r="O154" s="354">
        <f>IF(L154="nio",0,IF(L154&gt;0,VLOOKUP(H154,'3-Productie normen'!A:P,VLOOKUP(L154,'3-Productie normen'!$B$31:$C$45,2,FALSE),FALSE)))/VLOOKUP(B154,'2-Kosten per locatie'!$A$13:$D$36,4,FALSE)</f>
        <v>0</v>
      </c>
      <c r="P154" s="82" t="str">
        <f>VLOOKUP(H154,'3-Productie normen'!A:T,20,FALSE)</f>
        <v>V</v>
      </c>
      <c r="Q154" s="447" t="s">
        <v>792</v>
      </c>
      <c r="S154" s="356">
        <f t="shared" si="13"/>
        <v>120.60000479221347</v>
      </c>
    </row>
    <row r="155" spans="1:19" ht="14.1" customHeight="1">
      <c r="A155" s="72">
        <f t="shared" si="11"/>
        <v>155</v>
      </c>
      <c r="B155" s="50" t="s">
        <v>806</v>
      </c>
      <c r="C155" s="50" t="s">
        <v>825</v>
      </c>
      <c r="D155" s="427" t="s">
        <v>1034</v>
      </c>
      <c r="E155" s="426" t="s">
        <v>196</v>
      </c>
      <c r="F155" s="349" t="s">
        <v>330</v>
      </c>
      <c r="G155" s="86" t="s">
        <v>394</v>
      </c>
      <c r="H155" s="65" t="s">
        <v>731</v>
      </c>
      <c r="I155" s="86" t="s">
        <v>780</v>
      </c>
      <c r="J155" s="343">
        <v>57.799999237060497</v>
      </c>
      <c r="K155" s="351">
        <f t="shared" si="14"/>
        <v>201</v>
      </c>
      <c r="L155" s="352">
        <v>201</v>
      </c>
      <c r="M155" s="448" t="str">
        <f>IF(L155="nio","",VLOOKUP(L155,'3-Productie normen'!$B$31:$H$45,3,FALSE))</f>
        <v>5 x per week (40 weken + 1 Zomer refreshbeurt)</v>
      </c>
      <c r="N155" s="353" t="e">
        <f t="shared" si="12"/>
        <v>#DIV/0!</v>
      </c>
      <c r="O155" s="354">
        <f>IF(L155="nio",0,IF(L155&gt;0,VLOOKUP(H155,'3-Productie normen'!A:P,VLOOKUP(L155,'3-Productie normen'!$B$31:$C$45,2,FALSE),FALSE)))/VLOOKUP(B155,'2-Kosten per locatie'!$A$13:$D$36,4,FALSE)</f>
        <v>0</v>
      </c>
      <c r="P155" s="82" t="str">
        <f>VLOOKUP(H155,'3-Productie normen'!A:T,20,FALSE)</f>
        <v>V</v>
      </c>
      <c r="Q155" s="447" t="s">
        <v>792</v>
      </c>
      <c r="S155" s="356">
        <f t="shared" si="13"/>
        <v>11617.799846649161</v>
      </c>
    </row>
    <row r="156" spans="1:19" ht="14.1" customHeight="1">
      <c r="A156" s="72">
        <f t="shared" si="11"/>
        <v>156</v>
      </c>
      <c r="B156" s="50" t="s">
        <v>806</v>
      </c>
      <c r="C156" s="50" t="s">
        <v>825</v>
      </c>
      <c r="D156" s="427" t="s">
        <v>1034</v>
      </c>
      <c r="E156" s="426" t="s">
        <v>196</v>
      </c>
      <c r="F156" s="349" t="s">
        <v>331</v>
      </c>
      <c r="G156" s="65" t="s">
        <v>1134</v>
      </c>
      <c r="H156" s="65" t="s">
        <v>241</v>
      </c>
      <c r="I156" s="86" t="s">
        <v>780</v>
      </c>
      <c r="J156" s="343">
        <v>50.720001220703097</v>
      </c>
      <c r="K156" s="351">
        <f t="shared" si="14"/>
        <v>201</v>
      </c>
      <c r="L156" s="352">
        <v>201</v>
      </c>
      <c r="M156" s="448" t="str">
        <f>IF(L156="nio","",VLOOKUP(L156,'3-Productie normen'!$B$31:$H$45,3,FALSE))</f>
        <v>5 x per week (40 weken + 1 Zomer refreshbeurt)</v>
      </c>
      <c r="N156" s="353" t="e">
        <f t="shared" si="12"/>
        <v>#DIV/0!</v>
      </c>
      <c r="O156" s="354">
        <f>IF(L156="nio",0,IF(L156&gt;0,VLOOKUP(H156,'3-Productie normen'!A:P,VLOOKUP(L156,'3-Productie normen'!$B$31:$C$45,2,FALSE),FALSE)))/VLOOKUP(B156,'2-Kosten per locatie'!$A$13:$D$36,4,FALSE)</f>
        <v>0</v>
      </c>
      <c r="P156" s="82" t="str">
        <f>VLOOKUP(H156,'3-Productie normen'!A:T,20,FALSE)</f>
        <v>L</v>
      </c>
      <c r="Q156" s="447" t="s">
        <v>792</v>
      </c>
      <c r="S156" s="356">
        <f t="shared" si="13"/>
        <v>10194.720245361323</v>
      </c>
    </row>
    <row r="157" spans="1:19" ht="14.1" customHeight="1">
      <c r="A157" s="72">
        <f t="shared" si="11"/>
        <v>157</v>
      </c>
      <c r="B157" s="50" t="s">
        <v>806</v>
      </c>
      <c r="C157" s="50" t="s">
        <v>825</v>
      </c>
      <c r="D157" s="427" t="s">
        <v>1034</v>
      </c>
      <c r="E157" s="426" t="s">
        <v>196</v>
      </c>
      <c r="F157" s="349" t="s">
        <v>332</v>
      </c>
      <c r="G157" s="86" t="s">
        <v>396</v>
      </c>
      <c r="H157" s="50" t="s">
        <v>1040</v>
      </c>
      <c r="I157" s="86" t="s">
        <v>780</v>
      </c>
      <c r="J157" s="343">
        <v>5.4400000572204599</v>
      </c>
      <c r="K157" s="351">
        <f t="shared" si="14"/>
        <v>12</v>
      </c>
      <c r="L157" s="352">
        <v>12</v>
      </c>
      <c r="M157" s="448" t="str">
        <f>IF(L157="nio","",VLOOKUP(L157,'3-Productie normen'!$B$31:$H$45,3,FALSE))</f>
        <v>1 x per maand</v>
      </c>
      <c r="N157" s="353" t="e">
        <f t="shared" si="12"/>
        <v>#DIV/0!</v>
      </c>
      <c r="O157" s="354">
        <f>IF(L157="nio",0,IF(L157&gt;0,VLOOKUP(H157,'3-Productie normen'!A:P,VLOOKUP(L157,'3-Productie normen'!$B$31:$C$45,2,FALSE),FALSE)))/VLOOKUP(B157,'2-Kosten per locatie'!$A$13:$D$36,4,FALSE)</f>
        <v>0</v>
      </c>
      <c r="P157" s="82" t="str">
        <f>VLOOKUP(H157,'3-Productie normen'!A:T,20,FALSE)</f>
        <v>V</v>
      </c>
      <c r="Q157" s="447" t="s">
        <v>903</v>
      </c>
      <c r="S157" s="356">
        <f t="shared" si="13"/>
        <v>65.280000686645522</v>
      </c>
    </row>
    <row r="158" spans="1:19" ht="14.1" customHeight="1">
      <c r="A158" s="72">
        <f t="shared" si="11"/>
        <v>158</v>
      </c>
      <c r="B158" s="50" t="s">
        <v>806</v>
      </c>
      <c r="C158" s="50" t="s">
        <v>825</v>
      </c>
      <c r="D158" s="427" t="s">
        <v>1034</v>
      </c>
      <c r="E158" s="426" t="s">
        <v>196</v>
      </c>
      <c r="F158" s="349" t="s">
        <v>333</v>
      </c>
      <c r="G158" s="86" t="s">
        <v>415</v>
      </c>
      <c r="H158" s="65" t="s">
        <v>1093</v>
      </c>
      <c r="I158" s="86" t="s">
        <v>780</v>
      </c>
      <c r="J158" s="343">
        <v>13.4799995422363</v>
      </c>
      <c r="K158" s="351">
        <f t="shared" si="14"/>
        <v>200</v>
      </c>
      <c r="L158" s="352">
        <v>200</v>
      </c>
      <c r="M158" s="448" t="str">
        <f>IF(L158="nio","",VLOOKUP(L158,'3-Productie normen'!$B$31:$H$45,3,FALSE))</f>
        <v>5 x per week (40 weken)</v>
      </c>
      <c r="N158" s="353" t="e">
        <f t="shared" si="12"/>
        <v>#DIV/0!</v>
      </c>
      <c r="O158" s="354">
        <f>IF(L158="nio",0,IF(L158&gt;0,VLOOKUP(H158,'3-Productie normen'!A:P,VLOOKUP(L158,'3-Productie normen'!$B$31:$C$45,2,FALSE),FALSE)))/VLOOKUP(B158,'2-Kosten per locatie'!$A$13:$D$36,4,FALSE)</f>
        <v>0</v>
      </c>
      <c r="P158" s="82" t="str">
        <f>VLOOKUP(H158,'3-Productie normen'!A:T,20,FALSE)</f>
        <v>V</v>
      </c>
      <c r="Q158" s="447" t="s">
        <v>792</v>
      </c>
      <c r="S158" s="356">
        <f t="shared" si="13"/>
        <v>2695.9999084472602</v>
      </c>
    </row>
    <row r="159" spans="1:19" ht="14.1" customHeight="1">
      <c r="A159" s="72">
        <f t="shared" si="11"/>
        <v>159</v>
      </c>
      <c r="B159" s="50" t="s">
        <v>806</v>
      </c>
      <c r="C159" s="50" t="s">
        <v>825</v>
      </c>
      <c r="D159" s="427" t="s">
        <v>1033</v>
      </c>
      <c r="E159" s="426" t="s">
        <v>196</v>
      </c>
      <c r="F159" s="349" t="s">
        <v>334</v>
      </c>
      <c r="G159" s="86" t="s">
        <v>242</v>
      </c>
      <c r="H159" s="86" t="s">
        <v>241</v>
      </c>
      <c r="I159" s="86" t="s">
        <v>780</v>
      </c>
      <c r="J159" s="343">
        <v>55.810001373291001</v>
      </c>
      <c r="K159" s="351">
        <f t="shared" si="14"/>
        <v>201</v>
      </c>
      <c r="L159" s="352">
        <v>201</v>
      </c>
      <c r="M159" s="448" t="str">
        <f>IF(L159="nio","",VLOOKUP(L159,'3-Productie normen'!$B$31:$H$45,3,FALSE))</f>
        <v>5 x per week (40 weken + 1 Zomer refreshbeurt)</v>
      </c>
      <c r="N159" s="353" t="e">
        <f t="shared" si="12"/>
        <v>#DIV/0!</v>
      </c>
      <c r="O159" s="354">
        <f>IF(L159="nio",0,IF(L159&gt;0,VLOOKUP(H159,'3-Productie normen'!A:P,VLOOKUP(L159,'3-Productie normen'!$B$31:$C$45,2,FALSE),FALSE)))/VLOOKUP(B159,'2-Kosten per locatie'!$A$13:$D$36,4,FALSE)</f>
        <v>0</v>
      </c>
      <c r="P159" s="82" t="str">
        <f>VLOOKUP(H159,'3-Productie normen'!A:T,20,FALSE)</f>
        <v>L</v>
      </c>
      <c r="Q159" s="447" t="s">
        <v>879</v>
      </c>
      <c r="S159" s="356">
        <f t="shared" si="13"/>
        <v>11217.810276031491</v>
      </c>
    </row>
    <row r="160" spans="1:19" ht="14.1" customHeight="1">
      <c r="A160" s="72">
        <f t="shared" si="11"/>
        <v>160</v>
      </c>
      <c r="B160" s="50" t="s">
        <v>806</v>
      </c>
      <c r="C160" s="50" t="s">
        <v>825</v>
      </c>
      <c r="D160" s="427" t="s">
        <v>1033</v>
      </c>
      <c r="E160" s="426" t="s">
        <v>196</v>
      </c>
      <c r="F160" s="349" t="s">
        <v>334</v>
      </c>
      <c r="G160" s="86" t="s">
        <v>242</v>
      </c>
      <c r="H160" s="86" t="s">
        <v>241</v>
      </c>
      <c r="I160" s="86" t="s">
        <v>180</v>
      </c>
      <c r="J160" s="343">
        <v>0.60000002384185802</v>
      </c>
      <c r="K160" s="351">
        <f t="shared" si="14"/>
        <v>224</v>
      </c>
      <c r="L160" s="352">
        <v>224</v>
      </c>
      <c r="M160" s="448" t="str">
        <f>IF(L160="nio","",VLOOKUP(L160,'3-Productie normen'!$B$31:$H$45,3,FALSE))</f>
        <v>5 x per week (40 weken) + (12x2 vakantie)</v>
      </c>
      <c r="N160" s="353" t="e">
        <f t="shared" si="12"/>
        <v>#DIV/0!</v>
      </c>
      <c r="O160" s="354">
        <f>IF(L160="nio",0,IF(L160&gt;0,VLOOKUP(H160,'3-Productie normen'!A:P,VLOOKUP(L160,'3-Productie normen'!$B$31:$C$45,2,FALSE),FALSE)))/VLOOKUP(B160,'2-Kosten per locatie'!$A$13:$D$36,4,FALSE)</f>
        <v>0</v>
      </c>
      <c r="P160" s="82" t="str">
        <f>VLOOKUP(H160,'3-Productie normen'!A:T,20,FALSE)</f>
        <v>L</v>
      </c>
      <c r="Q160" s="447" t="s">
        <v>879</v>
      </c>
      <c r="S160" s="356">
        <f t="shared" si="13"/>
        <v>134.4000053405762</v>
      </c>
    </row>
    <row r="161" spans="1:19" ht="14.1" customHeight="1">
      <c r="A161" s="72">
        <f t="shared" si="11"/>
        <v>161</v>
      </c>
      <c r="B161" s="50" t="s">
        <v>806</v>
      </c>
      <c r="C161" s="50" t="s">
        <v>825</v>
      </c>
      <c r="D161" s="427" t="s">
        <v>1033</v>
      </c>
      <c r="E161" s="426" t="s">
        <v>196</v>
      </c>
      <c r="F161" s="349" t="s">
        <v>336</v>
      </c>
      <c r="G161" s="86" t="s">
        <v>201</v>
      </c>
      <c r="H161" s="432" t="s">
        <v>198</v>
      </c>
      <c r="I161" s="86" t="s">
        <v>91</v>
      </c>
      <c r="J161" s="343">
        <v>60.240001678466797</v>
      </c>
      <c r="K161" s="351">
        <f t="shared" si="14"/>
        <v>224</v>
      </c>
      <c r="L161" s="352">
        <v>224</v>
      </c>
      <c r="M161" s="448" t="str">
        <f>IF(L161="nio","",VLOOKUP(L161,'3-Productie normen'!$B$31:$H$45,3,FALSE))</f>
        <v>5 x per week (40 weken) + (12x2 vakantie)</v>
      </c>
      <c r="N161" s="353" t="e">
        <f t="shared" si="12"/>
        <v>#DIV/0!</v>
      </c>
      <c r="O161" s="354">
        <f>IF(L161="nio",0,IF(L161&gt;0,VLOOKUP(H161,'3-Productie normen'!A:P,VLOOKUP(L161,'3-Productie normen'!$B$31:$C$45,2,FALSE),FALSE)))/VLOOKUP(B161,'2-Kosten per locatie'!$A$13:$D$36,4,FALSE)</f>
        <v>0</v>
      </c>
      <c r="P161" s="82" t="str">
        <f>VLOOKUP(H161,'3-Productie normen'!A:T,20,FALSE)</f>
        <v>V</v>
      </c>
      <c r="Q161" s="447" t="s">
        <v>905</v>
      </c>
      <c r="S161" s="356">
        <f t="shared" si="13"/>
        <v>13493.760375976563</v>
      </c>
    </row>
    <row r="162" spans="1:19" ht="14.1" customHeight="1">
      <c r="A162" s="72">
        <f t="shared" si="11"/>
        <v>162</v>
      </c>
      <c r="B162" s="50" t="s">
        <v>806</v>
      </c>
      <c r="C162" s="50" t="s">
        <v>825</v>
      </c>
      <c r="D162" s="427" t="s">
        <v>1033</v>
      </c>
      <c r="E162" s="426" t="s">
        <v>196</v>
      </c>
      <c r="F162" s="349" t="s">
        <v>336</v>
      </c>
      <c r="G162" s="86" t="s">
        <v>201</v>
      </c>
      <c r="H162" s="432" t="s">
        <v>198</v>
      </c>
      <c r="I162" s="86" t="s">
        <v>779</v>
      </c>
      <c r="J162" s="343">
        <v>2</v>
      </c>
      <c r="K162" s="351">
        <f t="shared" si="14"/>
        <v>224</v>
      </c>
      <c r="L162" s="352">
        <v>224</v>
      </c>
      <c r="M162" s="448" t="str">
        <f>IF(L162="nio","",VLOOKUP(L162,'3-Productie normen'!$B$31:$H$45,3,FALSE))</f>
        <v>5 x per week (40 weken) + (12x2 vakantie)</v>
      </c>
      <c r="N162" s="353" t="e">
        <f t="shared" si="12"/>
        <v>#DIV/0!</v>
      </c>
      <c r="O162" s="354">
        <f>IF(L162="nio",0,IF(L162&gt;0,VLOOKUP(H162,'3-Productie normen'!A:P,VLOOKUP(L162,'3-Productie normen'!$B$31:$C$45,2,FALSE),FALSE)))/VLOOKUP(B162,'2-Kosten per locatie'!$A$13:$D$36,4,FALSE)</f>
        <v>0</v>
      </c>
      <c r="P162" s="82" t="str">
        <f>VLOOKUP(H162,'3-Productie normen'!A:T,20,FALSE)</f>
        <v>V</v>
      </c>
      <c r="Q162" s="447" t="s">
        <v>906</v>
      </c>
      <c r="S162" s="356">
        <f t="shared" si="13"/>
        <v>448</v>
      </c>
    </row>
    <row r="163" spans="1:19" ht="14.1" customHeight="1">
      <c r="A163" s="72">
        <f t="shared" si="11"/>
        <v>163</v>
      </c>
      <c r="B163" s="50" t="s">
        <v>806</v>
      </c>
      <c r="C163" s="50" t="s">
        <v>825</v>
      </c>
      <c r="D163" s="427" t="s">
        <v>1033</v>
      </c>
      <c r="E163" s="426" t="s">
        <v>196</v>
      </c>
      <c r="F163" s="349" t="s">
        <v>337</v>
      </c>
      <c r="G163" s="86" t="s">
        <v>398</v>
      </c>
      <c r="H163" s="86" t="s">
        <v>203</v>
      </c>
      <c r="I163" s="86" t="s">
        <v>780</v>
      </c>
      <c r="J163" s="343">
        <v>5.46000003814697</v>
      </c>
      <c r="K163" s="351">
        <f t="shared" si="14"/>
        <v>120</v>
      </c>
      <c r="L163" s="352">
        <v>120</v>
      </c>
      <c r="M163" s="448" t="str">
        <f>IF(L163="nio","",VLOOKUP(L163,'3-Productie normen'!$B$31:$H$45,3,FALSE))</f>
        <v>3 x per week (40 weken)</v>
      </c>
      <c r="N163" s="353" t="e">
        <f t="shared" si="12"/>
        <v>#DIV/0!</v>
      </c>
      <c r="O163" s="354">
        <f>IF(L163="nio",0,IF(L163&gt;0,VLOOKUP(H163,'3-Productie normen'!A:P,VLOOKUP(L163,'3-Productie normen'!$B$31:$C$45,2,FALSE),FALSE)))/VLOOKUP(B163,'2-Kosten per locatie'!$A$13:$D$36,4,FALSE)</f>
        <v>0</v>
      </c>
      <c r="P163" s="82" t="str">
        <f>VLOOKUP(H163,'3-Productie normen'!A:T,20,FALSE)</f>
        <v>B</v>
      </c>
      <c r="Q163" s="447" t="s">
        <v>910</v>
      </c>
      <c r="S163" s="356">
        <f t="shared" si="13"/>
        <v>655.20000457763638</v>
      </c>
    </row>
    <row r="164" spans="1:19" ht="14.1" customHeight="1">
      <c r="A164" s="72">
        <f t="shared" si="11"/>
        <v>164</v>
      </c>
      <c r="B164" s="50" t="s">
        <v>806</v>
      </c>
      <c r="C164" s="50" t="s">
        <v>825</v>
      </c>
      <c r="D164" s="427" t="s">
        <v>1033</v>
      </c>
      <c r="E164" s="426" t="s">
        <v>196</v>
      </c>
      <c r="F164" s="349" t="s">
        <v>338</v>
      </c>
      <c r="G164" s="86" t="s">
        <v>199</v>
      </c>
      <c r="H164" s="432" t="s">
        <v>198</v>
      </c>
      <c r="I164" s="86" t="s">
        <v>91</v>
      </c>
      <c r="J164" s="343">
        <v>3.2000000476837198</v>
      </c>
      <c r="K164" s="351">
        <f t="shared" si="14"/>
        <v>224</v>
      </c>
      <c r="L164" s="352">
        <v>224</v>
      </c>
      <c r="M164" s="448" t="str">
        <f>IF(L164="nio","",VLOOKUP(L164,'3-Productie normen'!$B$31:$H$45,3,FALSE))</f>
        <v>5 x per week (40 weken) + (12x2 vakantie)</v>
      </c>
      <c r="N164" s="353" t="e">
        <f t="shared" si="12"/>
        <v>#DIV/0!</v>
      </c>
      <c r="O164" s="354">
        <f>IF(L164="nio",0,IF(L164&gt;0,VLOOKUP(H164,'3-Productie normen'!A:P,VLOOKUP(L164,'3-Productie normen'!$B$31:$C$45,2,FALSE),FALSE)))/VLOOKUP(B164,'2-Kosten per locatie'!$A$13:$D$36,4,FALSE)</f>
        <v>0</v>
      </c>
      <c r="P164" s="82" t="str">
        <f>VLOOKUP(H164,'3-Productie normen'!A:T,20,FALSE)</f>
        <v>V</v>
      </c>
      <c r="Q164" s="447" t="s">
        <v>905</v>
      </c>
      <c r="S164" s="356">
        <f t="shared" si="13"/>
        <v>716.80001068115325</v>
      </c>
    </row>
    <row r="165" spans="1:19" ht="14.1" customHeight="1">
      <c r="A165" s="72">
        <f t="shared" si="11"/>
        <v>165</v>
      </c>
      <c r="B165" s="50" t="s">
        <v>806</v>
      </c>
      <c r="C165" s="50" t="s">
        <v>825</v>
      </c>
      <c r="D165" s="427" t="s">
        <v>1033</v>
      </c>
      <c r="E165" s="426" t="s">
        <v>196</v>
      </c>
      <c r="F165" s="349" t="s">
        <v>338</v>
      </c>
      <c r="G165" s="86" t="s">
        <v>199</v>
      </c>
      <c r="H165" s="432" t="s">
        <v>198</v>
      </c>
      <c r="I165" s="86" t="s">
        <v>779</v>
      </c>
      <c r="J165" s="343">
        <v>1.79999995231628</v>
      </c>
      <c r="K165" s="351">
        <f t="shared" si="14"/>
        <v>224</v>
      </c>
      <c r="L165" s="352">
        <v>224</v>
      </c>
      <c r="M165" s="448" t="str">
        <f>IF(L165="nio","",VLOOKUP(L165,'3-Productie normen'!$B$31:$H$45,3,FALSE))</f>
        <v>5 x per week (40 weken) + (12x2 vakantie)</v>
      </c>
      <c r="N165" s="353" t="e">
        <f t="shared" si="12"/>
        <v>#DIV/0!</v>
      </c>
      <c r="O165" s="354">
        <f>IF(L165="nio",0,IF(L165&gt;0,VLOOKUP(H165,'3-Productie normen'!A:P,VLOOKUP(L165,'3-Productie normen'!$B$31:$C$45,2,FALSE),FALSE)))/VLOOKUP(B165,'2-Kosten per locatie'!$A$13:$D$36,4,FALSE)</f>
        <v>0</v>
      </c>
      <c r="P165" s="82" t="str">
        <f>VLOOKUP(H165,'3-Productie normen'!A:T,20,FALSE)</f>
        <v>V</v>
      </c>
      <c r="Q165" s="447" t="s">
        <v>906</v>
      </c>
      <c r="S165" s="356">
        <f t="shared" si="13"/>
        <v>403.19998931884669</v>
      </c>
    </row>
    <row r="166" spans="1:19" ht="14.1" customHeight="1">
      <c r="A166" s="72">
        <f t="shared" si="11"/>
        <v>166</v>
      </c>
      <c r="B166" s="50" t="s">
        <v>806</v>
      </c>
      <c r="C166" s="50" t="s">
        <v>825</v>
      </c>
      <c r="D166" s="427" t="s">
        <v>1033</v>
      </c>
      <c r="E166" s="426" t="s">
        <v>196</v>
      </c>
      <c r="F166" s="349" t="s">
        <v>411</v>
      </c>
      <c r="G166" s="86" t="s">
        <v>326</v>
      </c>
      <c r="H166" s="432" t="s">
        <v>198</v>
      </c>
      <c r="I166" s="86" t="s">
        <v>91</v>
      </c>
      <c r="J166" s="343">
        <v>5.0599999427795401</v>
      </c>
      <c r="K166" s="351">
        <f t="shared" si="14"/>
        <v>224</v>
      </c>
      <c r="L166" s="352">
        <v>224</v>
      </c>
      <c r="M166" s="448" t="str">
        <f>IF(L166="nio","",VLOOKUP(L166,'3-Productie normen'!$B$31:$H$45,3,FALSE))</f>
        <v>5 x per week (40 weken) + (12x2 vakantie)</v>
      </c>
      <c r="N166" s="353" t="e">
        <f t="shared" si="12"/>
        <v>#DIV/0!</v>
      </c>
      <c r="O166" s="354">
        <f>IF(L166="nio",0,IF(L166&gt;0,VLOOKUP(H166,'3-Productie normen'!A:P,VLOOKUP(L166,'3-Productie normen'!$B$31:$C$45,2,FALSE),FALSE)))/VLOOKUP(B166,'2-Kosten per locatie'!$A$13:$D$36,4,FALSE)</f>
        <v>0</v>
      </c>
      <c r="P166" s="82" t="str">
        <f>VLOOKUP(H166,'3-Productie normen'!A:T,20,FALSE)</f>
        <v>V</v>
      </c>
      <c r="Q166" s="447" t="s">
        <v>905</v>
      </c>
      <c r="S166" s="356">
        <f t="shared" si="13"/>
        <v>1133.439987182617</v>
      </c>
    </row>
    <row r="167" spans="1:19" ht="14.1" customHeight="1">
      <c r="A167" s="72">
        <f t="shared" si="11"/>
        <v>167</v>
      </c>
      <c r="B167" s="50" t="s">
        <v>806</v>
      </c>
      <c r="C167" s="50" t="s">
        <v>825</v>
      </c>
      <c r="D167" s="427" t="s">
        <v>1033</v>
      </c>
      <c r="E167" s="426" t="s">
        <v>196</v>
      </c>
      <c r="F167" s="349" t="s">
        <v>411</v>
      </c>
      <c r="G167" s="86" t="s">
        <v>326</v>
      </c>
      <c r="H167" s="432" t="s">
        <v>198</v>
      </c>
      <c r="I167" s="86" t="s">
        <v>780</v>
      </c>
      <c r="J167" s="343">
        <v>77.09</v>
      </c>
      <c r="K167" s="351">
        <f t="shared" si="14"/>
        <v>224</v>
      </c>
      <c r="L167" s="352">
        <v>224</v>
      </c>
      <c r="M167" s="448" t="str">
        <f>IF(L167="nio","",VLOOKUP(L167,'3-Productie normen'!$B$31:$H$45,3,FALSE))</f>
        <v>5 x per week (40 weken) + (12x2 vakantie)</v>
      </c>
      <c r="N167" s="353" t="e">
        <f t="shared" si="12"/>
        <v>#DIV/0!</v>
      </c>
      <c r="O167" s="354">
        <f>IF(L167="nio",0,IF(L167&gt;0,VLOOKUP(H167,'3-Productie normen'!A:P,VLOOKUP(L167,'3-Productie normen'!$B$31:$C$45,2,FALSE),FALSE)))/VLOOKUP(B167,'2-Kosten per locatie'!$A$13:$D$36,4,FALSE)</f>
        <v>0</v>
      </c>
      <c r="P167" s="82" t="str">
        <f>VLOOKUP(H167,'3-Productie normen'!A:T,20,FALSE)</f>
        <v>V</v>
      </c>
      <c r="Q167" s="447" t="s">
        <v>792</v>
      </c>
      <c r="S167" s="356">
        <f t="shared" si="13"/>
        <v>17268.16</v>
      </c>
    </row>
    <row r="168" spans="1:19" ht="14.1" customHeight="1">
      <c r="A168" s="72">
        <f t="shared" si="11"/>
        <v>168</v>
      </c>
      <c r="B168" s="50" t="s">
        <v>806</v>
      </c>
      <c r="C168" s="50" t="s">
        <v>825</v>
      </c>
      <c r="D168" s="427" t="s">
        <v>1033</v>
      </c>
      <c r="E168" s="426" t="s">
        <v>196</v>
      </c>
      <c r="F168" s="349" t="s">
        <v>411</v>
      </c>
      <c r="G168" s="86" t="s">
        <v>347</v>
      </c>
      <c r="H168" s="432" t="s">
        <v>198</v>
      </c>
      <c r="I168" s="86" t="s">
        <v>180</v>
      </c>
      <c r="J168" s="343">
        <v>20.75</v>
      </c>
      <c r="K168" s="351">
        <f t="shared" si="14"/>
        <v>224</v>
      </c>
      <c r="L168" s="352">
        <v>224</v>
      </c>
      <c r="M168" s="448" t="str">
        <f>IF(L168="nio","",VLOOKUP(L168,'3-Productie normen'!$B$31:$H$45,3,FALSE))</f>
        <v>5 x per week (40 weken) + (12x2 vakantie)</v>
      </c>
      <c r="N168" s="353" t="e">
        <f t="shared" si="12"/>
        <v>#DIV/0!</v>
      </c>
      <c r="O168" s="354">
        <f>IF(L168="nio",0,IF(L168&gt;0,VLOOKUP(H168,'3-Productie normen'!A:P,VLOOKUP(L168,'3-Productie normen'!$B$31:$C$45,2,FALSE),FALSE)))/VLOOKUP(B168,'2-Kosten per locatie'!$A$13:$D$36,4,FALSE)</f>
        <v>0</v>
      </c>
      <c r="P168" s="82" t="str">
        <f>VLOOKUP(H168,'3-Productie normen'!A:T,20,FALSE)</f>
        <v>V</v>
      </c>
      <c r="Q168" s="447" t="s">
        <v>792</v>
      </c>
      <c r="S168" s="356">
        <f t="shared" si="13"/>
        <v>4648</v>
      </c>
    </row>
    <row r="169" spans="1:19" ht="14.1" customHeight="1">
      <c r="A169" s="72">
        <f t="shared" si="11"/>
        <v>169</v>
      </c>
      <c r="B169" s="50" t="s">
        <v>806</v>
      </c>
      <c r="C169" s="50" t="s">
        <v>825</v>
      </c>
      <c r="D169" s="427" t="s">
        <v>1033</v>
      </c>
      <c r="E169" s="426" t="s">
        <v>196</v>
      </c>
      <c r="F169" s="349" t="s">
        <v>416</v>
      </c>
      <c r="G169" s="86" t="s">
        <v>242</v>
      </c>
      <c r="H169" s="86" t="s">
        <v>241</v>
      </c>
      <c r="I169" s="86" t="s">
        <v>780</v>
      </c>
      <c r="J169" s="343">
        <v>61.799999237060497</v>
      </c>
      <c r="K169" s="351">
        <f t="shared" si="14"/>
        <v>224</v>
      </c>
      <c r="L169" s="352">
        <v>224</v>
      </c>
      <c r="M169" s="448" t="str">
        <f>IF(L169="nio","",VLOOKUP(L169,'3-Productie normen'!$B$31:$H$45,3,FALSE))</f>
        <v>5 x per week (40 weken) + (12x2 vakantie)</v>
      </c>
      <c r="N169" s="353" t="e">
        <f t="shared" si="12"/>
        <v>#DIV/0!</v>
      </c>
      <c r="O169" s="354">
        <f>IF(L169="nio",0,IF(L169&gt;0,VLOOKUP(H169,'3-Productie normen'!A:P,VLOOKUP(L169,'3-Productie normen'!$B$31:$C$45,2,FALSE),FALSE)))/VLOOKUP(B169,'2-Kosten per locatie'!$A$13:$D$36,4,FALSE)</f>
        <v>0</v>
      </c>
      <c r="P169" s="82" t="str">
        <f>VLOOKUP(H169,'3-Productie normen'!A:T,20,FALSE)</f>
        <v>L</v>
      </c>
      <c r="Q169" s="447" t="s">
        <v>911</v>
      </c>
      <c r="S169" s="356">
        <f t="shared" si="13"/>
        <v>13843.199829101552</v>
      </c>
    </row>
    <row r="170" spans="1:19" ht="14.1" customHeight="1">
      <c r="A170" s="72">
        <f t="shared" si="11"/>
        <v>170</v>
      </c>
      <c r="B170" s="50" t="s">
        <v>806</v>
      </c>
      <c r="C170" s="50" t="s">
        <v>825</v>
      </c>
      <c r="D170" s="427" t="s">
        <v>1033</v>
      </c>
      <c r="E170" s="426" t="s">
        <v>196</v>
      </c>
      <c r="F170" s="349" t="s">
        <v>340</v>
      </c>
      <c r="G170" s="86" t="s">
        <v>209</v>
      </c>
      <c r="H170" s="50" t="s">
        <v>1040</v>
      </c>
      <c r="I170" s="86" t="s">
        <v>780</v>
      </c>
      <c r="J170" s="343">
        <v>4.75</v>
      </c>
      <c r="K170" s="351">
        <f t="shared" si="14"/>
        <v>12</v>
      </c>
      <c r="L170" s="352">
        <v>12</v>
      </c>
      <c r="M170" s="448" t="str">
        <f>IF(L170="nio","",VLOOKUP(L170,'3-Productie normen'!$B$31:$H$45,3,FALSE))</f>
        <v>1 x per maand</v>
      </c>
      <c r="N170" s="353" t="e">
        <f t="shared" si="12"/>
        <v>#DIV/0!</v>
      </c>
      <c r="O170" s="354">
        <f>IF(L170="nio",0,IF(L170&gt;0,VLOOKUP(H170,'3-Productie normen'!A:P,VLOOKUP(L170,'3-Productie normen'!$B$31:$C$45,2,FALSE),FALSE)))/VLOOKUP(B170,'2-Kosten per locatie'!$A$13:$D$36,4,FALSE)</f>
        <v>0</v>
      </c>
      <c r="P170" s="82" t="str">
        <f>VLOOKUP(H170,'3-Productie normen'!A:T,20,FALSE)</f>
        <v>V</v>
      </c>
      <c r="Q170" s="447" t="s">
        <v>792</v>
      </c>
      <c r="S170" s="356">
        <f t="shared" si="13"/>
        <v>57</v>
      </c>
    </row>
    <row r="171" spans="1:19" ht="14.1" customHeight="1">
      <c r="A171" s="72">
        <f t="shared" si="11"/>
        <v>171</v>
      </c>
      <c r="B171" s="50" t="s">
        <v>806</v>
      </c>
      <c r="C171" s="50" t="s">
        <v>825</v>
      </c>
      <c r="D171" s="427" t="s">
        <v>1033</v>
      </c>
      <c r="E171" s="426" t="s">
        <v>196</v>
      </c>
      <c r="F171" s="349" t="s">
        <v>341</v>
      </c>
      <c r="G171" s="86" t="s">
        <v>209</v>
      </c>
      <c r="H171" s="50" t="s">
        <v>1040</v>
      </c>
      <c r="I171" s="86" t="s">
        <v>780</v>
      </c>
      <c r="J171" s="343">
        <v>5.8899998664856001</v>
      </c>
      <c r="K171" s="351">
        <f t="shared" si="14"/>
        <v>12</v>
      </c>
      <c r="L171" s="352">
        <v>12</v>
      </c>
      <c r="M171" s="448" t="str">
        <f>IF(L171="nio","",VLOOKUP(L171,'3-Productie normen'!$B$31:$H$45,3,FALSE))</f>
        <v>1 x per maand</v>
      </c>
      <c r="N171" s="353" t="e">
        <f t="shared" si="12"/>
        <v>#DIV/0!</v>
      </c>
      <c r="O171" s="354">
        <f>IF(L171="nio",0,IF(L171&gt;0,VLOOKUP(H171,'3-Productie normen'!A:P,VLOOKUP(L171,'3-Productie normen'!$B$31:$C$45,2,FALSE),FALSE)))/VLOOKUP(B171,'2-Kosten per locatie'!$A$13:$D$36,4,FALSE)</f>
        <v>0</v>
      </c>
      <c r="P171" s="82" t="str">
        <f>VLOOKUP(H171,'3-Productie normen'!A:T,20,FALSE)</f>
        <v>V</v>
      </c>
      <c r="Q171" s="447" t="s">
        <v>792</v>
      </c>
      <c r="S171" s="356">
        <f t="shared" si="13"/>
        <v>70.679998397827205</v>
      </c>
    </row>
    <row r="172" spans="1:19" ht="14.1" customHeight="1">
      <c r="A172" s="72">
        <f t="shared" si="11"/>
        <v>172</v>
      </c>
      <c r="B172" s="50" t="s">
        <v>806</v>
      </c>
      <c r="C172" s="50" t="s">
        <v>825</v>
      </c>
      <c r="D172" s="427" t="s">
        <v>1033</v>
      </c>
      <c r="E172" s="426" t="s">
        <v>196</v>
      </c>
      <c r="F172" s="349" t="s">
        <v>342</v>
      </c>
      <c r="G172" s="86" t="s">
        <v>209</v>
      </c>
      <c r="H172" s="50" t="s">
        <v>1040</v>
      </c>
      <c r="I172" s="86" t="s">
        <v>780</v>
      </c>
      <c r="J172" s="343">
        <v>16.590000152587901</v>
      </c>
      <c r="K172" s="351">
        <f t="shared" si="14"/>
        <v>12</v>
      </c>
      <c r="L172" s="352">
        <v>12</v>
      </c>
      <c r="M172" s="448" t="str">
        <f>IF(L172="nio","",VLOOKUP(L172,'3-Productie normen'!$B$31:$H$45,3,FALSE))</f>
        <v>1 x per maand</v>
      </c>
      <c r="N172" s="353" t="e">
        <f t="shared" si="12"/>
        <v>#DIV/0!</v>
      </c>
      <c r="O172" s="354">
        <f>IF(L172="nio",0,IF(L172&gt;0,VLOOKUP(H172,'3-Productie normen'!A:P,VLOOKUP(L172,'3-Productie normen'!$B$31:$C$45,2,FALSE),FALSE)))/VLOOKUP(B172,'2-Kosten per locatie'!$A$13:$D$36,4,FALSE)</f>
        <v>0</v>
      </c>
      <c r="P172" s="82" t="str">
        <f>VLOOKUP(H172,'3-Productie normen'!A:T,20,FALSE)</f>
        <v>V</v>
      </c>
      <c r="Q172" s="447" t="s">
        <v>792</v>
      </c>
      <c r="S172" s="356">
        <f t="shared" si="13"/>
        <v>199.0800018310548</v>
      </c>
    </row>
    <row r="173" spans="1:19" ht="14.1" customHeight="1">
      <c r="A173" s="72">
        <f t="shared" si="11"/>
        <v>173</v>
      </c>
      <c r="B173" s="50" t="s">
        <v>806</v>
      </c>
      <c r="C173" s="50" t="s">
        <v>825</v>
      </c>
      <c r="D173" s="427" t="s">
        <v>1033</v>
      </c>
      <c r="E173" s="426" t="s">
        <v>196</v>
      </c>
      <c r="F173" s="349" t="s">
        <v>343</v>
      </c>
      <c r="G173" s="86" t="s">
        <v>209</v>
      </c>
      <c r="H173" s="50" t="s">
        <v>1040</v>
      </c>
      <c r="I173" s="86" t="s">
        <v>780</v>
      </c>
      <c r="J173" s="343">
        <v>12.75</v>
      </c>
      <c r="K173" s="351">
        <f t="shared" si="14"/>
        <v>12</v>
      </c>
      <c r="L173" s="352">
        <v>12</v>
      </c>
      <c r="M173" s="448" t="str">
        <f>IF(L173="nio","",VLOOKUP(L173,'3-Productie normen'!$B$31:$H$45,3,FALSE))</f>
        <v>1 x per maand</v>
      </c>
      <c r="N173" s="353" t="e">
        <f t="shared" si="12"/>
        <v>#DIV/0!</v>
      </c>
      <c r="O173" s="354">
        <f>IF(L173="nio",0,IF(L173&gt;0,VLOOKUP(H173,'3-Productie normen'!A:P,VLOOKUP(L173,'3-Productie normen'!$B$31:$C$45,2,FALSE),FALSE)))/VLOOKUP(B173,'2-Kosten per locatie'!$A$13:$D$36,4,FALSE)</f>
        <v>0</v>
      </c>
      <c r="P173" s="82" t="str">
        <f>VLOOKUP(H173,'3-Productie normen'!A:T,20,FALSE)</f>
        <v>V</v>
      </c>
      <c r="Q173" s="447" t="s">
        <v>792</v>
      </c>
      <c r="S173" s="356">
        <f t="shared" si="13"/>
        <v>153</v>
      </c>
    </row>
    <row r="174" spans="1:19" ht="14.1" customHeight="1">
      <c r="A174" s="72">
        <f t="shared" si="11"/>
        <v>174</v>
      </c>
      <c r="B174" s="50" t="s">
        <v>806</v>
      </c>
      <c r="C174" s="50" t="s">
        <v>825</v>
      </c>
      <c r="D174" s="427" t="s">
        <v>1033</v>
      </c>
      <c r="E174" s="426" t="s">
        <v>196</v>
      </c>
      <c r="F174" s="349" t="s">
        <v>344</v>
      </c>
      <c r="G174" s="86" t="s">
        <v>226</v>
      </c>
      <c r="H174" s="86" t="s">
        <v>16</v>
      </c>
      <c r="I174" s="86" t="s">
        <v>781</v>
      </c>
      <c r="J174" s="343">
        <v>11.189999580383301</v>
      </c>
      <c r="K174" s="351">
        <f t="shared" si="14"/>
        <v>201</v>
      </c>
      <c r="L174" s="352">
        <v>201</v>
      </c>
      <c r="M174" s="448" t="str">
        <f>IF(L174="nio","",VLOOKUP(L174,'3-Productie normen'!$B$31:$H$45,3,FALSE))</f>
        <v>5 x per week (40 weken + 1 Zomer refreshbeurt)</v>
      </c>
      <c r="N174" s="353" t="e">
        <f t="shared" si="12"/>
        <v>#DIV/0!</v>
      </c>
      <c r="O174" s="354">
        <f>IF(L174="nio",0,IF(L174&gt;0,VLOOKUP(H174,'3-Productie normen'!A:P,VLOOKUP(L174,'3-Productie normen'!$B$31:$C$45,2,FALSE),FALSE)))/VLOOKUP(B174,'2-Kosten per locatie'!$A$13:$D$36,4,FALSE)</f>
        <v>0</v>
      </c>
      <c r="P174" s="82" t="str">
        <f>VLOOKUP(H174,'3-Productie normen'!A:T,20,FALSE)</f>
        <v>S</v>
      </c>
      <c r="Q174" s="447" t="s">
        <v>912</v>
      </c>
      <c r="S174" s="356">
        <f t="shared" si="13"/>
        <v>2249.1899156570435</v>
      </c>
    </row>
    <row r="175" spans="1:19" ht="14.1" customHeight="1">
      <c r="A175" s="72">
        <f t="shared" si="11"/>
        <v>175</v>
      </c>
      <c r="B175" s="50" t="s">
        <v>806</v>
      </c>
      <c r="C175" s="50" t="s">
        <v>825</v>
      </c>
      <c r="D175" s="427" t="s">
        <v>1033</v>
      </c>
      <c r="E175" s="426" t="s">
        <v>275</v>
      </c>
      <c r="F175" s="349" t="s">
        <v>276</v>
      </c>
      <c r="G175" s="86" t="s">
        <v>232</v>
      </c>
      <c r="H175" s="65" t="s">
        <v>1053</v>
      </c>
      <c r="I175" s="86" t="s">
        <v>791</v>
      </c>
      <c r="J175" s="343">
        <v>3.6900000572204599</v>
      </c>
      <c r="K175" s="351" t="str">
        <f t="shared" si="14"/>
        <v>nio</v>
      </c>
      <c r="L175" s="352" t="s">
        <v>804</v>
      </c>
      <c r="M175" s="448" t="str">
        <f>IF(L175="nio","",VLOOKUP(L175,'3-Productie normen'!$B$31:$H$45,3,FALSE))</f>
        <v/>
      </c>
      <c r="N175" s="353">
        <f t="shared" si="12"/>
        <v>0</v>
      </c>
      <c r="O175" s="354">
        <f>IF(L175="nio",0,IF(L175&gt;0,VLOOKUP(H175,'3-Productie normen'!A:P,VLOOKUP(L175,'3-Productie normen'!$B$31:$C$45,2,FALSE),FALSE)))/VLOOKUP(B175,'2-Kosten per locatie'!$A$13:$D$36,4,FALSE)</f>
        <v>0</v>
      </c>
      <c r="P175" s="82">
        <f>VLOOKUP(H175,'3-Productie normen'!A:T,20,FALSE)</f>
        <v>0</v>
      </c>
      <c r="Q175" s="447" t="s">
        <v>893</v>
      </c>
      <c r="S175" s="356">
        <f t="shared" si="13"/>
        <v>0</v>
      </c>
    </row>
    <row r="176" spans="1:19" ht="14.1" customHeight="1">
      <c r="A176" s="72">
        <f t="shared" si="11"/>
        <v>176</v>
      </c>
      <c r="B176" s="50" t="s">
        <v>806</v>
      </c>
      <c r="C176" s="50" t="s">
        <v>825</v>
      </c>
      <c r="D176" s="427" t="s">
        <v>1033</v>
      </c>
      <c r="E176" s="426" t="s">
        <v>275</v>
      </c>
      <c r="F176" s="349" t="s">
        <v>277</v>
      </c>
      <c r="G176" s="86" t="s">
        <v>392</v>
      </c>
      <c r="H176" s="65" t="s">
        <v>1053</v>
      </c>
      <c r="I176" s="86" t="s">
        <v>788</v>
      </c>
      <c r="J176" s="343">
        <v>125.1</v>
      </c>
      <c r="K176" s="351" t="str">
        <f t="shared" si="14"/>
        <v>nio</v>
      </c>
      <c r="L176" s="352" t="s">
        <v>804</v>
      </c>
      <c r="M176" s="448" t="str">
        <f>IF(L176="nio","",VLOOKUP(L176,'3-Productie normen'!$B$31:$H$45,3,FALSE))</f>
        <v/>
      </c>
      <c r="N176" s="353">
        <f t="shared" si="12"/>
        <v>0</v>
      </c>
      <c r="O176" s="354">
        <f>IF(L176="nio",0,IF(L176&gt;0,VLOOKUP(H176,'3-Productie normen'!A:P,VLOOKUP(L176,'3-Productie normen'!$B$31:$C$45,2,FALSE),FALSE)))/VLOOKUP(B176,'2-Kosten per locatie'!$A$13:$D$36,4,FALSE)</f>
        <v>0</v>
      </c>
      <c r="P176" s="82">
        <f>VLOOKUP(H176,'3-Productie normen'!A:T,20,FALSE)</f>
        <v>0</v>
      </c>
      <c r="Q176" s="447" t="s">
        <v>792</v>
      </c>
      <c r="S176" s="356">
        <f t="shared" si="13"/>
        <v>0</v>
      </c>
    </row>
    <row r="177" spans="1:19" ht="14.1" customHeight="1">
      <c r="A177" s="72">
        <f t="shared" si="11"/>
        <v>177</v>
      </c>
      <c r="B177" s="50" t="s">
        <v>1111</v>
      </c>
      <c r="C177" s="50" t="s">
        <v>826</v>
      </c>
      <c r="D177" s="427" t="s">
        <v>1036</v>
      </c>
      <c r="E177" s="426" t="s">
        <v>196</v>
      </c>
      <c r="F177" s="349" t="s">
        <v>436</v>
      </c>
      <c r="G177" s="86" t="s">
        <v>222</v>
      </c>
      <c r="H177" s="86" t="s">
        <v>16</v>
      </c>
      <c r="I177" s="86" t="s">
        <v>91</v>
      </c>
      <c r="J177" s="343">
        <v>1.74</v>
      </c>
      <c r="K177" s="351">
        <f t="shared" ref="K177:K196" si="15">L177</f>
        <v>201</v>
      </c>
      <c r="L177" s="352">
        <v>201</v>
      </c>
      <c r="M177" s="448" t="str">
        <f>IF(L177="nio","",VLOOKUP(L177,'3-Productie normen'!$B$31:$H$45,3,FALSE))</f>
        <v>5 x per week (40 weken + 1 Zomer refreshbeurt)</v>
      </c>
      <c r="N177" s="353" t="e">
        <f t="shared" ref="N177:N195" si="16">IF(L177="nio",0,IF(L177&gt;0,L177*J177/O177,0))</f>
        <v>#DIV/0!</v>
      </c>
      <c r="O177" s="354">
        <f>IF(L177="nio",0,IF(L177&gt;0,VLOOKUP(H177,'3-Productie normen'!A:P,VLOOKUP(L177,'3-Productie normen'!$B$31:$C$45,2,FALSE),FALSE)))/VLOOKUP(B177,'2-Kosten per locatie'!$A$13:$D$36,4,FALSE)</f>
        <v>0</v>
      </c>
      <c r="P177" s="82" t="str">
        <f>VLOOKUP(H177,'3-Productie normen'!A:T,20,FALSE)</f>
        <v>S</v>
      </c>
      <c r="Q177" s="447" t="s">
        <v>901</v>
      </c>
      <c r="S177" s="356">
        <f t="shared" ref="S177:S195" si="17">IF(L177="nio",0,K177*J177)</f>
        <v>349.74</v>
      </c>
    </row>
    <row r="178" spans="1:19" ht="14.1" customHeight="1">
      <c r="A178" s="72">
        <f t="shared" si="11"/>
        <v>178</v>
      </c>
      <c r="B178" s="50" t="s">
        <v>1111</v>
      </c>
      <c r="C178" s="50" t="s">
        <v>826</v>
      </c>
      <c r="D178" s="427" t="s">
        <v>1036</v>
      </c>
      <c r="E178" s="426" t="s">
        <v>196</v>
      </c>
      <c r="F178" s="349" t="s">
        <v>437</v>
      </c>
      <c r="G178" s="86" t="s">
        <v>242</v>
      </c>
      <c r="H178" s="50" t="s">
        <v>241</v>
      </c>
      <c r="I178" s="86" t="s">
        <v>780</v>
      </c>
      <c r="J178" s="343">
        <v>55.299999237060497</v>
      </c>
      <c r="K178" s="351">
        <f t="shared" si="15"/>
        <v>201</v>
      </c>
      <c r="L178" s="352">
        <v>201</v>
      </c>
      <c r="M178" s="448" t="str">
        <f>IF(L178="nio","",VLOOKUP(L178,'3-Productie normen'!$B$31:$H$45,3,FALSE))</f>
        <v>5 x per week (40 weken + 1 Zomer refreshbeurt)</v>
      </c>
      <c r="N178" s="353" t="e">
        <f t="shared" si="16"/>
        <v>#DIV/0!</v>
      </c>
      <c r="O178" s="354">
        <f>IF(L178="nio",0,IF(L178&gt;0,VLOOKUP(H178,'3-Productie normen'!A:P,VLOOKUP(L178,'3-Productie normen'!$B$31:$C$45,2,FALSE),FALSE)))/VLOOKUP(B178,'2-Kosten per locatie'!$A$13:$D$36,4,FALSE)</f>
        <v>0</v>
      </c>
      <c r="P178" s="82" t="str">
        <f>VLOOKUP(H178,'3-Productie normen'!A:T,20,FALSE)</f>
        <v>L</v>
      </c>
      <c r="Q178" s="447" t="s">
        <v>918</v>
      </c>
      <c r="S178" s="356">
        <f t="shared" si="17"/>
        <v>11115.299846649161</v>
      </c>
    </row>
    <row r="179" spans="1:19" ht="14.1" customHeight="1">
      <c r="A179" s="72">
        <f t="shared" si="11"/>
        <v>179</v>
      </c>
      <c r="B179" s="50" t="s">
        <v>1111</v>
      </c>
      <c r="C179" s="50" t="s">
        <v>826</v>
      </c>
      <c r="D179" s="427" t="s">
        <v>1036</v>
      </c>
      <c r="E179" s="426" t="s">
        <v>196</v>
      </c>
      <c r="F179" s="349" t="s">
        <v>438</v>
      </c>
      <c r="G179" s="86" t="s">
        <v>209</v>
      </c>
      <c r="H179" s="50" t="s">
        <v>1040</v>
      </c>
      <c r="I179" s="86" t="s">
        <v>780</v>
      </c>
      <c r="J179" s="343">
        <v>2.2000000476837198</v>
      </c>
      <c r="K179" s="351">
        <f t="shared" si="15"/>
        <v>12</v>
      </c>
      <c r="L179" s="352">
        <v>12</v>
      </c>
      <c r="M179" s="448" t="str">
        <f>IF(L179="nio","",VLOOKUP(L179,'3-Productie normen'!$B$31:$H$45,3,FALSE))</f>
        <v>1 x per maand</v>
      </c>
      <c r="N179" s="353" t="e">
        <f t="shared" si="16"/>
        <v>#DIV/0!</v>
      </c>
      <c r="O179" s="354">
        <f>IF(L179="nio",0,IF(L179&gt;0,VLOOKUP(H179,'3-Productie normen'!A:P,VLOOKUP(L179,'3-Productie normen'!$B$31:$C$45,2,FALSE),FALSE)))/VLOOKUP(B179,'2-Kosten per locatie'!$A$13:$D$36,4,FALSE)</f>
        <v>0</v>
      </c>
      <c r="P179" s="82" t="str">
        <f>VLOOKUP(H179,'3-Productie normen'!A:T,20,FALSE)</f>
        <v>V</v>
      </c>
      <c r="Q179" s="447" t="s">
        <v>792</v>
      </c>
      <c r="S179" s="356">
        <f t="shared" si="17"/>
        <v>26.40000057220464</v>
      </c>
    </row>
    <row r="180" spans="1:19" ht="14.1" customHeight="1">
      <c r="A180" s="72">
        <f t="shared" si="11"/>
        <v>180</v>
      </c>
      <c r="B180" s="50" t="s">
        <v>1111</v>
      </c>
      <c r="C180" s="50" t="s">
        <v>826</v>
      </c>
      <c r="D180" s="427" t="s">
        <v>1036</v>
      </c>
      <c r="E180" s="426" t="s">
        <v>196</v>
      </c>
      <c r="F180" s="349" t="s">
        <v>439</v>
      </c>
      <c r="G180" s="86" t="s">
        <v>242</v>
      </c>
      <c r="H180" s="50" t="s">
        <v>241</v>
      </c>
      <c r="I180" s="86" t="s">
        <v>780</v>
      </c>
      <c r="J180" s="343">
        <v>55.299999237060497</v>
      </c>
      <c r="K180" s="351">
        <f t="shared" si="15"/>
        <v>201</v>
      </c>
      <c r="L180" s="352">
        <v>201</v>
      </c>
      <c r="M180" s="448" t="str">
        <f>IF(L180="nio","",VLOOKUP(L180,'3-Productie normen'!$B$31:$H$45,3,FALSE))</f>
        <v>5 x per week (40 weken + 1 Zomer refreshbeurt)</v>
      </c>
      <c r="N180" s="353" t="e">
        <f t="shared" si="16"/>
        <v>#DIV/0!</v>
      </c>
      <c r="O180" s="354">
        <f>IF(L180="nio",0,IF(L180&gt;0,VLOOKUP(H180,'3-Productie normen'!A:P,VLOOKUP(L180,'3-Productie normen'!$B$31:$C$45,2,FALSE),FALSE)))/VLOOKUP(B180,'2-Kosten per locatie'!$A$13:$D$36,4,FALSE)</f>
        <v>0</v>
      </c>
      <c r="P180" s="82" t="str">
        <f>VLOOKUP(H180,'3-Productie normen'!A:T,20,FALSE)</f>
        <v>L</v>
      </c>
      <c r="Q180" s="447" t="s">
        <v>919</v>
      </c>
      <c r="S180" s="356">
        <f t="shared" si="17"/>
        <v>11115.299846649161</v>
      </c>
    </row>
    <row r="181" spans="1:19" ht="14.1" customHeight="1">
      <c r="A181" s="72">
        <f t="shared" si="11"/>
        <v>181</v>
      </c>
      <c r="B181" s="50" t="s">
        <v>1111</v>
      </c>
      <c r="C181" s="50" t="s">
        <v>826</v>
      </c>
      <c r="D181" s="427" t="s">
        <v>1036</v>
      </c>
      <c r="E181" s="426" t="s">
        <v>196</v>
      </c>
      <c r="F181" s="349" t="s">
        <v>440</v>
      </c>
      <c r="G181" s="86" t="s">
        <v>209</v>
      </c>
      <c r="H181" s="50" t="s">
        <v>1040</v>
      </c>
      <c r="I181" s="86" t="s">
        <v>780</v>
      </c>
      <c r="J181" s="343">
        <v>2.2000000476837198</v>
      </c>
      <c r="K181" s="351">
        <f t="shared" si="15"/>
        <v>12</v>
      </c>
      <c r="L181" s="352">
        <v>12</v>
      </c>
      <c r="M181" s="448" t="str">
        <f>IF(L181="nio","",VLOOKUP(L181,'3-Productie normen'!$B$31:$H$45,3,FALSE))</f>
        <v>1 x per maand</v>
      </c>
      <c r="N181" s="353" t="e">
        <f t="shared" si="16"/>
        <v>#DIV/0!</v>
      </c>
      <c r="O181" s="354">
        <f>IF(L181="nio",0,IF(L181&gt;0,VLOOKUP(H181,'3-Productie normen'!A:P,VLOOKUP(L181,'3-Productie normen'!$B$31:$C$45,2,FALSE),FALSE)))/VLOOKUP(B181,'2-Kosten per locatie'!$A$13:$D$36,4,FALSE)</f>
        <v>0</v>
      </c>
      <c r="P181" s="82" t="str">
        <f>VLOOKUP(H181,'3-Productie normen'!A:T,20,FALSE)</f>
        <v>V</v>
      </c>
      <c r="Q181" s="447" t="s">
        <v>792</v>
      </c>
      <c r="S181" s="356">
        <f t="shared" si="17"/>
        <v>26.40000057220464</v>
      </c>
    </row>
    <row r="182" spans="1:19" ht="14.1" customHeight="1">
      <c r="A182" s="72">
        <f t="shared" si="11"/>
        <v>182</v>
      </c>
      <c r="B182" s="50" t="s">
        <v>1111</v>
      </c>
      <c r="C182" s="50" t="s">
        <v>826</v>
      </c>
      <c r="D182" s="427" t="s">
        <v>1036</v>
      </c>
      <c r="E182" s="426" t="s">
        <v>196</v>
      </c>
      <c r="F182" s="349" t="s">
        <v>441</v>
      </c>
      <c r="G182" s="86" t="s">
        <v>222</v>
      </c>
      <c r="H182" s="86" t="s">
        <v>16</v>
      </c>
      <c r="I182" s="86" t="s">
        <v>91</v>
      </c>
      <c r="J182" s="343">
        <v>1.74</v>
      </c>
      <c r="K182" s="351">
        <f t="shared" si="15"/>
        <v>201</v>
      </c>
      <c r="L182" s="352">
        <v>201</v>
      </c>
      <c r="M182" s="448" t="str">
        <f>IF(L182="nio","",VLOOKUP(L182,'3-Productie normen'!$B$31:$H$45,3,FALSE))</f>
        <v>5 x per week (40 weken + 1 Zomer refreshbeurt)</v>
      </c>
      <c r="N182" s="353" t="e">
        <f t="shared" si="16"/>
        <v>#DIV/0!</v>
      </c>
      <c r="O182" s="354">
        <f>IF(L182="nio",0,IF(L182&gt;0,VLOOKUP(H182,'3-Productie normen'!A:P,VLOOKUP(L182,'3-Productie normen'!$B$31:$C$45,2,FALSE),FALSE)))/VLOOKUP(B182,'2-Kosten per locatie'!$A$13:$D$36,4,FALSE)</f>
        <v>0</v>
      </c>
      <c r="P182" s="82" t="str">
        <f>VLOOKUP(H182,'3-Productie normen'!A:T,20,FALSE)</f>
        <v>S</v>
      </c>
      <c r="Q182" s="447" t="s">
        <v>901</v>
      </c>
      <c r="S182" s="356">
        <f t="shared" si="17"/>
        <v>349.74</v>
      </c>
    </row>
    <row r="183" spans="1:19" ht="14.1" customHeight="1">
      <c r="A183" s="72">
        <f t="shared" si="11"/>
        <v>183</v>
      </c>
      <c r="B183" s="50" t="s">
        <v>1111</v>
      </c>
      <c r="C183" s="50" t="s">
        <v>826</v>
      </c>
      <c r="D183" s="427" t="s">
        <v>1036</v>
      </c>
      <c r="E183" s="426" t="s">
        <v>196</v>
      </c>
      <c r="F183" s="349" t="s">
        <v>442</v>
      </c>
      <c r="G183" s="86" t="s">
        <v>222</v>
      </c>
      <c r="H183" s="86" t="s">
        <v>16</v>
      </c>
      <c r="I183" s="86" t="s">
        <v>91</v>
      </c>
      <c r="J183" s="343">
        <v>1.74</v>
      </c>
      <c r="K183" s="351">
        <f t="shared" si="15"/>
        <v>201</v>
      </c>
      <c r="L183" s="352">
        <v>201</v>
      </c>
      <c r="M183" s="448" t="str">
        <f>IF(L183="nio","",VLOOKUP(L183,'3-Productie normen'!$B$31:$H$45,3,FALSE))</f>
        <v>5 x per week (40 weken + 1 Zomer refreshbeurt)</v>
      </c>
      <c r="N183" s="353" t="e">
        <f t="shared" si="16"/>
        <v>#DIV/0!</v>
      </c>
      <c r="O183" s="354">
        <f>IF(L183="nio",0,IF(L183&gt;0,VLOOKUP(H183,'3-Productie normen'!A:P,VLOOKUP(L183,'3-Productie normen'!$B$31:$C$45,2,FALSE),FALSE)))/VLOOKUP(B183,'2-Kosten per locatie'!$A$13:$D$36,4,FALSE)</f>
        <v>0</v>
      </c>
      <c r="P183" s="82" t="str">
        <f>VLOOKUP(H183,'3-Productie normen'!A:T,20,FALSE)</f>
        <v>S</v>
      </c>
      <c r="Q183" s="447" t="s">
        <v>901</v>
      </c>
      <c r="S183" s="356">
        <f t="shared" si="17"/>
        <v>349.74</v>
      </c>
    </row>
    <row r="184" spans="1:19" ht="14.1" customHeight="1">
      <c r="A184" s="72">
        <f t="shared" si="11"/>
        <v>184</v>
      </c>
      <c r="B184" s="50" t="s">
        <v>1111</v>
      </c>
      <c r="C184" s="50" t="s">
        <v>826</v>
      </c>
      <c r="D184" s="427" t="s">
        <v>1036</v>
      </c>
      <c r="E184" s="426" t="s">
        <v>196</v>
      </c>
      <c r="F184" s="349" t="s">
        <v>443</v>
      </c>
      <c r="G184" s="86" t="s">
        <v>242</v>
      </c>
      <c r="H184" s="50" t="s">
        <v>241</v>
      </c>
      <c r="I184" s="86" t="s">
        <v>780</v>
      </c>
      <c r="J184" s="343">
        <v>55</v>
      </c>
      <c r="K184" s="351">
        <f t="shared" si="15"/>
        <v>201</v>
      </c>
      <c r="L184" s="352">
        <v>201</v>
      </c>
      <c r="M184" s="448" t="str">
        <f>IF(L184="nio","",VLOOKUP(L184,'3-Productie normen'!$B$31:$H$45,3,FALSE))</f>
        <v>5 x per week (40 weken + 1 Zomer refreshbeurt)</v>
      </c>
      <c r="N184" s="353" t="e">
        <f t="shared" si="16"/>
        <v>#DIV/0!</v>
      </c>
      <c r="O184" s="354">
        <f>IF(L184="nio",0,IF(L184&gt;0,VLOOKUP(H184,'3-Productie normen'!A:P,VLOOKUP(L184,'3-Productie normen'!$B$31:$C$45,2,FALSE),FALSE)))/VLOOKUP(B184,'2-Kosten per locatie'!$A$13:$D$36,4,FALSE)</f>
        <v>0</v>
      </c>
      <c r="P184" s="82" t="str">
        <f>VLOOKUP(H184,'3-Productie normen'!A:T,20,FALSE)</f>
        <v>L</v>
      </c>
      <c r="Q184" s="447" t="s">
        <v>920</v>
      </c>
      <c r="S184" s="356">
        <f t="shared" si="17"/>
        <v>11055</v>
      </c>
    </row>
    <row r="185" spans="1:19" ht="14.1" customHeight="1">
      <c r="A185" s="72">
        <f t="shared" si="11"/>
        <v>185</v>
      </c>
      <c r="B185" s="50" t="s">
        <v>1111</v>
      </c>
      <c r="C185" s="50" t="s">
        <v>826</v>
      </c>
      <c r="D185" s="427" t="s">
        <v>1036</v>
      </c>
      <c r="E185" s="426" t="s">
        <v>196</v>
      </c>
      <c r="F185" s="349" t="s">
        <v>444</v>
      </c>
      <c r="G185" s="86" t="s">
        <v>209</v>
      </c>
      <c r="H185" s="50" t="s">
        <v>1040</v>
      </c>
      <c r="I185" s="86" t="s">
        <v>780</v>
      </c>
      <c r="J185" s="343">
        <v>4.0999999046325701</v>
      </c>
      <c r="K185" s="351">
        <f t="shared" si="15"/>
        <v>12</v>
      </c>
      <c r="L185" s="352">
        <v>12</v>
      </c>
      <c r="M185" s="448" t="str">
        <f>IF(L185="nio","",VLOOKUP(L185,'3-Productie normen'!$B$31:$H$45,3,FALSE))</f>
        <v>1 x per maand</v>
      </c>
      <c r="N185" s="353" t="e">
        <f t="shared" si="16"/>
        <v>#DIV/0!</v>
      </c>
      <c r="O185" s="354">
        <f>IF(L185="nio",0,IF(L185&gt;0,VLOOKUP(H185,'3-Productie normen'!A:P,VLOOKUP(L185,'3-Productie normen'!$B$31:$C$45,2,FALSE),FALSE)))/VLOOKUP(B185,'2-Kosten per locatie'!$A$13:$D$36,4,FALSE)</f>
        <v>0</v>
      </c>
      <c r="P185" s="82" t="str">
        <f>VLOOKUP(H185,'3-Productie normen'!A:T,20,FALSE)</f>
        <v>V</v>
      </c>
      <c r="Q185" s="447" t="s">
        <v>792</v>
      </c>
      <c r="S185" s="356">
        <f t="shared" si="17"/>
        <v>49.199998855590842</v>
      </c>
    </row>
    <row r="186" spans="1:19" ht="14.1" customHeight="1">
      <c r="A186" s="72">
        <f t="shared" si="11"/>
        <v>186</v>
      </c>
      <c r="B186" s="50" t="s">
        <v>1111</v>
      </c>
      <c r="C186" s="50" t="s">
        <v>826</v>
      </c>
      <c r="D186" s="427" t="s">
        <v>1036</v>
      </c>
      <c r="E186" s="426" t="s">
        <v>196</v>
      </c>
      <c r="F186" s="349" t="s">
        <v>445</v>
      </c>
      <c r="G186" s="86" t="s">
        <v>209</v>
      </c>
      <c r="H186" s="50" t="s">
        <v>1040</v>
      </c>
      <c r="I186" s="86" t="s">
        <v>780</v>
      </c>
      <c r="J186" s="343">
        <v>2.4000000953674299</v>
      </c>
      <c r="K186" s="351">
        <f t="shared" si="15"/>
        <v>12</v>
      </c>
      <c r="L186" s="352">
        <v>12</v>
      </c>
      <c r="M186" s="448" t="str">
        <f>IF(L186="nio","",VLOOKUP(L186,'3-Productie normen'!$B$31:$H$45,3,FALSE))</f>
        <v>1 x per maand</v>
      </c>
      <c r="N186" s="353" t="e">
        <f t="shared" si="16"/>
        <v>#DIV/0!</v>
      </c>
      <c r="O186" s="354">
        <f>IF(L186="nio",0,IF(L186&gt;0,VLOOKUP(H186,'3-Productie normen'!A:P,VLOOKUP(L186,'3-Productie normen'!$B$31:$C$45,2,FALSE),FALSE)))/VLOOKUP(B186,'2-Kosten per locatie'!$A$13:$D$36,4,FALSE)</f>
        <v>0</v>
      </c>
      <c r="P186" s="82" t="str">
        <f>VLOOKUP(H186,'3-Productie normen'!A:T,20,FALSE)</f>
        <v>V</v>
      </c>
      <c r="Q186" s="447" t="s">
        <v>792</v>
      </c>
      <c r="S186" s="356">
        <f t="shared" si="17"/>
        <v>28.800001144409158</v>
      </c>
    </row>
    <row r="187" spans="1:19" ht="14.1" customHeight="1">
      <c r="A187" s="72">
        <f t="shared" si="11"/>
        <v>187</v>
      </c>
      <c r="B187" s="50" t="s">
        <v>1111</v>
      </c>
      <c r="C187" s="50" t="s">
        <v>826</v>
      </c>
      <c r="D187" s="427" t="s">
        <v>1036</v>
      </c>
      <c r="E187" s="426" t="s">
        <v>196</v>
      </c>
      <c r="F187" s="349" t="s">
        <v>446</v>
      </c>
      <c r="G187" s="86" t="s">
        <v>201</v>
      </c>
      <c r="H187" s="432" t="s">
        <v>198</v>
      </c>
      <c r="I187" s="86" t="s">
        <v>780</v>
      </c>
      <c r="J187" s="343">
        <v>57.5</v>
      </c>
      <c r="K187" s="351">
        <f t="shared" si="15"/>
        <v>200</v>
      </c>
      <c r="L187" s="352">
        <v>200</v>
      </c>
      <c r="M187" s="448" t="str">
        <f>IF(L187="nio","",VLOOKUP(L187,'3-Productie normen'!$B$31:$H$45,3,FALSE))</f>
        <v>5 x per week (40 weken)</v>
      </c>
      <c r="N187" s="353" t="e">
        <f t="shared" si="16"/>
        <v>#DIV/0!</v>
      </c>
      <c r="O187" s="354">
        <f>IF(L187="nio",0,IF(L187&gt;0,VLOOKUP(H187,'3-Productie normen'!A:P,VLOOKUP(L187,'3-Productie normen'!$B$31:$C$45,2,FALSE),FALSE)))/VLOOKUP(B187,'2-Kosten per locatie'!$A$13:$D$36,4,FALSE)</f>
        <v>0</v>
      </c>
      <c r="P187" s="82" t="str">
        <f>VLOOKUP(H187,'3-Productie normen'!A:T,20,FALSE)</f>
        <v>V</v>
      </c>
      <c r="Q187" s="447" t="s">
        <v>792</v>
      </c>
      <c r="S187" s="356">
        <f t="shared" si="17"/>
        <v>11500</v>
      </c>
    </row>
    <row r="188" spans="1:19" ht="14.1" customHeight="1">
      <c r="A188" s="72">
        <f t="shared" si="11"/>
        <v>188</v>
      </c>
      <c r="B188" s="50" t="s">
        <v>1111</v>
      </c>
      <c r="C188" s="50" t="s">
        <v>826</v>
      </c>
      <c r="D188" s="427" t="s">
        <v>1036</v>
      </c>
      <c r="E188" s="426" t="s">
        <v>196</v>
      </c>
      <c r="F188" s="349" t="s">
        <v>447</v>
      </c>
      <c r="G188" s="86" t="s">
        <v>232</v>
      </c>
      <c r="H188" s="430" t="s">
        <v>1046</v>
      </c>
      <c r="I188" s="86" t="s">
        <v>790</v>
      </c>
      <c r="J188" s="343">
        <v>8.5100002288818395</v>
      </c>
      <c r="K188" s="351">
        <f t="shared" si="15"/>
        <v>200</v>
      </c>
      <c r="L188" s="352">
        <v>200</v>
      </c>
      <c r="M188" s="448" t="str">
        <f>IF(L188="nio","",VLOOKUP(L188,'3-Productie normen'!$B$31:$H$45,3,FALSE))</f>
        <v>5 x per week (40 weken)</v>
      </c>
      <c r="N188" s="353" t="e">
        <f t="shared" si="16"/>
        <v>#DIV/0!</v>
      </c>
      <c r="O188" s="354">
        <f>IF(L188="nio",0,IF(L188&gt;0,VLOOKUP(H188,'3-Productie normen'!A:P,VLOOKUP(L188,'3-Productie normen'!$B$31:$C$45,2,FALSE),FALSE)))/VLOOKUP(B188,'2-Kosten per locatie'!$A$13:$D$36,4,FALSE)</f>
        <v>0</v>
      </c>
      <c r="P188" s="82" t="str">
        <f>VLOOKUP(H188,'3-Productie normen'!A:T,20,FALSE)</f>
        <v>V</v>
      </c>
      <c r="Q188" s="447" t="s">
        <v>792</v>
      </c>
      <c r="S188" s="356">
        <f t="shared" si="17"/>
        <v>1702.0000457763679</v>
      </c>
    </row>
    <row r="189" spans="1:19" ht="14.1" customHeight="1">
      <c r="A189" s="72">
        <f t="shared" si="11"/>
        <v>189</v>
      </c>
      <c r="B189" s="50" t="s">
        <v>1110</v>
      </c>
      <c r="C189" s="50" t="s">
        <v>826</v>
      </c>
      <c r="D189" s="427" t="s">
        <v>1035</v>
      </c>
      <c r="E189" s="426" t="s">
        <v>196</v>
      </c>
      <c r="F189" s="349" t="s">
        <v>448</v>
      </c>
      <c r="G189" s="86" t="s">
        <v>199</v>
      </c>
      <c r="H189" s="432" t="s">
        <v>198</v>
      </c>
      <c r="I189" s="86" t="s">
        <v>784</v>
      </c>
      <c r="J189" s="343">
        <v>9.6000003814697301</v>
      </c>
      <c r="K189" s="351">
        <f t="shared" si="15"/>
        <v>200</v>
      </c>
      <c r="L189" s="352">
        <v>200</v>
      </c>
      <c r="M189" s="448" t="str">
        <f>IF(L189="nio","",VLOOKUP(L189,'3-Productie normen'!$B$31:$H$45,3,FALSE))</f>
        <v>5 x per week (40 weken)</v>
      </c>
      <c r="N189" s="353" t="e">
        <f t="shared" si="16"/>
        <v>#DIV/0!</v>
      </c>
      <c r="O189" s="354">
        <f>IF(L189="nio",0,IF(L189&gt;0,VLOOKUP(H189,'3-Productie normen'!A:P,VLOOKUP(L189,'3-Productie normen'!$B$31:$C$45,2,FALSE),FALSE)))/VLOOKUP(B189,'2-Kosten per locatie'!$A$13:$D$36,4,FALSE)</f>
        <v>0</v>
      </c>
      <c r="P189" s="82" t="str">
        <f>VLOOKUP(H189,'3-Productie normen'!A:T,20,FALSE)</f>
        <v>V</v>
      </c>
      <c r="Q189" s="447" t="s">
        <v>873</v>
      </c>
      <c r="S189" s="356">
        <f t="shared" si="17"/>
        <v>1920.000076293946</v>
      </c>
    </row>
    <row r="190" spans="1:19" ht="14.1" customHeight="1">
      <c r="A190" s="72">
        <f t="shared" si="11"/>
        <v>190</v>
      </c>
      <c r="B190" s="50" t="s">
        <v>1110</v>
      </c>
      <c r="C190" s="50" t="s">
        <v>826</v>
      </c>
      <c r="D190" s="427" t="s">
        <v>1035</v>
      </c>
      <c r="E190" s="426" t="s">
        <v>196</v>
      </c>
      <c r="F190" s="349" t="s">
        <v>449</v>
      </c>
      <c r="G190" s="86" t="s">
        <v>201</v>
      </c>
      <c r="H190" s="432" t="s">
        <v>198</v>
      </c>
      <c r="I190" s="86" t="s">
        <v>780</v>
      </c>
      <c r="J190" s="343">
        <v>89.760002136230497</v>
      </c>
      <c r="K190" s="351">
        <f t="shared" si="15"/>
        <v>255</v>
      </c>
      <c r="L190" s="352">
        <v>255</v>
      </c>
      <c r="M190" s="448" t="str">
        <f>IF(L190="nio","",VLOOKUP(L190,'3-Productie normen'!$B$31:$H$45,3,FALSE))</f>
        <v>5 x per week (52 weken)</v>
      </c>
      <c r="N190" s="353" t="e">
        <f t="shared" si="16"/>
        <v>#DIV/0!</v>
      </c>
      <c r="O190" s="354">
        <f>IF(L190="nio",0,IF(L190&gt;0,VLOOKUP(H190,'3-Productie normen'!A:P,VLOOKUP(L190,'3-Productie normen'!$B$31:$C$45,2,FALSE),FALSE)))/VLOOKUP(B190,'2-Kosten per locatie'!$A$13:$D$36,4,FALSE)</f>
        <v>0</v>
      </c>
      <c r="P190" s="82" t="str">
        <f>VLOOKUP(H190,'3-Productie normen'!A:T,20,FALSE)</f>
        <v>V</v>
      </c>
      <c r="Q190" s="447" t="s">
        <v>921</v>
      </c>
      <c r="S190" s="356">
        <f t="shared" si="17"/>
        <v>22888.800544738777</v>
      </c>
    </row>
    <row r="191" spans="1:19" ht="14.1" customHeight="1">
      <c r="A191" s="72">
        <f t="shared" si="11"/>
        <v>191</v>
      </c>
      <c r="B191" s="50" t="s">
        <v>1110</v>
      </c>
      <c r="C191" s="50" t="s">
        <v>826</v>
      </c>
      <c r="D191" s="427" t="s">
        <v>1035</v>
      </c>
      <c r="E191" s="426" t="s">
        <v>196</v>
      </c>
      <c r="F191" s="349" t="s">
        <v>450</v>
      </c>
      <c r="G191" s="86" t="s">
        <v>209</v>
      </c>
      <c r="H191" s="50" t="s">
        <v>1040</v>
      </c>
      <c r="I191" s="86" t="s">
        <v>780</v>
      </c>
      <c r="J191" s="343">
        <v>0.86000001430511497</v>
      </c>
      <c r="K191" s="351">
        <f t="shared" si="15"/>
        <v>12</v>
      </c>
      <c r="L191" s="352">
        <v>12</v>
      </c>
      <c r="M191" s="448" t="str">
        <f>IF(L191="nio","",VLOOKUP(L191,'3-Productie normen'!$B$31:$H$45,3,FALSE))</f>
        <v>1 x per maand</v>
      </c>
      <c r="N191" s="353" t="e">
        <f t="shared" si="16"/>
        <v>#DIV/0!</v>
      </c>
      <c r="O191" s="354">
        <f>IF(L191="nio",0,IF(L191&gt;0,VLOOKUP(H191,'3-Productie normen'!A:P,VLOOKUP(L191,'3-Productie normen'!$B$31:$C$45,2,FALSE),FALSE)))/VLOOKUP(B191,'2-Kosten per locatie'!$A$13:$D$36,4,FALSE)</f>
        <v>0</v>
      </c>
      <c r="P191" s="82" t="str">
        <f>VLOOKUP(H191,'3-Productie normen'!A:T,20,FALSE)</f>
        <v>V</v>
      </c>
      <c r="Q191" s="447" t="s">
        <v>792</v>
      </c>
      <c r="S191" s="356">
        <f t="shared" si="17"/>
        <v>10.320000171661381</v>
      </c>
    </row>
    <row r="192" spans="1:19" ht="14.1" customHeight="1">
      <c r="A192" s="72">
        <f t="shared" si="11"/>
        <v>192</v>
      </c>
      <c r="B192" s="50" t="s">
        <v>1110</v>
      </c>
      <c r="C192" s="50" t="s">
        <v>826</v>
      </c>
      <c r="D192" s="427" t="s">
        <v>1035</v>
      </c>
      <c r="E192" s="426" t="s">
        <v>196</v>
      </c>
      <c r="F192" s="349" t="s">
        <v>451</v>
      </c>
      <c r="G192" s="86" t="s">
        <v>206</v>
      </c>
      <c r="H192" s="65" t="s">
        <v>1053</v>
      </c>
      <c r="I192" s="86" t="s">
        <v>92</v>
      </c>
      <c r="J192" s="343">
        <v>0.62999999523162797</v>
      </c>
      <c r="K192" s="351" t="str">
        <f t="shared" si="15"/>
        <v>nio</v>
      </c>
      <c r="L192" s="352" t="s">
        <v>804</v>
      </c>
      <c r="M192" s="448" t="str">
        <f>IF(L192="nio","",VLOOKUP(L192,'3-Productie normen'!$B$31:$H$45,3,FALSE))</f>
        <v/>
      </c>
      <c r="N192" s="353">
        <f t="shared" si="16"/>
        <v>0</v>
      </c>
      <c r="O192" s="354">
        <f>IF(L192="nio",0,IF(L192&gt;0,VLOOKUP(H192,'3-Productie normen'!A:P,VLOOKUP(L192,'3-Productie normen'!$B$31:$C$45,2,FALSE),FALSE)))/VLOOKUP(B192,'2-Kosten per locatie'!$A$13:$D$36,4,FALSE)</f>
        <v>0</v>
      </c>
      <c r="P192" s="82">
        <f>VLOOKUP(H192,'3-Productie normen'!A:T,20,FALSE)</f>
        <v>0</v>
      </c>
      <c r="Q192" s="447" t="s">
        <v>916</v>
      </c>
      <c r="S192" s="356">
        <f t="shared" si="17"/>
        <v>0</v>
      </c>
    </row>
    <row r="193" spans="1:19" ht="14.1" customHeight="1">
      <c r="A193" s="72">
        <f t="shared" si="11"/>
        <v>193</v>
      </c>
      <c r="B193" s="50" t="s">
        <v>1110</v>
      </c>
      <c r="C193" s="50" t="s">
        <v>826</v>
      </c>
      <c r="D193" s="427" t="s">
        <v>1035</v>
      </c>
      <c r="E193" s="426" t="s">
        <v>196</v>
      </c>
      <c r="F193" s="349" t="s">
        <v>452</v>
      </c>
      <c r="G193" s="86" t="s">
        <v>201</v>
      </c>
      <c r="H193" s="432" t="s">
        <v>198</v>
      </c>
      <c r="I193" s="86" t="s">
        <v>780</v>
      </c>
      <c r="J193" s="343">
        <v>5.73</v>
      </c>
      <c r="K193" s="351">
        <f t="shared" si="15"/>
        <v>200</v>
      </c>
      <c r="L193" s="352">
        <v>200</v>
      </c>
      <c r="M193" s="448" t="str">
        <f>IF(L193="nio","",VLOOKUP(L193,'3-Productie normen'!$B$31:$H$45,3,FALSE))</f>
        <v>5 x per week (40 weken)</v>
      </c>
      <c r="N193" s="353" t="e">
        <f t="shared" si="16"/>
        <v>#DIV/0!</v>
      </c>
      <c r="O193" s="354">
        <f>IF(L193="nio",0,IF(L193&gt;0,VLOOKUP(H193,'3-Productie normen'!A:P,VLOOKUP(L193,'3-Productie normen'!$B$31:$C$45,2,FALSE),FALSE)))/VLOOKUP(B193,'2-Kosten per locatie'!$A$13:$D$36,4,FALSE)</f>
        <v>0</v>
      </c>
      <c r="P193" s="82" t="str">
        <f>VLOOKUP(H193,'3-Productie normen'!A:T,20,FALSE)</f>
        <v>V</v>
      </c>
      <c r="Q193" s="447" t="s">
        <v>922</v>
      </c>
      <c r="S193" s="356">
        <f t="shared" si="17"/>
        <v>1146</v>
      </c>
    </row>
    <row r="194" spans="1:19" ht="14.1" customHeight="1">
      <c r="A194" s="72">
        <f t="shared" si="11"/>
        <v>194</v>
      </c>
      <c r="B194" s="50" t="s">
        <v>1111</v>
      </c>
      <c r="C194" s="50" t="s">
        <v>826</v>
      </c>
      <c r="D194" s="427" t="s">
        <v>1036</v>
      </c>
      <c r="E194" s="426" t="s">
        <v>196</v>
      </c>
      <c r="F194" s="349" t="s">
        <v>453</v>
      </c>
      <c r="G194" s="86" t="s">
        <v>222</v>
      </c>
      <c r="H194" s="81" t="s">
        <v>16</v>
      </c>
      <c r="I194" s="86" t="s">
        <v>91</v>
      </c>
      <c r="J194" s="343">
        <v>1.74</v>
      </c>
      <c r="K194" s="351">
        <f t="shared" si="15"/>
        <v>201</v>
      </c>
      <c r="L194" s="352">
        <v>201</v>
      </c>
      <c r="M194" s="448" t="str">
        <f>IF(L194="nio","",VLOOKUP(L194,'3-Productie normen'!$B$31:$H$45,3,FALSE))</f>
        <v>5 x per week (40 weken + 1 Zomer refreshbeurt)</v>
      </c>
      <c r="N194" s="353" t="e">
        <f t="shared" si="16"/>
        <v>#DIV/0!</v>
      </c>
      <c r="O194" s="354">
        <f>IF(L194="nio",0,IF(L194&gt;0,VLOOKUP(H194,'3-Productie normen'!A:P,VLOOKUP(L194,'3-Productie normen'!$B$31:$C$45,2,FALSE),FALSE)))/VLOOKUP(B194,'2-Kosten per locatie'!$A$13:$D$36,4,FALSE)</f>
        <v>0</v>
      </c>
      <c r="P194" s="82" t="str">
        <f>VLOOKUP(H194,'3-Productie normen'!A:T,20,FALSE)</f>
        <v>S</v>
      </c>
      <c r="Q194" s="447" t="s">
        <v>901</v>
      </c>
      <c r="S194" s="356">
        <f t="shared" si="17"/>
        <v>349.74</v>
      </c>
    </row>
    <row r="195" spans="1:19" ht="14.1" customHeight="1">
      <c r="A195" s="72">
        <f t="shared" si="11"/>
        <v>195</v>
      </c>
      <c r="B195" s="50" t="s">
        <v>1111</v>
      </c>
      <c r="C195" s="50" t="s">
        <v>826</v>
      </c>
      <c r="D195" s="427" t="s">
        <v>1036</v>
      </c>
      <c r="E195" s="426" t="s">
        <v>196</v>
      </c>
      <c r="F195" s="349" t="s">
        <v>454</v>
      </c>
      <c r="G195" s="86" t="s">
        <v>246</v>
      </c>
      <c r="H195" s="81" t="s">
        <v>1039</v>
      </c>
      <c r="I195" s="86" t="s">
        <v>780</v>
      </c>
      <c r="J195" s="343">
        <v>86.900001525878906</v>
      </c>
      <c r="K195" s="351">
        <f t="shared" si="15"/>
        <v>200</v>
      </c>
      <c r="L195" s="352">
        <v>200</v>
      </c>
      <c r="M195" s="448" t="str">
        <f>IF(L195="nio","",VLOOKUP(L195,'3-Productie normen'!$B$31:$H$45,3,FALSE))</f>
        <v>5 x per week (40 weken)</v>
      </c>
      <c r="N195" s="353" t="e">
        <f t="shared" si="16"/>
        <v>#DIV/0!</v>
      </c>
      <c r="O195" s="354">
        <f>IF(L195="nio",0,IF(L195&gt;0,VLOOKUP(H195,'3-Productie normen'!A:P,VLOOKUP(L195,'3-Productie normen'!$B$31:$C$45,2,FALSE),FALSE)))/VLOOKUP(B195,'2-Kosten per locatie'!$A$13:$D$36,4,FALSE)</f>
        <v>0</v>
      </c>
      <c r="P195" s="82" t="str">
        <f>VLOOKUP(H195,'3-Productie normen'!A:T,20,FALSE)</f>
        <v>V</v>
      </c>
      <c r="Q195" s="447" t="s">
        <v>792</v>
      </c>
      <c r="S195" s="356">
        <f t="shared" si="17"/>
        <v>17380.000305175781</v>
      </c>
    </row>
    <row r="196" spans="1:19" ht="14.1" customHeight="1">
      <c r="A196" s="72">
        <f t="shared" si="11"/>
        <v>196</v>
      </c>
      <c r="B196" s="50" t="s">
        <v>1111</v>
      </c>
      <c r="C196" s="50" t="s">
        <v>826</v>
      </c>
      <c r="D196" s="427" t="s">
        <v>1036</v>
      </c>
      <c r="E196" s="426" t="s">
        <v>196</v>
      </c>
      <c r="F196" s="349" t="s">
        <v>455</v>
      </c>
      <c r="G196" s="86" t="s">
        <v>248</v>
      </c>
      <c r="H196" s="50" t="s">
        <v>1040</v>
      </c>
      <c r="I196" s="86" t="s">
        <v>780</v>
      </c>
      <c r="J196" s="343">
        <v>6.4000000953674299</v>
      </c>
      <c r="K196" s="351">
        <f t="shared" si="15"/>
        <v>12</v>
      </c>
      <c r="L196" s="352">
        <v>12</v>
      </c>
      <c r="M196" s="448" t="str">
        <f>IF(L196="nio","",VLOOKUP(L196,'3-Productie normen'!$B$31:$H$45,3,FALSE))</f>
        <v>1 x per maand</v>
      </c>
      <c r="N196" s="353" t="e">
        <f t="shared" ref="N196:N259" si="18">IF(L196="nio",0,IF(L196&gt;0,L196*J196/O196,0))</f>
        <v>#DIV/0!</v>
      </c>
      <c r="O196" s="354">
        <f>IF(L196="nio",0,IF(L196&gt;0,VLOOKUP(H196,'3-Productie normen'!A:P,VLOOKUP(L196,'3-Productie normen'!$B$31:$C$45,2,FALSE),FALSE)))/VLOOKUP(B196,'2-Kosten per locatie'!$A$13:$D$36,4,FALSE)</f>
        <v>0</v>
      </c>
      <c r="P196" s="82" t="str">
        <f>VLOOKUP(H196,'3-Productie normen'!A:T,20,FALSE)</f>
        <v>V</v>
      </c>
      <c r="Q196" s="447" t="s">
        <v>792</v>
      </c>
      <c r="S196" s="356">
        <f t="shared" ref="S196:S259" si="19">IF(L196="nio",0,K196*J196)</f>
        <v>76.800001144409151</v>
      </c>
    </row>
    <row r="197" spans="1:19" ht="14.1" customHeight="1">
      <c r="A197" s="72">
        <f t="shared" si="11"/>
        <v>197</v>
      </c>
      <c r="B197" s="50" t="s">
        <v>1110</v>
      </c>
      <c r="C197" s="50" t="s">
        <v>826</v>
      </c>
      <c r="D197" s="427" t="s">
        <v>1035</v>
      </c>
      <c r="E197" s="426" t="s">
        <v>196</v>
      </c>
      <c r="F197" s="349" t="s">
        <v>456</v>
      </c>
      <c r="G197" s="86" t="s">
        <v>222</v>
      </c>
      <c r="H197" s="86" t="s">
        <v>16</v>
      </c>
      <c r="I197" s="86" t="s">
        <v>91</v>
      </c>
      <c r="J197" s="343">
        <v>3.97</v>
      </c>
      <c r="K197" s="351">
        <f t="shared" ref="K197:K260" si="20">L197</f>
        <v>201</v>
      </c>
      <c r="L197" s="352">
        <v>201</v>
      </c>
      <c r="M197" s="448" t="str">
        <f>IF(L197="nio","",VLOOKUP(L197,'3-Productie normen'!$B$31:$H$45,3,FALSE))</f>
        <v>5 x per week (40 weken + 1 Zomer refreshbeurt)</v>
      </c>
      <c r="N197" s="353" t="e">
        <f t="shared" si="18"/>
        <v>#DIV/0!</v>
      </c>
      <c r="O197" s="354">
        <f>IF(L197="nio",0,IF(L197&gt;0,VLOOKUP(H197,'3-Productie normen'!A:P,VLOOKUP(L197,'3-Productie normen'!$B$31:$C$45,2,FALSE),FALSE)))/VLOOKUP(B197,'2-Kosten per locatie'!$A$13:$D$36,4,FALSE)</f>
        <v>0</v>
      </c>
      <c r="P197" s="82" t="str">
        <f>VLOOKUP(H197,'3-Productie normen'!A:T,20,FALSE)</f>
        <v>S</v>
      </c>
      <c r="Q197" s="447" t="s">
        <v>923</v>
      </c>
      <c r="S197" s="356">
        <f t="shared" si="19"/>
        <v>797.97</v>
      </c>
    </row>
    <row r="198" spans="1:19" ht="14.1" customHeight="1">
      <c r="A198" s="72">
        <f t="shared" si="11"/>
        <v>198</v>
      </c>
      <c r="B198" s="50" t="s">
        <v>1110</v>
      </c>
      <c r="C198" s="50" t="s">
        <v>826</v>
      </c>
      <c r="D198" s="427" t="s">
        <v>1035</v>
      </c>
      <c r="E198" s="426" t="s">
        <v>196</v>
      </c>
      <c r="F198" s="349" t="s">
        <v>457</v>
      </c>
      <c r="G198" s="86" t="s">
        <v>222</v>
      </c>
      <c r="H198" s="86" t="s">
        <v>16</v>
      </c>
      <c r="I198" s="86" t="s">
        <v>91</v>
      </c>
      <c r="J198" s="343">
        <v>2.0699999999999998</v>
      </c>
      <c r="K198" s="351">
        <f t="shared" si="20"/>
        <v>201</v>
      </c>
      <c r="L198" s="352">
        <v>201</v>
      </c>
      <c r="M198" s="448" t="str">
        <f>IF(L198="nio","",VLOOKUP(L198,'3-Productie normen'!$B$31:$H$45,3,FALSE))</f>
        <v>5 x per week (40 weken + 1 Zomer refreshbeurt)</v>
      </c>
      <c r="N198" s="353" t="e">
        <f t="shared" si="18"/>
        <v>#DIV/0!</v>
      </c>
      <c r="O198" s="354">
        <f>IF(L198="nio",0,IF(L198&gt;0,VLOOKUP(H198,'3-Productie normen'!A:P,VLOOKUP(L198,'3-Productie normen'!$B$31:$C$45,2,FALSE),FALSE)))/VLOOKUP(B198,'2-Kosten per locatie'!$A$13:$D$36,4,FALSE)</f>
        <v>0</v>
      </c>
      <c r="P198" s="82" t="str">
        <f>VLOOKUP(H198,'3-Productie normen'!A:T,20,FALSE)</f>
        <v>S</v>
      </c>
      <c r="Q198" s="447" t="s">
        <v>901</v>
      </c>
      <c r="S198" s="356">
        <f t="shared" si="19"/>
        <v>416.07</v>
      </c>
    </row>
    <row r="199" spans="1:19" ht="14.1" customHeight="1">
      <c r="A199" s="72">
        <f t="shared" si="11"/>
        <v>199</v>
      </c>
      <c r="B199" s="50" t="s">
        <v>1110</v>
      </c>
      <c r="C199" s="50" t="s">
        <v>826</v>
      </c>
      <c r="D199" s="427" t="s">
        <v>1035</v>
      </c>
      <c r="E199" s="426" t="s">
        <v>196</v>
      </c>
      <c r="F199" s="349" t="s">
        <v>458</v>
      </c>
      <c r="G199" s="86" t="s">
        <v>222</v>
      </c>
      <c r="H199" s="50" t="s">
        <v>16</v>
      </c>
      <c r="I199" s="86" t="s">
        <v>91</v>
      </c>
      <c r="J199" s="343">
        <v>2.0699999999999998</v>
      </c>
      <c r="K199" s="351">
        <f t="shared" si="20"/>
        <v>201</v>
      </c>
      <c r="L199" s="352">
        <v>201</v>
      </c>
      <c r="M199" s="448" t="str">
        <f>IF(L199="nio","",VLOOKUP(L199,'3-Productie normen'!$B$31:$H$45,3,FALSE))</f>
        <v>5 x per week (40 weken + 1 Zomer refreshbeurt)</v>
      </c>
      <c r="N199" s="353" t="e">
        <f t="shared" si="18"/>
        <v>#DIV/0!</v>
      </c>
      <c r="O199" s="354">
        <f>IF(L199="nio",0,IF(L199&gt;0,VLOOKUP(H199,'3-Productie normen'!A:P,VLOOKUP(L199,'3-Productie normen'!$B$31:$C$45,2,FALSE),FALSE)))/VLOOKUP(B199,'2-Kosten per locatie'!$A$13:$D$36,4,FALSE)</f>
        <v>0</v>
      </c>
      <c r="P199" s="82" t="str">
        <f>VLOOKUP(H199,'3-Productie normen'!A:T,20,FALSE)</f>
        <v>S</v>
      </c>
      <c r="Q199" s="447" t="s">
        <v>901</v>
      </c>
      <c r="S199" s="356">
        <f t="shared" si="19"/>
        <v>416.07</v>
      </c>
    </row>
    <row r="200" spans="1:19" ht="14.1" customHeight="1">
      <c r="A200" s="72">
        <f t="shared" si="11"/>
        <v>200</v>
      </c>
      <c r="B200" s="50" t="s">
        <v>1110</v>
      </c>
      <c r="C200" s="50" t="s">
        <v>826</v>
      </c>
      <c r="D200" s="427" t="s">
        <v>1035</v>
      </c>
      <c r="E200" s="426" t="s">
        <v>196</v>
      </c>
      <c r="F200" s="349" t="s">
        <v>459</v>
      </c>
      <c r="G200" s="86" t="s">
        <v>209</v>
      </c>
      <c r="H200" s="50" t="s">
        <v>1040</v>
      </c>
      <c r="I200" s="86" t="s">
        <v>780</v>
      </c>
      <c r="J200" s="343">
        <v>14.300000190734901</v>
      </c>
      <c r="K200" s="351">
        <f t="shared" si="20"/>
        <v>12</v>
      </c>
      <c r="L200" s="352">
        <v>12</v>
      </c>
      <c r="M200" s="448" t="str">
        <f>IF(L200="nio","",VLOOKUP(L200,'3-Productie normen'!$B$31:$H$45,3,FALSE))</f>
        <v>1 x per maand</v>
      </c>
      <c r="N200" s="353" t="e">
        <f t="shared" si="18"/>
        <v>#DIV/0!</v>
      </c>
      <c r="O200" s="354">
        <f>IF(L200="nio",0,IF(L200&gt;0,VLOOKUP(H200,'3-Productie normen'!A:P,VLOOKUP(L200,'3-Productie normen'!$B$31:$C$45,2,FALSE),FALSE)))/VLOOKUP(B200,'2-Kosten per locatie'!$A$13:$D$36,4,FALSE)</f>
        <v>0</v>
      </c>
      <c r="P200" s="82" t="str">
        <f>VLOOKUP(H200,'3-Productie normen'!A:T,20,FALSE)</f>
        <v>V</v>
      </c>
      <c r="Q200" s="447" t="s">
        <v>924</v>
      </c>
      <c r="S200" s="356">
        <f t="shared" si="19"/>
        <v>171.60000228881881</v>
      </c>
    </row>
    <row r="201" spans="1:19" ht="14.1" customHeight="1">
      <c r="A201" s="72">
        <f t="shared" si="11"/>
        <v>201</v>
      </c>
      <c r="B201" s="50" t="s">
        <v>1110</v>
      </c>
      <c r="C201" s="50" t="s">
        <v>826</v>
      </c>
      <c r="D201" s="427" t="s">
        <v>1035</v>
      </c>
      <c r="E201" s="426" t="s">
        <v>196</v>
      </c>
      <c r="F201" s="349" t="s">
        <v>460</v>
      </c>
      <c r="G201" s="86" t="s">
        <v>215</v>
      </c>
      <c r="H201" s="50" t="s">
        <v>1040</v>
      </c>
      <c r="I201" s="86" t="s">
        <v>780</v>
      </c>
      <c r="J201" s="343">
        <v>2.9000000953674299</v>
      </c>
      <c r="K201" s="351">
        <f t="shared" si="20"/>
        <v>12</v>
      </c>
      <c r="L201" s="352">
        <v>12</v>
      </c>
      <c r="M201" s="448" t="str">
        <f>IF(L201="nio","",VLOOKUP(L201,'3-Productie normen'!$B$31:$H$45,3,FALSE))</f>
        <v>1 x per maand</v>
      </c>
      <c r="N201" s="353" t="e">
        <f t="shared" si="18"/>
        <v>#DIV/0!</v>
      </c>
      <c r="O201" s="354">
        <f>IF(L201="nio",0,IF(L201&gt;0,VLOOKUP(H201,'3-Productie normen'!A:P,VLOOKUP(L201,'3-Productie normen'!$B$31:$C$45,2,FALSE),FALSE)))/VLOOKUP(B201,'2-Kosten per locatie'!$A$13:$D$36,4,FALSE)</f>
        <v>0</v>
      </c>
      <c r="P201" s="82" t="str">
        <f>VLOOKUP(H201,'3-Productie normen'!A:T,20,FALSE)</f>
        <v>V</v>
      </c>
      <c r="Q201" s="447" t="s">
        <v>853</v>
      </c>
      <c r="S201" s="356">
        <f t="shared" si="19"/>
        <v>34.800001144409158</v>
      </c>
    </row>
    <row r="202" spans="1:19" ht="14.1" customHeight="1">
      <c r="A202" s="72">
        <f t="shared" si="11"/>
        <v>202</v>
      </c>
      <c r="B202" s="50" t="s">
        <v>1110</v>
      </c>
      <c r="C202" s="50" t="s">
        <v>826</v>
      </c>
      <c r="D202" s="427" t="s">
        <v>1035</v>
      </c>
      <c r="E202" s="426" t="s">
        <v>196</v>
      </c>
      <c r="F202" s="349" t="s">
        <v>461</v>
      </c>
      <c r="G202" s="86" t="s">
        <v>201</v>
      </c>
      <c r="H202" s="432" t="s">
        <v>198</v>
      </c>
      <c r="I202" s="86" t="s">
        <v>780</v>
      </c>
      <c r="J202" s="343">
        <v>65.5</v>
      </c>
      <c r="K202" s="351">
        <f t="shared" si="20"/>
        <v>255</v>
      </c>
      <c r="L202" s="352">
        <v>255</v>
      </c>
      <c r="M202" s="448" t="str">
        <f>IF(L202="nio","",VLOOKUP(L202,'3-Productie normen'!$B$31:$H$45,3,FALSE))</f>
        <v>5 x per week (52 weken)</v>
      </c>
      <c r="N202" s="353" t="e">
        <f t="shared" si="18"/>
        <v>#DIV/0!</v>
      </c>
      <c r="O202" s="354">
        <f>IF(L202="nio",0,IF(L202&gt;0,VLOOKUP(H202,'3-Productie normen'!A:P,VLOOKUP(L202,'3-Productie normen'!$B$31:$C$45,2,FALSE),FALSE)))/VLOOKUP(B202,'2-Kosten per locatie'!$A$13:$D$36,4,FALSE)</f>
        <v>0</v>
      </c>
      <c r="P202" s="82" t="str">
        <f>VLOOKUP(H202,'3-Productie normen'!A:T,20,FALSE)</f>
        <v>V</v>
      </c>
      <c r="Q202" s="447" t="s">
        <v>925</v>
      </c>
      <c r="S202" s="356">
        <f t="shared" si="19"/>
        <v>16702.5</v>
      </c>
    </row>
    <row r="203" spans="1:19" ht="14.1" customHeight="1">
      <c r="A203" s="72">
        <f t="shared" ref="A203:A266" si="21">A202+1</f>
        <v>203</v>
      </c>
      <c r="B203" s="50" t="s">
        <v>1110</v>
      </c>
      <c r="C203" s="50" t="s">
        <v>826</v>
      </c>
      <c r="D203" s="427" t="s">
        <v>1035</v>
      </c>
      <c r="E203" s="426" t="s">
        <v>196</v>
      </c>
      <c r="F203" s="349" t="s">
        <v>462</v>
      </c>
      <c r="G203" s="86" t="s">
        <v>199</v>
      </c>
      <c r="H203" s="432" t="s">
        <v>198</v>
      </c>
      <c r="I203" s="86" t="s">
        <v>779</v>
      </c>
      <c r="J203" s="343">
        <v>3.5999999046325701</v>
      </c>
      <c r="K203" s="351">
        <f t="shared" si="20"/>
        <v>255</v>
      </c>
      <c r="L203" s="352">
        <v>255</v>
      </c>
      <c r="M203" s="448" t="str">
        <f>IF(L203="nio","",VLOOKUP(L203,'3-Productie normen'!$B$31:$H$45,3,FALSE))</f>
        <v>5 x per week (52 weken)</v>
      </c>
      <c r="N203" s="353" t="e">
        <f t="shared" si="18"/>
        <v>#DIV/0!</v>
      </c>
      <c r="O203" s="354">
        <f>IF(L203="nio",0,IF(L203&gt;0,VLOOKUP(H203,'3-Productie normen'!A:P,VLOOKUP(L203,'3-Productie normen'!$B$31:$C$45,2,FALSE),FALSE)))/VLOOKUP(B203,'2-Kosten per locatie'!$A$13:$D$36,4,FALSE)</f>
        <v>0</v>
      </c>
      <c r="P203" s="82" t="str">
        <f>VLOOKUP(H203,'3-Productie normen'!A:T,20,FALSE)</f>
        <v>V</v>
      </c>
      <c r="Q203" s="447" t="s">
        <v>873</v>
      </c>
      <c r="S203" s="356">
        <f t="shared" si="19"/>
        <v>917.99997568130539</v>
      </c>
    </row>
    <row r="204" spans="1:19" ht="14.1" customHeight="1">
      <c r="A204" s="72">
        <f t="shared" si="21"/>
        <v>204</v>
      </c>
      <c r="B204" s="50" t="s">
        <v>1111</v>
      </c>
      <c r="C204" s="50" t="s">
        <v>826</v>
      </c>
      <c r="D204" s="427" t="s">
        <v>1036</v>
      </c>
      <c r="E204" s="426" t="s">
        <v>196</v>
      </c>
      <c r="F204" s="349" t="s">
        <v>463</v>
      </c>
      <c r="G204" s="86" t="s">
        <v>298</v>
      </c>
      <c r="H204" s="50" t="s">
        <v>241</v>
      </c>
      <c r="I204" s="86" t="s">
        <v>780</v>
      </c>
      <c r="J204" s="343">
        <v>56.090000152587898</v>
      </c>
      <c r="K204" s="351">
        <f t="shared" si="20"/>
        <v>201</v>
      </c>
      <c r="L204" s="352">
        <v>201</v>
      </c>
      <c r="M204" s="448" t="str">
        <f>IF(L204="nio","",VLOOKUP(L204,'3-Productie normen'!$B$31:$H$45,3,FALSE))</f>
        <v>5 x per week (40 weken + 1 Zomer refreshbeurt)</v>
      </c>
      <c r="N204" s="353" t="e">
        <f t="shared" si="18"/>
        <v>#DIV/0!</v>
      </c>
      <c r="O204" s="354">
        <f>IF(L204="nio",0,IF(L204&gt;0,VLOOKUP(H204,'3-Productie normen'!A:P,VLOOKUP(L204,'3-Productie normen'!$B$31:$C$45,2,FALSE),FALSE)))/VLOOKUP(B204,'2-Kosten per locatie'!$A$13:$D$36,4,FALSE)</f>
        <v>0</v>
      </c>
      <c r="P204" s="82" t="str">
        <f>VLOOKUP(H204,'3-Productie normen'!A:T,20,FALSE)</f>
        <v>L</v>
      </c>
      <c r="Q204" s="447" t="s">
        <v>926</v>
      </c>
      <c r="S204" s="356">
        <f t="shared" si="19"/>
        <v>11274.090030670168</v>
      </c>
    </row>
    <row r="205" spans="1:19" ht="14.1" customHeight="1">
      <c r="A205" s="72">
        <f t="shared" si="21"/>
        <v>205</v>
      </c>
      <c r="B205" s="50" t="s">
        <v>1111</v>
      </c>
      <c r="C205" s="50" t="s">
        <v>826</v>
      </c>
      <c r="D205" s="427" t="s">
        <v>1036</v>
      </c>
      <c r="E205" s="426" t="s">
        <v>196</v>
      </c>
      <c r="F205" s="349" t="s">
        <v>464</v>
      </c>
      <c r="G205" s="86" t="s">
        <v>209</v>
      </c>
      <c r="H205" s="63" t="s">
        <v>1040</v>
      </c>
      <c r="I205" s="86" t="s">
        <v>780</v>
      </c>
      <c r="J205" s="343">
        <v>2.2000000476837198</v>
      </c>
      <c r="K205" s="351">
        <f t="shared" si="20"/>
        <v>12</v>
      </c>
      <c r="L205" s="352">
        <v>12</v>
      </c>
      <c r="M205" s="448" t="str">
        <f>IF(L205="nio","",VLOOKUP(L205,'3-Productie normen'!$B$31:$H$45,3,FALSE))</f>
        <v>1 x per maand</v>
      </c>
      <c r="N205" s="353" t="e">
        <f t="shared" si="18"/>
        <v>#DIV/0!</v>
      </c>
      <c r="O205" s="354">
        <f>IF(L205="nio",0,IF(L205&gt;0,VLOOKUP(H205,'3-Productie normen'!A:P,VLOOKUP(L205,'3-Productie normen'!$B$31:$C$45,2,FALSE),FALSE)))/VLOOKUP(B205,'2-Kosten per locatie'!$A$13:$D$36,4,FALSE)</f>
        <v>0</v>
      </c>
      <c r="P205" s="82" t="str">
        <f>VLOOKUP(H205,'3-Productie normen'!A:T,20,FALSE)</f>
        <v>V</v>
      </c>
      <c r="Q205" s="447" t="s">
        <v>792</v>
      </c>
      <c r="S205" s="356">
        <f t="shared" si="19"/>
        <v>26.40000057220464</v>
      </c>
    </row>
    <row r="206" spans="1:19" ht="14.1" customHeight="1">
      <c r="A206" s="72">
        <f t="shared" si="21"/>
        <v>206</v>
      </c>
      <c r="B206" s="50" t="s">
        <v>1111</v>
      </c>
      <c r="C206" s="50" t="s">
        <v>826</v>
      </c>
      <c r="D206" s="427" t="s">
        <v>1036</v>
      </c>
      <c r="E206" s="426" t="s">
        <v>196</v>
      </c>
      <c r="F206" s="349" t="s">
        <v>465</v>
      </c>
      <c r="G206" s="86" t="s">
        <v>222</v>
      </c>
      <c r="H206" s="86" t="s">
        <v>16</v>
      </c>
      <c r="I206" s="86" t="s">
        <v>91</v>
      </c>
      <c r="J206" s="343">
        <v>1.33</v>
      </c>
      <c r="K206" s="351">
        <f t="shared" si="20"/>
        <v>201</v>
      </c>
      <c r="L206" s="352">
        <v>201</v>
      </c>
      <c r="M206" s="448" t="str">
        <f>IF(L206="nio","",VLOOKUP(L206,'3-Productie normen'!$B$31:$H$45,3,FALSE))</f>
        <v>5 x per week (40 weken + 1 Zomer refreshbeurt)</v>
      </c>
      <c r="N206" s="353" t="e">
        <f t="shared" si="18"/>
        <v>#DIV/0!</v>
      </c>
      <c r="O206" s="354">
        <f>IF(L206="nio",0,IF(L206&gt;0,VLOOKUP(H206,'3-Productie normen'!A:P,VLOOKUP(L206,'3-Productie normen'!$B$31:$C$45,2,FALSE),FALSE)))/VLOOKUP(B206,'2-Kosten per locatie'!$A$13:$D$36,4,FALSE)</f>
        <v>0</v>
      </c>
      <c r="P206" s="82" t="str">
        <f>VLOOKUP(H206,'3-Productie normen'!A:T,20,FALSE)</f>
        <v>S</v>
      </c>
      <c r="Q206" s="447" t="s">
        <v>901</v>
      </c>
      <c r="S206" s="356">
        <f t="shared" si="19"/>
        <v>267.33000000000004</v>
      </c>
    </row>
    <row r="207" spans="1:19" ht="14.1" customHeight="1">
      <c r="A207" s="72">
        <f t="shared" si="21"/>
        <v>207</v>
      </c>
      <c r="B207" s="50" t="s">
        <v>1110</v>
      </c>
      <c r="C207" s="50" t="s">
        <v>826</v>
      </c>
      <c r="D207" s="427" t="s">
        <v>1035</v>
      </c>
      <c r="E207" s="426" t="s">
        <v>196</v>
      </c>
      <c r="F207" s="349" t="s">
        <v>466</v>
      </c>
      <c r="G207" s="86" t="s">
        <v>326</v>
      </c>
      <c r="H207" s="432" t="s">
        <v>198</v>
      </c>
      <c r="I207" s="86" t="s">
        <v>780</v>
      </c>
      <c r="J207" s="343">
        <v>52.599998474121101</v>
      </c>
      <c r="K207" s="351">
        <f t="shared" si="20"/>
        <v>255</v>
      </c>
      <c r="L207" s="352">
        <v>255</v>
      </c>
      <c r="M207" s="448" t="str">
        <f>IF(L207="nio","",VLOOKUP(L207,'3-Productie normen'!$B$31:$H$45,3,FALSE))</f>
        <v>5 x per week (52 weken)</v>
      </c>
      <c r="N207" s="353" t="e">
        <f t="shared" si="18"/>
        <v>#DIV/0!</v>
      </c>
      <c r="O207" s="354">
        <f>IF(L207="nio",0,IF(L207&gt;0,VLOOKUP(H207,'3-Productie normen'!A:P,VLOOKUP(L207,'3-Productie normen'!$B$31:$C$45,2,FALSE),FALSE)))/VLOOKUP(B207,'2-Kosten per locatie'!$A$13:$D$36,4,FALSE)</f>
        <v>0</v>
      </c>
      <c r="P207" s="82" t="str">
        <f>VLOOKUP(H207,'3-Productie normen'!A:T,20,FALSE)</f>
        <v>V</v>
      </c>
      <c r="Q207" s="447" t="s">
        <v>792</v>
      </c>
      <c r="S207" s="356">
        <f t="shared" si="19"/>
        <v>13412.999610900881</v>
      </c>
    </row>
    <row r="208" spans="1:19" ht="14.1" customHeight="1">
      <c r="A208" s="72">
        <f t="shared" si="21"/>
        <v>208</v>
      </c>
      <c r="B208" s="50" t="s">
        <v>1110</v>
      </c>
      <c r="C208" s="50" t="s">
        <v>826</v>
      </c>
      <c r="D208" s="427" t="s">
        <v>1035</v>
      </c>
      <c r="E208" s="426" t="s">
        <v>196</v>
      </c>
      <c r="F208" s="349" t="s">
        <v>467</v>
      </c>
      <c r="G208" s="86" t="s">
        <v>326</v>
      </c>
      <c r="H208" s="432" t="s">
        <v>198</v>
      </c>
      <c r="I208" s="86" t="s">
        <v>780</v>
      </c>
      <c r="J208" s="343">
        <v>7.9000000953674299</v>
      </c>
      <c r="K208" s="351">
        <f t="shared" si="20"/>
        <v>200</v>
      </c>
      <c r="L208" s="352">
        <v>200</v>
      </c>
      <c r="M208" s="448" t="str">
        <f>IF(L208="nio","",VLOOKUP(L208,'3-Productie normen'!$B$31:$H$45,3,FALSE))</f>
        <v>5 x per week (40 weken)</v>
      </c>
      <c r="N208" s="353" t="e">
        <f t="shared" si="18"/>
        <v>#DIV/0!</v>
      </c>
      <c r="O208" s="354">
        <f>IF(L208="nio",0,IF(L208&gt;0,VLOOKUP(H208,'3-Productie normen'!A:P,VLOOKUP(L208,'3-Productie normen'!$B$31:$C$45,2,FALSE),FALSE)))/VLOOKUP(B208,'2-Kosten per locatie'!$A$13:$D$36,4,FALSE)</f>
        <v>0</v>
      </c>
      <c r="P208" s="82" t="str">
        <f>VLOOKUP(H208,'3-Productie normen'!A:T,20,FALSE)</f>
        <v>V</v>
      </c>
      <c r="Q208" s="447" t="s">
        <v>922</v>
      </c>
      <c r="S208" s="356">
        <f t="shared" si="19"/>
        <v>1580.0000190734859</v>
      </c>
    </row>
    <row r="209" spans="1:19" ht="14.1" customHeight="1">
      <c r="A209" s="72">
        <f t="shared" si="21"/>
        <v>209</v>
      </c>
      <c r="B209" s="50" t="s">
        <v>1110</v>
      </c>
      <c r="C209" s="50" t="s">
        <v>826</v>
      </c>
      <c r="D209" s="427" t="s">
        <v>1035</v>
      </c>
      <c r="E209" s="426" t="s">
        <v>196</v>
      </c>
      <c r="F209" s="349" t="s">
        <v>468</v>
      </c>
      <c r="G209" s="86" t="s">
        <v>326</v>
      </c>
      <c r="H209" s="432" t="s">
        <v>198</v>
      </c>
      <c r="I209" s="86" t="s">
        <v>780</v>
      </c>
      <c r="J209" s="343">
        <v>24.75</v>
      </c>
      <c r="K209" s="351">
        <f t="shared" si="20"/>
        <v>200</v>
      </c>
      <c r="L209" s="352">
        <v>200</v>
      </c>
      <c r="M209" s="448" t="str">
        <f>IF(L209="nio","",VLOOKUP(L209,'3-Productie normen'!$B$31:$H$45,3,FALSE))</f>
        <v>5 x per week (40 weken)</v>
      </c>
      <c r="N209" s="353" t="e">
        <f t="shared" si="18"/>
        <v>#DIV/0!</v>
      </c>
      <c r="O209" s="354">
        <f>IF(L209="nio",0,IF(L209&gt;0,VLOOKUP(H209,'3-Productie normen'!A:P,VLOOKUP(L209,'3-Productie normen'!$B$31:$C$45,2,FALSE),FALSE)))/VLOOKUP(B209,'2-Kosten per locatie'!$A$13:$D$36,4,FALSE)</f>
        <v>0</v>
      </c>
      <c r="P209" s="82" t="str">
        <f>VLOOKUP(H209,'3-Productie normen'!A:T,20,FALSE)</f>
        <v>V</v>
      </c>
      <c r="Q209" s="447" t="s">
        <v>922</v>
      </c>
      <c r="S209" s="356">
        <f t="shared" si="19"/>
        <v>4950</v>
      </c>
    </row>
    <row r="210" spans="1:19" ht="14.1" customHeight="1">
      <c r="A210" s="72">
        <f t="shared" si="21"/>
        <v>210</v>
      </c>
      <c r="B210" s="50" t="s">
        <v>1112</v>
      </c>
      <c r="C210" s="50" t="s">
        <v>826</v>
      </c>
      <c r="D210" s="427" t="s">
        <v>1037</v>
      </c>
      <c r="E210" s="426" t="s">
        <v>196</v>
      </c>
      <c r="F210" s="349" t="s">
        <v>469</v>
      </c>
      <c r="G210" s="86" t="s">
        <v>222</v>
      </c>
      <c r="H210" s="86" t="s">
        <v>16</v>
      </c>
      <c r="I210" s="86" t="s">
        <v>91</v>
      </c>
      <c r="J210" s="343">
        <v>1.59</v>
      </c>
      <c r="K210" s="351">
        <f t="shared" si="20"/>
        <v>255</v>
      </c>
      <c r="L210" s="352">
        <v>255</v>
      </c>
      <c r="M210" s="448" t="str">
        <f>IF(L210="nio","",VLOOKUP(L210,'3-Productie normen'!$B$31:$H$45,3,FALSE))</f>
        <v>5 x per week (52 weken)</v>
      </c>
      <c r="N210" s="353" t="e">
        <f t="shared" si="18"/>
        <v>#DIV/0!</v>
      </c>
      <c r="O210" s="354">
        <f>IF(L210="nio",0,IF(L210&gt;0,VLOOKUP(H210,'3-Productie normen'!A:P,VLOOKUP(L210,'3-Productie normen'!$B$31:$C$45,2,FALSE),FALSE)))/VLOOKUP(B210,'2-Kosten per locatie'!$A$13:$D$36,4,FALSE)</f>
        <v>0</v>
      </c>
      <c r="P210" s="82" t="str">
        <f>VLOOKUP(H210,'3-Productie normen'!A:T,20,FALSE)</f>
        <v>S</v>
      </c>
      <c r="Q210" s="447" t="s">
        <v>901</v>
      </c>
      <c r="S210" s="356">
        <f t="shared" si="19"/>
        <v>405.45000000000005</v>
      </c>
    </row>
    <row r="211" spans="1:19" ht="14.1" customHeight="1">
      <c r="A211" s="72">
        <f t="shared" si="21"/>
        <v>211</v>
      </c>
      <c r="B211" s="50" t="s">
        <v>1110</v>
      </c>
      <c r="C211" s="50" t="s">
        <v>826</v>
      </c>
      <c r="D211" s="427" t="s">
        <v>1035</v>
      </c>
      <c r="E211" s="426" t="s">
        <v>196</v>
      </c>
      <c r="F211" s="349" t="s">
        <v>470</v>
      </c>
      <c r="G211" s="86" t="s">
        <v>201</v>
      </c>
      <c r="H211" s="432" t="s">
        <v>198</v>
      </c>
      <c r="I211" s="86" t="s">
        <v>780</v>
      </c>
      <c r="J211" s="343">
        <v>3.5999999046325701</v>
      </c>
      <c r="K211" s="351">
        <f t="shared" si="20"/>
        <v>255</v>
      </c>
      <c r="L211" s="352">
        <v>255</v>
      </c>
      <c r="M211" s="448" t="str">
        <f>IF(L211="nio","",VLOOKUP(L211,'3-Productie normen'!$B$31:$H$45,3,FALSE))</f>
        <v>5 x per week (52 weken)</v>
      </c>
      <c r="N211" s="353" t="e">
        <f t="shared" si="18"/>
        <v>#DIV/0!</v>
      </c>
      <c r="O211" s="354">
        <f>IF(L211="nio",0,IF(L211&gt;0,VLOOKUP(H211,'3-Productie normen'!A:P,VLOOKUP(L211,'3-Productie normen'!$B$31:$C$45,2,FALSE),FALSE)))/VLOOKUP(B211,'2-Kosten per locatie'!$A$13:$D$36,4,FALSE)</f>
        <v>0</v>
      </c>
      <c r="P211" s="82" t="str">
        <f>VLOOKUP(H211,'3-Productie normen'!A:T,20,FALSE)</f>
        <v>V</v>
      </c>
      <c r="Q211" s="447" t="s">
        <v>922</v>
      </c>
      <c r="S211" s="356">
        <f t="shared" si="19"/>
        <v>917.99997568130539</v>
      </c>
    </row>
    <row r="212" spans="1:19" ht="14.1" customHeight="1">
      <c r="A212" s="72">
        <f t="shared" si="21"/>
        <v>212</v>
      </c>
      <c r="B212" s="50" t="s">
        <v>1112</v>
      </c>
      <c r="C212" s="50" t="s">
        <v>826</v>
      </c>
      <c r="D212" s="427" t="s">
        <v>1037</v>
      </c>
      <c r="E212" s="426" t="s">
        <v>196</v>
      </c>
      <c r="F212" s="349" t="s">
        <v>471</v>
      </c>
      <c r="G212" s="86" t="s">
        <v>246</v>
      </c>
      <c r="H212" s="81" t="s">
        <v>1039</v>
      </c>
      <c r="I212" s="86" t="s">
        <v>780</v>
      </c>
      <c r="J212" s="343">
        <v>86.900001525878906</v>
      </c>
      <c r="K212" s="351">
        <f t="shared" si="20"/>
        <v>200</v>
      </c>
      <c r="L212" s="352">
        <v>200</v>
      </c>
      <c r="M212" s="448" t="str">
        <f>IF(L212="nio","",VLOOKUP(L212,'3-Productie normen'!$B$31:$H$45,3,FALSE))</f>
        <v>5 x per week (40 weken)</v>
      </c>
      <c r="N212" s="353" t="e">
        <f t="shared" si="18"/>
        <v>#DIV/0!</v>
      </c>
      <c r="O212" s="354">
        <f>IF(L212="nio",0,IF(L212&gt;0,VLOOKUP(H212,'3-Productie normen'!A:P,VLOOKUP(L212,'3-Productie normen'!$B$31:$C$45,2,FALSE),FALSE)))/VLOOKUP(B212,'2-Kosten per locatie'!$A$13:$D$36,4,FALSE)</f>
        <v>0</v>
      </c>
      <c r="P212" s="82" t="str">
        <f>VLOOKUP(H212,'3-Productie normen'!A:T,20,FALSE)</f>
        <v>V</v>
      </c>
      <c r="Q212" s="447" t="s">
        <v>792</v>
      </c>
      <c r="S212" s="356">
        <f t="shared" si="19"/>
        <v>17380.000305175781</v>
      </c>
    </row>
    <row r="213" spans="1:19" ht="14.1" customHeight="1">
      <c r="A213" s="72">
        <f t="shared" si="21"/>
        <v>213</v>
      </c>
      <c r="B213" s="50" t="s">
        <v>1112</v>
      </c>
      <c r="C213" s="50" t="s">
        <v>826</v>
      </c>
      <c r="D213" s="427" t="s">
        <v>1037</v>
      </c>
      <c r="E213" s="426" t="s">
        <v>196</v>
      </c>
      <c r="F213" s="349" t="s">
        <v>472</v>
      </c>
      <c r="G213" s="86" t="s">
        <v>248</v>
      </c>
      <c r="H213" s="63" t="s">
        <v>1040</v>
      </c>
      <c r="I213" s="86" t="s">
        <v>780</v>
      </c>
      <c r="J213" s="343">
        <v>6.4000000953674299</v>
      </c>
      <c r="K213" s="351">
        <f t="shared" si="20"/>
        <v>12</v>
      </c>
      <c r="L213" s="352">
        <v>12</v>
      </c>
      <c r="M213" s="448" t="str">
        <f>IF(L213="nio","",VLOOKUP(L213,'3-Productie normen'!$B$31:$H$45,3,FALSE))</f>
        <v>1 x per maand</v>
      </c>
      <c r="N213" s="353" t="e">
        <f t="shared" si="18"/>
        <v>#DIV/0!</v>
      </c>
      <c r="O213" s="354">
        <f>IF(L213="nio",0,IF(L213&gt;0,VLOOKUP(H213,'3-Productie normen'!A:P,VLOOKUP(L213,'3-Productie normen'!$B$31:$C$45,2,FALSE),FALSE)))/VLOOKUP(B213,'2-Kosten per locatie'!$A$13:$D$36,4,FALSE)</f>
        <v>0</v>
      </c>
      <c r="P213" s="82" t="str">
        <f>VLOOKUP(H213,'3-Productie normen'!A:T,20,FALSE)</f>
        <v>V</v>
      </c>
      <c r="Q213" s="447" t="s">
        <v>792</v>
      </c>
      <c r="S213" s="356">
        <f t="shared" si="19"/>
        <v>76.800001144409151</v>
      </c>
    </row>
    <row r="214" spans="1:19" ht="14.1" customHeight="1">
      <c r="A214" s="72">
        <f t="shared" si="21"/>
        <v>214</v>
      </c>
      <c r="B214" s="50" t="s">
        <v>1112</v>
      </c>
      <c r="C214" s="50" t="s">
        <v>826</v>
      </c>
      <c r="D214" s="427" t="s">
        <v>1037</v>
      </c>
      <c r="E214" s="426" t="s">
        <v>196</v>
      </c>
      <c r="F214" s="349" t="s">
        <v>473</v>
      </c>
      <c r="G214" s="86" t="s">
        <v>209</v>
      </c>
      <c r="H214" s="63" t="s">
        <v>1040</v>
      </c>
      <c r="I214" s="86" t="s">
        <v>780</v>
      </c>
      <c r="J214" s="343">
        <v>6.3000001907348597</v>
      </c>
      <c r="K214" s="351">
        <f t="shared" si="20"/>
        <v>12</v>
      </c>
      <c r="L214" s="352">
        <v>12</v>
      </c>
      <c r="M214" s="448" t="str">
        <f>IF(L214="nio","",VLOOKUP(L214,'3-Productie normen'!$B$31:$H$45,3,FALSE))</f>
        <v>1 x per maand</v>
      </c>
      <c r="N214" s="353" t="e">
        <f t="shared" si="18"/>
        <v>#DIV/0!</v>
      </c>
      <c r="O214" s="354">
        <f>IF(L214="nio",0,IF(L214&gt;0,VLOOKUP(H214,'3-Productie normen'!A:P,VLOOKUP(L214,'3-Productie normen'!$B$31:$C$45,2,FALSE),FALSE)))/VLOOKUP(B214,'2-Kosten per locatie'!$A$13:$D$36,4,FALSE)</f>
        <v>0</v>
      </c>
      <c r="P214" s="82" t="str">
        <f>VLOOKUP(H214,'3-Productie normen'!A:T,20,FALSE)</f>
        <v>V</v>
      </c>
      <c r="Q214" s="447" t="s">
        <v>792</v>
      </c>
      <c r="S214" s="356">
        <f t="shared" si="19"/>
        <v>75.600002288818317</v>
      </c>
    </row>
    <row r="215" spans="1:19" ht="14.1" customHeight="1">
      <c r="A215" s="72">
        <f t="shared" si="21"/>
        <v>215</v>
      </c>
      <c r="B215" s="50" t="s">
        <v>1112</v>
      </c>
      <c r="C215" s="50" t="s">
        <v>826</v>
      </c>
      <c r="D215" s="427" t="s">
        <v>1037</v>
      </c>
      <c r="E215" s="426" t="s">
        <v>196</v>
      </c>
      <c r="F215" s="349" t="s">
        <v>474</v>
      </c>
      <c r="G215" s="86" t="s">
        <v>199</v>
      </c>
      <c r="H215" s="432" t="s">
        <v>198</v>
      </c>
      <c r="I215" s="86" t="s">
        <v>784</v>
      </c>
      <c r="J215" s="343">
        <v>3.9300000667571999</v>
      </c>
      <c r="K215" s="351">
        <f t="shared" si="20"/>
        <v>200</v>
      </c>
      <c r="L215" s="352">
        <v>200</v>
      </c>
      <c r="M215" s="448" t="str">
        <f>IF(L215="nio","",VLOOKUP(L215,'3-Productie normen'!$B$31:$H$45,3,FALSE))</f>
        <v>5 x per week (40 weken)</v>
      </c>
      <c r="N215" s="353" t="e">
        <f t="shared" si="18"/>
        <v>#DIV/0!</v>
      </c>
      <c r="O215" s="354">
        <f>IF(L215="nio",0,IF(L215&gt;0,VLOOKUP(H215,'3-Productie normen'!A:P,VLOOKUP(L215,'3-Productie normen'!$B$31:$C$45,2,FALSE),FALSE)))/VLOOKUP(B215,'2-Kosten per locatie'!$A$13:$D$36,4,FALSE)</f>
        <v>0</v>
      </c>
      <c r="P215" s="82" t="str">
        <f>VLOOKUP(H215,'3-Productie normen'!A:T,20,FALSE)</f>
        <v>V</v>
      </c>
      <c r="Q215" s="447" t="s">
        <v>873</v>
      </c>
      <c r="S215" s="356">
        <f t="shared" si="19"/>
        <v>786.00001335143997</v>
      </c>
    </row>
    <row r="216" spans="1:19" ht="14.1" customHeight="1">
      <c r="A216" s="72">
        <f t="shared" si="21"/>
        <v>216</v>
      </c>
      <c r="B216" s="50" t="s">
        <v>1112</v>
      </c>
      <c r="C216" s="50" t="s">
        <v>826</v>
      </c>
      <c r="D216" s="427" t="s">
        <v>1037</v>
      </c>
      <c r="E216" s="426" t="s">
        <v>196</v>
      </c>
      <c r="F216" s="349" t="s">
        <v>474</v>
      </c>
      <c r="G216" s="86" t="s">
        <v>199</v>
      </c>
      <c r="H216" s="432" t="s">
        <v>198</v>
      </c>
      <c r="I216" s="86" t="s">
        <v>780</v>
      </c>
      <c r="J216" s="343">
        <v>15</v>
      </c>
      <c r="K216" s="351">
        <f t="shared" si="20"/>
        <v>200</v>
      </c>
      <c r="L216" s="352">
        <v>200</v>
      </c>
      <c r="M216" s="448" t="str">
        <f>IF(L216="nio","",VLOOKUP(L216,'3-Productie normen'!$B$31:$H$45,3,FALSE))</f>
        <v>5 x per week (40 weken)</v>
      </c>
      <c r="N216" s="353" t="e">
        <f t="shared" si="18"/>
        <v>#DIV/0!</v>
      </c>
      <c r="O216" s="354">
        <f>IF(L216="nio",0,IF(L216&gt;0,VLOOKUP(H216,'3-Productie normen'!A:P,VLOOKUP(L216,'3-Productie normen'!$B$31:$C$45,2,FALSE),FALSE)))/VLOOKUP(B216,'2-Kosten per locatie'!$A$13:$D$36,4,FALSE)</f>
        <v>0</v>
      </c>
      <c r="P216" s="82" t="str">
        <f>VLOOKUP(H216,'3-Productie normen'!A:T,20,FALSE)</f>
        <v>V</v>
      </c>
      <c r="Q216" s="447" t="s">
        <v>792</v>
      </c>
      <c r="S216" s="356">
        <f t="shared" si="19"/>
        <v>3000</v>
      </c>
    </row>
    <row r="217" spans="1:19" ht="14.1" customHeight="1">
      <c r="A217" s="72">
        <f t="shared" si="21"/>
        <v>217</v>
      </c>
      <c r="B217" s="50" t="s">
        <v>1112</v>
      </c>
      <c r="C217" s="50" t="s">
        <v>826</v>
      </c>
      <c r="D217" s="427" t="s">
        <v>1037</v>
      </c>
      <c r="E217" s="426" t="s">
        <v>196</v>
      </c>
      <c r="F217" s="349" t="s">
        <v>475</v>
      </c>
      <c r="G217" s="86" t="s">
        <v>209</v>
      </c>
      <c r="H217" s="63" t="s">
        <v>1040</v>
      </c>
      <c r="I217" s="86" t="s">
        <v>780</v>
      </c>
      <c r="J217" s="343">
        <v>2</v>
      </c>
      <c r="K217" s="351">
        <f t="shared" si="20"/>
        <v>12</v>
      </c>
      <c r="L217" s="352">
        <v>12</v>
      </c>
      <c r="M217" s="448" t="str">
        <f>IF(L217="nio","",VLOOKUP(L217,'3-Productie normen'!$B$31:$H$45,3,FALSE))</f>
        <v>1 x per maand</v>
      </c>
      <c r="N217" s="353" t="e">
        <f t="shared" si="18"/>
        <v>#DIV/0!</v>
      </c>
      <c r="O217" s="354">
        <f>IF(L217="nio",0,IF(L217&gt;0,VLOOKUP(H217,'3-Productie normen'!A:P,VLOOKUP(L217,'3-Productie normen'!$B$31:$C$45,2,FALSE),FALSE)))/VLOOKUP(B217,'2-Kosten per locatie'!$A$13:$D$36,4,FALSE)</f>
        <v>0</v>
      </c>
      <c r="P217" s="82" t="str">
        <f>VLOOKUP(H217,'3-Productie normen'!A:T,20,FALSE)</f>
        <v>V</v>
      </c>
      <c r="Q217" s="447" t="s">
        <v>792</v>
      </c>
      <c r="S217" s="356">
        <f t="shared" si="19"/>
        <v>24</v>
      </c>
    </row>
    <row r="218" spans="1:19" ht="14.1" customHeight="1">
      <c r="A218" s="72">
        <f t="shared" si="21"/>
        <v>218</v>
      </c>
      <c r="B218" s="50" t="s">
        <v>1112</v>
      </c>
      <c r="C218" s="50" t="s">
        <v>826</v>
      </c>
      <c r="D218" s="427" t="s">
        <v>1037</v>
      </c>
      <c r="E218" s="426" t="s">
        <v>196</v>
      </c>
      <c r="F218" s="349" t="s">
        <v>476</v>
      </c>
      <c r="G218" s="86" t="s">
        <v>212</v>
      </c>
      <c r="H218" s="65" t="s">
        <v>1053</v>
      </c>
      <c r="I218" s="86" t="s">
        <v>92</v>
      </c>
      <c r="J218" s="343">
        <v>3.9200000762939502</v>
      </c>
      <c r="K218" s="351" t="str">
        <f t="shared" si="20"/>
        <v>nio</v>
      </c>
      <c r="L218" s="352" t="s">
        <v>804</v>
      </c>
      <c r="M218" s="448" t="str">
        <f>IF(L218="nio","",VLOOKUP(L218,'3-Productie normen'!$B$31:$H$45,3,FALSE))</f>
        <v/>
      </c>
      <c r="N218" s="353">
        <f t="shared" si="18"/>
        <v>0</v>
      </c>
      <c r="O218" s="354">
        <f>IF(L218="nio",0,IF(L218&gt;0,VLOOKUP(H218,'3-Productie normen'!A:P,VLOOKUP(L218,'3-Productie normen'!$B$31:$C$45,2,FALSE),FALSE)))/VLOOKUP(B218,'2-Kosten per locatie'!$A$13:$D$36,4,FALSE)</f>
        <v>0</v>
      </c>
      <c r="P218" s="82">
        <f>VLOOKUP(H218,'3-Productie normen'!A:T,20,FALSE)</f>
        <v>0</v>
      </c>
      <c r="Q218" s="447" t="s">
        <v>792</v>
      </c>
      <c r="S218" s="356">
        <f t="shared" si="19"/>
        <v>0</v>
      </c>
    </row>
    <row r="219" spans="1:19" ht="14.1" customHeight="1">
      <c r="A219" s="72">
        <f t="shared" si="21"/>
        <v>219</v>
      </c>
      <c r="B219" s="50" t="s">
        <v>1112</v>
      </c>
      <c r="C219" s="50" t="s">
        <v>826</v>
      </c>
      <c r="D219" s="427" t="s">
        <v>1037</v>
      </c>
      <c r="E219" s="426" t="s">
        <v>196</v>
      </c>
      <c r="F219" s="349" t="s">
        <v>477</v>
      </c>
      <c r="G219" s="86" t="s">
        <v>212</v>
      </c>
      <c r="H219" s="65" t="s">
        <v>1053</v>
      </c>
      <c r="I219" s="86" t="s">
        <v>92</v>
      </c>
      <c r="J219" s="343">
        <v>4.5999999046325701</v>
      </c>
      <c r="K219" s="351" t="str">
        <f t="shared" si="20"/>
        <v>nio</v>
      </c>
      <c r="L219" s="352" t="s">
        <v>804</v>
      </c>
      <c r="M219" s="448" t="str">
        <f>IF(L219="nio","",VLOOKUP(L219,'3-Productie normen'!$B$31:$H$45,3,FALSE))</f>
        <v/>
      </c>
      <c r="N219" s="353">
        <f t="shared" si="18"/>
        <v>0</v>
      </c>
      <c r="O219" s="354">
        <f>IF(L219="nio",0,IF(L219&gt;0,VLOOKUP(H219,'3-Productie normen'!A:P,VLOOKUP(L219,'3-Productie normen'!$B$31:$C$45,2,FALSE),FALSE)))/VLOOKUP(B219,'2-Kosten per locatie'!$A$13:$D$36,4,FALSE)</f>
        <v>0</v>
      </c>
      <c r="P219" s="82">
        <f>VLOOKUP(H219,'3-Productie normen'!A:T,20,FALSE)</f>
        <v>0</v>
      </c>
      <c r="Q219" s="447" t="s">
        <v>792</v>
      </c>
      <c r="S219" s="356">
        <f t="shared" si="19"/>
        <v>0</v>
      </c>
    </row>
    <row r="220" spans="1:19" ht="14.1" customHeight="1">
      <c r="A220" s="72">
        <f t="shared" si="21"/>
        <v>220</v>
      </c>
      <c r="B220" s="50" t="s">
        <v>1112</v>
      </c>
      <c r="C220" s="50" t="s">
        <v>826</v>
      </c>
      <c r="D220" s="427" t="s">
        <v>1037</v>
      </c>
      <c r="E220" s="426" t="s">
        <v>196</v>
      </c>
      <c r="F220" s="349" t="s">
        <v>478</v>
      </c>
      <c r="G220" s="86" t="s">
        <v>201</v>
      </c>
      <c r="H220" s="432" t="s">
        <v>198</v>
      </c>
      <c r="I220" s="86" t="s">
        <v>780</v>
      </c>
      <c r="J220" s="343">
        <v>78.400001525878906</v>
      </c>
      <c r="K220" s="351">
        <f t="shared" si="20"/>
        <v>200</v>
      </c>
      <c r="L220" s="352">
        <v>200</v>
      </c>
      <c r="M220" s="448" t="str">
        <f>IF(L220="nio","",VLOOKUP(L220,'3-Productie normen'!$B$31:$H$45,3,FALSE))</f>
        <v>5 x per week (40 weken)</v>
      </c>
      <c r="N220" s="353" t="e">
        <f t="shared" si="18"/>
        <v>#DIV/0!</v>
      </c>
      <c r="O220" s="354">
        <f>IF(L220="nio",0,IF(L220&gt;0,VLOOKUP(H220,'3-Productie normen'!A:P,VLOOKUP(L220,'3-Productie normen'!$B$31:$C$45,2,FALSE),FALSE)))/VLOOKUP(B220,'2-Kosten per locatie'!$A$13:$D$36,4,FALSE)</f>
        <v>0</v>
      </c>
      <c r="P220" s="82" t="str">
        <f>VLOOKUP(H220,'3-Productie normen'!A:T,20,FALSE)</f>
        <v>V</v>
      </c>
      <c r="Q220" s="447" t="s">
        <v>792</v>
      </c>
      <c r="S220" s="356">
        <f t="shared" si="19"/>
        <v>15680.000305175781</v>
      </c>
    </row>
    <row r="221" spans="1:19" ht="14.1" customHeight="1">
      <c r="A221" s="72">
        <f t="shared" si="21"/>
        <v>221</v>
      </c>
      <c r="B221" s="50" t="s">
        <v>1112</v>
      </c>
      <c r="C221" s="50" t="s">
        <v>826</v>
      </c>
      <c r="D221" s="427" t="s">
        <v>1037</v>
      </c>
      <c r="E221" s="426" t="s">
        <v>196</v>
      </c>
      <c r="F221" s="349" t="s">
        <v>479</v>
      </c>
      <c r="G221" s="86" t="s">
        <v>222</v>
      </c>
      <c r="H221" s="86" t="s">
        <v>16</v>
      </c>
      <c r="I221" s="86" t="s">
        <v>91</v>
      </c>
      <c r="J221" s="343">
        <v>1.37</v>
      </c>
      <c r="K221" s="351">
        <f t="shared" si="20"/>
        <v>201</v>
      </c>
      <c r="L221" s="352">
        <v>201</v>
      </c>
      <c r="M221" s="448" t="str">
        <f>IF(L221="nio","",VLOOKUP(L221,'3-Productie normen'!$B$31:$H$45,3,FALSE))</f>
        <v>5 x per week (40 weken + 1 Zomer refreshbeurt)</v>
      </c>
      <c r="N221" s="353" t="e">
        <f t="shared" si="18"/>
        <v>#DIV/0!</v>
      </c>
      <c r="O221" s="354">
        <f>IF(L221="nio",0,IF(L221&gt;0,VLOOKUP(H221,'3-Productie normen'!A:P,VLOOKUP(L221,'3-Productie normen'!$B$31:$C$45,2,FALSE),FALSE)))/VLOOKUP(B221,'2-Kosten per locatie'!$A$13:$D$36,4,FALSE)</f>
        <v>0</v>
      </c>
      <c r="P221" s="82" t="str">
        <f>VLOOKUP(H221,'3-Productie normen'!A:T,20,FALSE)</f>
        <v>S</v>
      </c>
      <c r="Q221" s="447" t="s">
        <v>901</v>
      </c>
      <c r="S221" s="356">
        <f t="shared" si="19"/>
        <v>275.37</v>
      </c>
    </row>
    <row r="222" spans="1:19" ht="14.1" customHeight="1">
      <c r="A222" s="72">
        <f t="shared" si="21"/>
        <v>222</v>
      </c>
      <c r="B222" s="50" t="s">
        <v>1112</v>
      </c>
      <c r="C222" s="50" t="s">
        <v>826</v>
      </c>
      <c r="D222" s="427" t="s">
        <v>1037</v>
      </c>
      <c r="E222" s="426" t="s">
        <v>196</v>
      </c>
      <c r="F222" s="349" t="s">
        <v>480</v>
      </c>
      <c r="G222" s="86" t="s">
        <v>242</v>
      </c>
      <c r="H222" s="50" t="s">
        <v>241</v>
      </c>
      <c r="I222" s="86" t="s">
        <v>780</v>
      </c>
      <c r="J222" s="343">
        <v>51</v>
      </c>
      <c r="K222" s="351">
        <f t="shared" si="20"/>
        <v>201</v>
      </c>
      <c r="L222" s="352">
        <v>201</v>
      </c>
      <c r="M222" s="448" t="str">
        <f>IF(L222="nio","",VLOOKUP(L222,'3-Productie normen'!$B$31:$H$45,3,FALSE))</f>
        <v>5 x per week (40 weken + 1 Zomer refreshbeurt)</v>
      </c>
      <c r="N222" s="353" t="e">
        <f t="shared" si="18"/>
        <v>#DIV/0!</v>
      </c>
      <c r="O222" s="354">
        <f>IF(L222="nio",0,IF(L222&gt;0,VLOOKUP(H222,'3-Productie normen'!A:P,VLOOKUP(L222,'3-Productie normen'!$B$31:$C$45,2,FALSE),FALSE)))/VLOOKUP(B222,'2-Kosten per locatie'!$A$13:$D$36,4,FALSE)</f>
        <v>0</v>
      </c>
      <c r="P222" s="82" t="str">
        <f>VLOOKUP(H222,'3-Productie normen'!A:T,20,FALSE)</f>
        <v>L</v>
      </c>
      <c r="Q222" s="447" t="s">
        <v>876</v>
      </c>
      <c r="S222" s="356">
        <f t="shared" si="19"/>
        <v>10251</v>
      </c>
    </row>
    <row r="223" spans="1:19" ht="14.1" customHeight="1">
      <c r="A223" s="72">
        <f t="shared" si="21"/>
        <v>223</v>
      </c>
      <c r="B223" s="50" t="s">
        <v>1112</v>
      </c>
      <c r="C223" s="50" t="s">
        <v>826</v>
      </c>
      <c r="D223" s="427" t="s">
        <v>1037</v>
      </c>
      <c r="E223" s="426" t="s">
        <v>196</v>
      </c>
      <c r="F223" s="349" t="s">
        <v>481</v>
      </c>
      <c r="G223" s="86" t="s">
        <v>209</v>
      </c>
      <c r="H223" s="63" t="s">
        <v>1040</v>
      </c>
      <c r="I223" s="86" t="s">
        <v>780</v>
      </c>
      <c r="J223" s="343">
        <v>1.5</v>
      </c>
      <c r="K223" s="351">
        <f t="shared" si="20"/>
        <v>12</v>
      </c>
      <c r="L223" s="352">
        <v>12</v>
      </c>
      <c r="M223" s="448" t="str">
        <f>IF(L223="nio","",VLOOKUP(L223,'3-Productie normen'!$B$31:$H$45,3,FALSE))</f>
        <v>1 x per maand</v>
      </c>
      <c r="N223" s="353" t="e">
        <f t="shared" si="18"/>
        <v>#DIV/0!</v>
      </c>
      <c r="O223" s="354">
        <f>IF(L223="nio",0,IF(L223&gt;0,VLOOKUP(H223,'3-Productie normen'!A:P,VLOOKUP(L223,'3-Productie normen'!$B$31:$C$45,2,FALSE),FALSE)))/VLOOKUP(B223,'2-Kosten per locatie'!$A$13:$D$36,4,FALSE)</f>
        <v>0</v>
      </c>
      <c r="P223" s="82" t="str">
        <f>VLOOKUP(H223,'3-Productie normen'!A:T,20,FALSE)</f>
        <v>V</v>
      </c>
      <c r="Q223" s="447" t="s">
        <v>792</v>
      </c>
      <c r="S223" s="356">
        <f t="shared" si="19"/>
        <v>18</v>
      </c>
    </row>
    <row r="224" spans="1:19" ht="14.1" customHeight="1">
      <c r="A224" s="72">
        <f t="shared" si="21"/>
        <v>224</v>
      </c>
      <c r="B224" s="50" t="s">
        <v>1112</v>
      </c>
      <c r="C224" s="50" t="s">
        <v>826</v>
      </c>
      <c r="D224" s="427" t="s">
        <v>1037</v>
      </c>
      <c r="E224" s="426" t="s">
        <v>196</v>
      </c>
      <c r="F224" s="349" t="s">
        <v>482</v>
      </c>
      <c r="G224" s="86" t="s">
        <v>242</v>
      </c>
      <c r="H224" s="50" t="s">
        <v>241</v>
      </c>
      <c r="I224" s="86" t="s">
        <v>780</v>
      </c>
      <c r="J224" s="343">
        <v>52.5</v>
      </c>
      <c r="K224" s="351">
        <f t="shared" si="20"/>
        <v>201</v>
      </c>
      <c r="L224" s="352">
        <v>201</v>
      </c>
      <c r="M224" s="448" t="str">
        <f>IF(L224="nio","",VLOOKUP(L224,'3-Productie normen'!$B$31:$H$45,3,FALSE))</f>
        <v>5 x per week (40 weken + 1 Zomer refreshbeurt)</v>
      </c>
      <c r="N224" s="353" t="e">
        <f t="shared" si="18"/>
        <v>#DIV/0!</v>
      </c>
      <c r="O224" s="354">
        <f>IF(L224="nio",0,IF(L224&gt;0,VLOOKUP(H224,'3-Productie normen'!A:P,VLOOKUP(L224,'3-Productie normen'!$B$31:$C$45,2,FALSE),FALSE)))/VLOOKUP(B224,'2-Kosten per locatie'!$A$13:$D$36,4,FALSE)</f>
        <v>0</v>
      </c>
      <c r="P224" s="82" t="str">
        <f>VLOOKUP(H224,'3-Productie normen'!A:T,20,FALSE)</f>
        <v>L</v>
      </c>
      <c r="Q224" s="447" t="s">
        <v>927</v>
      </c>
      <c r="S224" s="356">
        <f t="shared" si="19"/>
        <v>10552.5</v>
      </c>
    </row>
    <row r="225" spans="1:19" ht="14.1" customHeight="1">
      <c r="A225" s="72">
        <f t="shared" si="21"/>
        <v>225</v>
      </c>
      <c r="B225" s="50" t="s">
        <v>1112</v>
      </c>
      <c r="C225" s="50" t="s">
        <v>826</v>
      </c>
      <c r="D225" s="427" t="s">
        <v>1037</v>
      </c>
      <c r="E225" s="426" t="s">
        <v>196</v>
      </c>
      <c r="F225" s="349" t="s">
        <v>483</v>
      </c>
      <c r="G225" s="86" t="s">
        <v>209</v>
      </c>
      <c r="H225" s="63" t="s">
        <v>1040</v>
      </c>
      <c r="I225" s="86" t="s">
        <v>780</v>
      </c>
      <c r="J225" s="343">
        <v>2.2000000476837198</v>
      </c>
      <c r="K225" s="351">
        <f t="shared" si="20"/>
        <v>12</v>
      </c>
      <c r="L225" s="352">
        <v>12</v>
      </c>
      <c r="M225" s="448" t="str">
        <f>IF(L225="nio","",VLOOKUP(L225,'3-Productie normen'!$B$31:$H$45,3,FALSE))</f>
        <v>1 x per maand</v>
      </c>
      <c r="N225" s="353" t="e">
        <f t="shared" si="18"/>
        <v>#DIV/0!</v>
      </c>
      <c r="O225" s="354">
        <f>IF(L225="nio",0,IF(L225&gt;0,VLOOKUP(H225,'3-Productie normen'!A:P,VLOOKUP(L225,'3-Productie normen'!$B$31:$C$45,2,FALSE),FALSE)))/VLOOKUP(B225,'2-Kosten per locatie'!$A$13:$D$36,4,FALSE)</f>
        <v>0</v>
      </c>
      <c r="P225" s="82" t="str">
        <f>VLOOKUP(H225,'3-Productie normen'!A:T,20,FALSE)</f>
        <v>V</v>
      </c>
      <c r="Q225" s="447" t="s">
        <v>792</v>
      </c>
      <c r="S225" s="356">
        <f t="shared" si="19"/>
        <v>26.40000057220464</v>
      </c>
    </row>
    <row r="226" spans="1:19" ht="14.1" customHeight="1">
      <c r="A226" s="72">
        <f t="shared" si="21"/>
        <v>226</v>
      </c>
      <c r="B226" s="50" t="s">
        <v>1112</v>
      </c>
      <c r="C226" s="50" t="s">
        <v>826</v>
      </c>
      <c r="D226" s="427" t="s">
        <v>1037</v>
      </c>
      <c r="E226" s="426" t="s">
        <v>196</v>
      </c>
      <c r="F226" s="349" t="s">
        <v>484</v>
      </c>
      <c r="G226" s="86" t="s">
        <v>222</v>
      </c>
      <c r="H226" s="86" t="s">
        <v>16</v>
      </c>
      <c r="I226" s="86" t="s">
        <v>91</v>
      </c>
      <c r="J226" s="343">
        <v>1.59</v>
      </c>
      <c r="K226" s="351">
        <f t="shared" si="20"/>
        <v>201</v>
      </c>
      <c r="L226" s="352">
        <v>201</v>
      </c>
      <c r="M226" s="448" t="str">
        <f>IF(L226="nio","",VLOOKUP(L226,'3-Productie normen'!$B$31:$H$45,3,FALSE))</f>
        <v>5 x per week (40 weken + 1 Zomer refreshbeurt)</v>
      </c>
      <c r="N226" s="353" t="e">
        <f t="shared" si="18"/>
        <v>#DIV/0!</v>
      </c>
      <c r="O226" s="354">
        <f>IF(L226="nio",0,IF(L226&gt;0,VLOOKUP(H226,'3-Productie normen'!A:P,VLOOKUP(L226,'3-Productie normen'!$B$31:$C$45,2,FALSE),FALSE)))/VLOOKUP(B226,'2-Kosten per locatie'!$A$13:$D$36,4,FALSE)</f>
        <v>0</v>
      </c>
      <c r="P226" s="82" t="str">
        <f>VLOOKUP(H226,'3-Productie normen'!A:T,20,FALSE)</f>
        <v>S</v>
      </c>
      <c r="Q226" s="447" t="s">
        <v>901</v>
      </c>
      <c r="S226" s="356">
        <f t="shared" si="19"/>
        <v>319.59000000000003</v>
      </c>
    </row>
    <row r="227" spans="1:19" ht="14.1" customHeight="1">
      <c r="A227" s="72">
        <f t="shared" si="21"/>
        <v>227</v>
      </c>
      <c r="B227" s="50" t="s">
        <v>1112</v>
      </c>
      <c r="C227" s="50" t="s">
        <v>826</v>
      </c>
      <c r="D227" s="427" t="s">
        <v>1037</v>
      </c>
      <c r="E227" s="426" t="s">
        <v>196</v>
      </c>
      <c r="F227" s="349" t="s">
        <v>485</v>
      </c>
      <c r="G227" s="86" t="s">
        <v>222</v>
      </c>
      <c r="H227" s="86" t="s">
        <v>16</v>
      </c>
      <c r="I227" s="86" t="s">
        <v>91</v>
      </c>
      <c r="J227" s="343">
        <v>1.59</v>
      </c>
      <c r="K227" s="351">
        <f t="shared" si="20"/>
        <v>201</v>
      </c>
      <c r="L227" s="352">
        <v>201</v>
      </c>
      <c r="M227" s="448" t="str">
        <f>IF(L227="nio","",VLOOKUP(L227,'3-Productie normen'!$B$31:$H$45,3,FALSE))</f>
        <v>5 x per week (40 weken + 1 Zomer refreshbeurt)</v>
      </c>
      <c r="N227" s="353" t="e">
        <f t="shared" si="18"/>
        <v>#DIV/0!</v>
      </c>
      <c r="O227" s="354">
        <f>IF(L227="nio",0,IF(L227&gt;0,VLOOKUP(H227,'3-Productie normen'!A:P,VLOOKUP(L227,'3-Productie normen'!$B$31:$C$45,2,FALSE),FALSE)))/VLOOKUP(B227,'2-Kosten per locatie'!$A$13:$D$36,4,FALSE)</f>
        <v>0</v>
      </c>
      <c r="P227" s="82" t="str">
        <f>VLOOKUP(H227,'3-Productie normen'!A:T,20,FALSE)</f>
        <v>S</v>
      </c>
      <c r="Q227" s="447" t="s">
        <v>901</v>
      </c>
      <c r="S227" s="356">
        <f t="shared" si="19"/>
        <v>319.59000000000003</v>
      </c>
    </row>
    <row r="228" spans="1:19" ht="14.1" customHeight="1">
      <c r="A228" s="72">
        <f t="shared" si="21"/>
        <v>228</v>
      </c>
      <c r="B228" s="50" t="s">
        <v>1112</v>
      </c>
      <c r="C228" s="50" t="s">
        <v>826</v>
      </c>
      <c r="D228" s="427" t="s">
        <v>1037</v>
      </c>
      <c r="E228" s="426" t="s">
        <v>196</v>
      </c>
      <c r="F228" s="349" t="s">
        <v>486</v>
      </c>
      <c r="G228" s="86" t="s">
        <v>242</v>
      </c>
      <c r="H228" s="50" t="s">
        <v>241</v>
      </c>
      <c r="I228" s="86" t="s">
        <v>780</v>
      </c>
      <c r="J228" s="343">
        <v>54.799999237060497</v>
      </c>
      <c r="K228" s="351">
        <f t="shared" si="20"/>
        <v>201</v>
      </c>
      <c r="L228" s="352">
        <v>201</v>
      </c>
      <c r="M228" s="448" t="str">
        <f>IF(L228="nio","",VLOOKUP(L228,'3-Productie normen'!$B$31:$H$45,3,FALSE))</f>
        <v>5 x per week (40 weken + 1 Zomer refreshbeurt)</v>
      </c>
      <c r="N228" s="353" t="e">
        <f t="shared" si="18"/>
        <v>#DIV/0!</v>
      </c>
      <c r="O228" s="354">
        <f>IF(L228="nio",0,IF(L228&gt;0,VLOOKUP(H228,'3-Productie normen'!A:P,VLOOKUP(L228,'3-Productie normen'!$B$31:$C$45,2,FALSE),FALSE)))/VLOOKUP(B228,'2-Kosten per locatie'!$A$13:$D$36,4,FALSE)</f>
        <v>0</v>
      </c>
      <c r="P228" s="82" t="str">
        <f>VLOOKUP(H228,'3-Productie normen'!A:T,20,FALSE)</f>
        <v>L</v>
      </c>
      <c r="Q228" s="447" t="s">
        <v>928</v>
      </c>
      <c r="S228" s="356">
        <f t="shared" si="19"/>
        <v>11014.799846649161</v>
      </c>
    </row>
    <row r="229" spans="1:19" ht="14.1" customHeight="1">
      <c r="A229" s="72">
        <f t="shared" si="21"/>
        <v>229</v>
      </c>
      <c r="B229" s="50" t="s">
        <v>1112</v>
      </c>
      <c r="C229" s="50" t="s">
        <v>826</v>
      </c>
      <c r="D229" s="427" t="s">
        <v>1037</v>
      </c>
      <c r="E229" s="426" t="s">
        <v>196</v>
      </c>
      <c r="F229" s="349" t="s">
        <v>487</v>
      </c>
      <c r="G229" s="86" t="s">
        <v>209</v>
      </c>
      <c r="H229" s="63" t="s">
        <v>1040</v>
      </c>
      <c r="I229" s="86" t="s">
        <v>780</v>
      </c>
      <c r="J229" s="343">
        <v>2.2000000476837198</v>
      </c>
      <c r="K229" s="351">
        <f t="shared" si="20"/>
        <v>12</v>
      </c>
      <c r="L229" s="352">
        <v>12</v>
      </c>
      <c r="M229" s="448" t="str">
        <f>IF(L229="nio","",VLOOKUP(L229,'3-Productie normen'!$B$31:$H$45,3,FALSE))</f>
        <v>1 x per maand</v>
      </c>
      <c r="N229" s="353" t="e">
        <f t="shared" si="18"/>
        <v>#DIV/0!</v>
      </c>
      <c r="O229" s="354">
        <f>IF(L229="nio",0,IF(L229&gt;0,VLOOKUP(H229,'3-Productie normen'!A:P,VLOOKUP(L229,'3-Productie normen'!$B$31:$C$45,2,FALSE),FALSE)))/VLOOKUP(B229,'2-Kosten per locatie'!$A$13:$D$36,4,FALSE)</f>
        <v>0</v>
      </c>
      <c r="P229" s="82" t="str">
        <f>VLOOKUP(H229,'3-Productie normen'!A:T,20,FALSE)</f>
        <v>V</v>
      </c>
      <c r="Q229" s="447" t="s">
        <v>792</v>
      </c>
      <c r="S229" s="356">
        <f t="shared" si="19"/>
        <v>26.40000057220464</v>
      </c>
    </row>
    <row r="230" spans="1:19" ht="14.1" customHeight="1">
      <c r="A230" s="72">
        <f t="shared" si="21"/>
        <v>230</v>
      </c>
      <c r="B230" s="50" t="s">
        <v>1112</v>
      </c>
      <c r="C230" s="50" t="s">
        <v>826</v>
      </c>
      <c r="D230" s="427" t="s">
        <v>1037</v>
      </c>
      <c r="E230" s="426" t="s">
        <v>196</v>
      </c>
      <c r="F230" s="349" t="s">
        <v>488</v>
      </c>
      <c r="G230" s="86" t="s">
        <v>242</v>
      </c>
      <c r="H230" s="50" t="s">
        <v>241</v>
      </c>
      <c r="I230" s="86" t="s">
        <v>780</v>
      </c>
      <c r="J230" s="343">
        <v>54.799999237060497</v>
      </c>
      <c r="K230" s="351">
        <f t="shared" si="20"/>
        <v>201</v>
      </c>
      <c r="L230" s="352">
        <v>201</v>
      </c>
      <c r="M230" s="448" t="str">
        <f>IF(L230="nio","",VLOOKUP(L230,'3-Productie normen'!$B$31:$H$45,3,FALSE))</f>
        <v>5 x per week (40 weken + 1 Zomer refreshbeurt)</v>
      </c>
      <c r="N230" s="353" t="e">
        <f t="shared" si="18"/>
        <v>#DIV/0!</v>
      </c>
      <c r="O230" s="354">
        <f>IF(L230="nio",0,IF(L230&gt;0,VLOOKUP(H230,'3-Productie normen'!A:P,VLOOKUP(L230,'3-Productie normen'!$B$31:$C$45,2,FALSE),FALSE)))/VLOOKUP(B230,'2-Kosten per locatie'!$A$13:$D$36,4,FALSE)</f>
        <v>0</v>
      </c>
      <c r="P230" s="82" t="str">
        <f>VLOOKUP(H230,'3-Productie normen'!A:T,20,FALSE)</f>
        <v>L</v>
      </c>
      <c r="Q230" s="447" t="s">
        <v>919</v>
      </c>
      <c r="S230" s="356">
        <f t="shared" si="19"/>
        <v>11014.799846649161</v>
      </c>
    </row>
    <row r="231" spans="1:19" ht="14.1" customHeight="1">
      <c r="A231" s="72">
        <f t="shared" si="21"/>
        <v>231</v>
      </c>
      <c r="B231" s="50" t="s">
        <v>1112</v>
      </c>
      <c r="C231" s="50" t="s">
        <v>826</v>
      </c>
      <c r="D231" s="427" t="s">
        <v>1037</v>
      </c>
      <c r="E231" s="426" t="s">
        <v>196</v>
      </c>
      <c r="F231" s="349" t="s">
        <v>489</v>
      </c>
      <c r="G231" s="86" t="s">
        <v>209</v>
      </c>
      <c r="H231" s="63" t="s">
        <v>1040</v>
      </c>
      <c r="I231" s="86" t="s">
        <v>780</v>
      </c>
      <c r="J231" s="343">
        <v>2.2000000476837198</v>
      </c>
      <c r="K231" s="351">
        <f t="shared" si="20"/>
        <v>12</v>
      </c>
      <c r="L231" s="352">
        <v>12</v>
      </c>
      <c r="M231" s="448" t="str">
        <f>IF(L231="nio","",VLOOKUP(L231,'3-Productie normen'!$B$31:$H$45,3,FALSE))</f>
        <v>1 x per maand</v>
      </c>
      <c r="N231" s="353" t="e">
        <f t="shared" si="18"/>
        <v>#DIV/0!</v>
      </c>
      <c r="O231" s="354">
        <f>IF(L231="nio",0,IF(L231&gt;0,VLOOKUP(H231,'3-Productie normen'!A:P,VLOOKUP(L231,'3-Productie normen'!$B$31:$C$45,2,FALSE),FALSE)))/VLOOKUP(B231,'2-Kosten per locatie'!$A$13:$D$36,4,FALSE)</f>
        <v>0</v>
      </c>
      <c r="P231" s="82" t="str">
        <f>VLOOKUP(H231,'3-Productie normen'!A:T,20,FALSE)</f>
        <v>V</v>
      </c>
      <c r="Q231" s="447" t="s">
        <v>792</v>
      </c>
      <c r="S231" s="356">
        <f t="shared" si="19"/>
        <v>26.40000057220464</v>
      </c>
    </row>
    <row r="232" spans="1:19" ht="14.1" customHeight="1">
      <c r="A232" s="72">
        <f t="shared" si="21"/>
        <v>232</v>
      </c>
      <c r="B232" s="50" t="s">
        <v>1112</v>
      </c>
      <c r="C232" s="50" t="s">
        <v>826</v>
      </c>
      <c r="D232" s="427" t="s">
        <v>1037</v>
      </c>
      <c r="E232" s="426" t="s">
        <v>196</v>
      </c>
      <c r="F232" s="349" t="s">
        <v>490</v>
      </c>
      <c r="G232" s="86" t="s">
        <v>222</v>
      </c>
      <c r="H232" s="65" t="s">
        <v>16</v>
      </c>
      <c r="I232" s="86" t="s">
        <v>91</v>
      </c>
      <c r="J232" s="343">
        <v>1.59</v>
      </c>
      <c r="K232" s="351">
        <f t="shared" si="20"/>
        <v>255</v>
      </c>
      <c r="L232" s="352">
        <v>255</v>
      </c>
      <c r="M232" s="448" t="str">
        <f>IF(L232="nio","",VLOOKUP(L232,'3-Productie normen'!$B$31:$H$45,3,FALSE))</f>
        <v>5 x per week (52 weken)</v>
      </c>
      <c r="N232" s="353" t="e">
        <f t="shared" si="18"/>
        <v>#DIV/0!</v>
      </c>
      <c r="O232" s="354">
        <f>IF(L232="nio",0,IF(L232&gt;0,VLOOKUP(H232,'3-Productie normen'!A:P,VLOOKUP(L232,'3-Productie normen'!$B$31:$C$45,2,FALSE),FALSE)))/VLOOKUP(B232,'2-Kosten per locatie'!$A$13:$D$36,4,FALSE)</f>
        <v>0</v>
      </c>
      <c r="P232" s="82" t="str">
        <f>VLOOKUP(H232,'3-Productie normen'!A:T,20,FALSE)</f>
        <v>S</v>
      </c>
      <c r="Q232" s="447" t="s">
        <v>901</v>
      </c>
      <c r="S232" s="356">
        <f t="shared" si="19"/>
        <v>405.45000000000005</v>
      </c>
    </row>
    <row r="233" spans="1:19" ht="14.1" customHeight="1">
      <c r="A233" s="72">
        <f t="shared" si="21"/>
        <v>233</v>
      </c>
      <c r="B233" s="50" t="s">
        <v>1112</v>
      </c>
      <c r="C233" s="50" t="s">
        <v>826</v>
      </c>
      <c r="D233" s="427" t="s">
        <v>1037</v>
      </c>
      <c r="E233" s="426" t="s">
        <v>196</v>
      </c>
      <c r="F233" s="349" t="s">
        <v>491</v>
      </c>
      <c r="G233" s="86" t="s">
        <v>199</v>
      </c>
      <c r="H233" s="432" t="s">
        <v>198</v>
      </c>
      <c r="I233" s="86" t="s">
        <v>784</v>
      </c>
      <c r="J233" s="343">
        <v>4</v>
      </c>
      <c r="K233" s="351">
        <f t="shared" si="20"/>
        <v>200</v>
      </c>
      <c r="L233" s="352">
        <v>200</v>
      </c>
      <c r="M233" s="448" t="str">
        <f>IF(L233="nio","",VLOOKUP(L233,'3-Productie normen'!$B$31:$H$45,3,FALSE))</f>
        <v>5 x per week (40 weken)</v>
      </c>
      <c r="N233" s="353" t="e">
        <f t="shared" si="18"/>
        <v>#DIV/0!</v>
      </c>
      <c r="O233" s="354">
        <f>IF(L233="nio",0,IF(L233&gt;0,VLOOKUP(H233,'3-Productie normen'!A:P,VLOOKUP(L233,'3-Productie normen'!$B$31:$C$45,2,FALSE),FALSE)))/VLOOKUP(B233,'2-Kosten per locatie'!$A$13:$D$36,4,FALSE)</f>
        <v>0</v>
      </c>
      <c r="P233" s="82" t="str">
        <f>VLOOKUP(H233,'3-Productie normen'!A:T,20,FALSE)</f>
        <v>V</v>
      </c>
      <c r="Q233" s="447" t="s">
        <v>873</v>
      </c>
      <c r="S233" s="356">
        <f t="shared" si="19"/>
        <v>800</v>
      </c>
    </row>
    <row r="234" spans="1:19" ht="14.1" customHeight="1">
      <c r="A234" s="72">
        <f t="shared" si="21"/>
        <v>234</v>
      </c>
      <c r="B234" s="50" t="s">
        <v>1112</v>
      </c>
      <c r="C234" s="50" t="s">
        <v>826</v>
      </c>
      <c r="D234" s="427" t="s">
        <v>1037</v>
      </c>
      <c r="E234" s="426" t="s">
        <v>196</v>
      </c>
      <c r="F234" s="349" t="s">
        <v>492</v>
      </c>
      <c r="G234" s="86" t="s">
        <v>222</v>
      </c>
      <c r="H234" s="65" t="s">
        <v>1053</v>
      </c>
      <c r="I234" s="86" t="s">
        <v>91</v>
      </c>
      <c r="J234" s="343">
        <v>1.28</v>
      </c>
      <c r="K234" s="351" t="str">
        <f t="shared" si="20"/>
        <v>nio</v>
      </c>
      <c r="L234" s="352" t="s">
        <v>804</v>
      </c>
      <c r="M234" s="448" t="str">
        <f>IF(L234="nio","",VLOOKUP(L234,'3-Productie normen'!$B$31:$H$45,3,FALSE))</f>
        <v/>
      </c>
      <c r="N234" s="353">
        <f t="shared" si="18"/>
        <v>0</v>
      </c>
      <c r="O234" s="354">
        <f>IF(L234="nio",0,IF(L234&gt;0,VLOOKUP(H234,'3-Productie normen'!A:P,VLOOKUP(L234,'3-Productie normen'!$B$31:$C$45,2,FALSE),FALSE)))/VLOOKUP(B234,'2-Kosten per locatie'!$A$13:$D$36,4,FALSE)</f>
        <v>0</v>
      </c>
      <c r="P234" s="82">
        <f>VLOOKUP(H234,'3-Productie normen'!A:T,20,FALSE)</f>
        <v>0</v>
      </c>
      <c r="Q234" s="447" t="s">
        <v>901</v>
      </c>
      <c r="S234" s="356">
        <f t="shared" si="19"/>
        <v>0</v>
      </c>
    </row>
    <row r="235" spans="1:19" ht="14.1" customHeight="1">
      <c r="A235" s="72">
        <f t="shared" si="21"/>
        <v>235</v>
      </c>
      <c r="B235" s="50" t="s">
        <v>1110</v>
      </c>
      <c r="C235" s="50" t="s">
        <v>826</v>
      </c>
      <c r="D235" s="427" t="s">
        <v>1035</v>
      </c>
      <c r="E235" s="426" t="s">
        <v>196</v>
      </c>
      <c r="F235" s="349" t="s">
        <v>493</v>
      </c>
      <c r="G235" s="86" t="s">
        <v>201</v>
      </c>
      <c r="H235" s="432" t="s">
        <v>198</v>
      </c>
      <c r="I235" s="86" t="s">
        <v>780</v>
      </c>
      <c r="J235" s="343">
        <v>66.440002441406307</v>
      </c>
      <c r="K235" s="351">
        <f t="shared" si="20"/>
        <v>200</v>
      </c>
      <c r="L235" s="352">
        <v>200</v>
      </c>
      <c r="M235" s="448" t="str">
        <f>IF(L235="nio","",VLOOKUP(L235,'3-Productie normen'!$B$31:$H$45,3,FALSE))</f>
        <v>5 x per week (40 weken)</v>
      </c>
      <c r="N235" s="353" t="e">
        <f t="shared" si="18"/>
        <v>#DIV/0!</v>
      </c>
      <c r="O235" s="354">
        <f>IF(L235="nio",0,IF(L235&gt;0,VLOOKUP(H235,'3-Productie normen'!A:P,VLOOKUP(L235,'3-Productie normen'!$B$31:$C$45,2,FALSE),FALSE)))/VLOOKUP(B235,'2-Kosten per locatie'!$A$13:$D$36,4,FALSE)</f>
        <v>0</v>
      </c>
      <c r="P235" s="82" t="str">
        <f>VLOOKUP(H235,'3-Productie normen'!A:T,20,FALSE)</f>
        <v>V</v>
      </c>
      <c r="Q235" s="447" t="s">
        <v>792</v>
      </c>
      <c r="S235" s="356">
        <f t="shared" si="19"/>
        <v>13288.000488281261</v>
      </c>
    </row>
    <row r="236" spans="1:19" ht="14.1" customHeight="1">
      <c r="A236" s="72">
        <f t="shared" si="21"/>
        <v>236</v>
      </c>
      <c r="B236" s="50" t="s">
        <v>1112</v>
      </c>
      <c r="C236" s="50" t="s">
        <v>826</v>
      </c>
      <c r="D236" s="427" t="s">
        <v>1037</v>
      </c>
      <c r="E236" s="426" t="s">
        <v>196</v>
      </c>
      <c r="F236" s="349" t="s">
        <v>494</v>
      </c>
      <c r="G236" s="86" t="s">
        <v>222</v>
      </c>
      <c r="H236" s="86" t="s">
        <v>16</v>
      </c>
      <c r="I236" s="86" t="s">
        <v>91</v>
      </c>
      <c r="J236" s="343">
        <v>1.33</v>
      </c>
      <c r="K236" s="351">
        <f t="shared" si="20"/>
        <v>201</v>
      </c>
      <c r="L236" s="352">
        <v>201</v>
      </c>
      <c r="M236" s="448" t="str">
        <f>IF(L236="nio","",VLOOKUP(L236,'3-Productie normen'!$B$31:$H$45,3,FALSE))</f>
        <v>5 x per week (40 weken + 1 Zomer refreshbeurt)</v>
      </c>
      <c r="N236" s="353" t="e">
        <f t="shared" si="18"/>
        <v>#DIV/0!</v>
      </c>
      <c r="O236" s="354">
        <f>IF(L236="nio",0,IF(L236&gt;0,VLOOKUP(H236,'3-Productie normen'!A:P,VLOOKUP(L236,'3-Productie normen'!$B$31:$C$45,2,FALSE),FALSE)))/VLOOKUP(B236,'2-Kosten per locatie'!$A$13:$D$36,4,FALSE)</f>
        <v>0</v>
      </c>
      <c r="P236" s="82" t="str">
        <f>VLOOKUP(H236,'3-Productie normen'!A:T,20,FALSE)</f>
        <v>S</v>
      </c>
      <c r="Q236" s="447" t="s">
        <v>901</v>
      </c>
      <c r="S236" s="356">
        <f t="shared" si="19"/>
        <v>267.33000000000004</v>
      </c>
    </row>
    <row r="237" spans="1:19" ht="14.1" customHeight="1">
      <c r="A237" s="72">
        <f t="shared" si="21"/>
        <v>237</v>
      </c>
      <c r="B237" s="50" t="s">
        <v>1111</v>
      </c>
      <c r="C237" s="50" t="s">
        <v>826</v>
      </c>
      <c r="D237" s="427" t="s">
        <v>1036</v>
      </c>
      <c r="E237" s="426" t="s">
        <v>196</v>
      </c>
      <c r="F237" s="349" t="s">
        <v>495</v>
      </c>
      <c r="G237" s="86" t="s">
        <v>222</v>
      </c>
      <c r="H237" s="86" t="s">
        <v>16</v>
      </c>
      <c r="I237" s="86" t="s">
        <v>91</v>
      </c>
      <c r="J237" s="343">
        <v>1.33</v>
      </c>
      <c r="K237" s="351">
        <f t="shared" si="20"/>
        <v>201</v>
      </c>
      <c r="L237" s="352">
        <v>201</v>
      </c>
      <c r="M237" s="448" t="str">
        <f>IF(L237="nio","",VLOOKUP(L237,'3-Productie normen'!$B$31:$H$45,3,FALSE))</f>
        <v>5 x per week (40 weken + 1 Zomer refreshbeurt)</v>
      </c>
      <c r="N237" s="353" t="e">
        <f t="shared" si="18"/>
        <v>#DIV/0!</v>
      </c>
      <c r="O237" s="354">
        <f>IF(L237="nio",0,IF(L237&gt;0,VLOOKUP(H237,'3-Productie normen'!A:P,VLOOKUP(L237,'3-Productie normen'!$B$31:$C$45,2,FALSE),FALSE)))/VLOOKUP(B237,'2-Kosten per locatie'!$A$13:$D$36,4,FALSE)</f>
        <v>0</v>
      </c>
      <c r="P237" s="82" t="str">
        <f>VLOOKUP(H237,'3-Productie normen'!A:T,20,FALSE)</f>
        <v>S</v>
      </c>
      <c r="Q237" s="447" t="s">
        <v>901</v>
      </c>
      <c r="S237" s="356">
        <f t="shared" si="19"/>
        <v>267.33000000000004</v>
      </c>
    </row>
    <row r="238" spans="1:19" ht="14.1" customHeight="1">
      <c r="A238" s="72">
        <f t="shared" si="21"/>
        <v>238</v>
      </c>
      <c r="B238" s="50" t="s">
        <v>1111</v>
      </c>
      <c r="C238" s="50" t="s">
        <v>826</v>
      </c>
      <c r="D238" s="427" t="s">
        <v>1036</v>
      </c>
      <c r="E238" s="426" t="s">
        <v>196</v>
      </c>
      <c r="F238" s="349" t="s">
        <v>496</v>
      </c>
      <c r="G238" s="86" t="s">
        <v>242</v>
      </c>
      <c r="H238" s="50" t="s">
        <v>241</v>
      </c>
      <c r="I238" s="86" t="s">
        <v>780</v>
      </c>
      <c r="J238" s="343">
        <v>56.090000152587898</v>
      </c>
      <c r="K238" s="351">
        <f t="shared" si="20"/>
        <v>201</v>
      </c>
      <c r="L238" s="352">
        <v>201</v>
      </c>
      <c r="M238" s="448" t="str">
        <f>IF(L238="nio","",VLOOKUP(L238,'3-Productie normen'!$B$31:$H$45,3,FALSE))</f>
        <v>5 x per week (40 weken + 1 Zomer refreshbeurt)</v>
      </c>
      <c r="N238" s="353" t="e">
        <f t="shared" si="18"/>
        <v>#DIV/0!</v>
      </c>
      <c r="O238" s="354">
        <f>IF(L238="nio",0,IF(L238&gt;0,VLOOKUP(H238,'3-Productie normen'!A:P,VLOOKUP(L238,'3-Productie normen'!$B$31:$C$45,2,FALSE),FALSE)))/VLOOKUP(B238,'2-Kosten per locatie'!$A$13:$D$36,4,FALSE)</f>
        <v>0</v>
      </c>
      <c r="P238" s="82" t="str">
        <f>VLOOKUP(H238,'3-Productie normen'!A:T,20,FALSE)</f>
        <v>L</v>
      </c>
      <c r="Q238" s="447" t="s">
        <v>928</v>
      </c>
      <c r="S238" s="356">
        <f t="shared" si="19"/>
        <v>11274.090030670168</v>
      </c>
    </row>
    <row r="239" spans="1:19" ht="14.1" customHeight="1">
      <c r="A239" s="72">
        <f t="shared" si="21"/>
        <v>239</v>
      </c>
      <c r="B239" s="50" t="s">
        <v>1111</v>
      </c>
      <c r="C239" s="50" t="s">
        <v>826</v>
      </c>
      <c r="D239" s="427" t="s">
        <v>1036</v>
      </c>
      <c r="E239" s="426" t="s">
        <v>196</v>
      </c>
      <c r="F239" s="349" t="s">
        <v>497</v>
      </c>
      <c r="G239" s="86" t="s">
        <v>209</v>
      </c>
      <c r="H239" s="63" t="s">
        <v>1040</v>
      </c>
      <c r="I239" s="86" t="s">
        <v>780</v>
      </c>
      <c r="J239" s="343">
        <v>2.2000000476837198</v>
      </c>
      <c r="K239" s="351">
        <f t="shared" si="20"/>
        <v>12</v>
      </c>
      <c r="L239" s="352">
        <v>12</v>
      </c>
      <c r="M239" s="448" t="str">
        <f>IF(L239="nio","",VLOOKUP(L239,'3-Productie normen'!$B$31:$H$45,3,FALSE))</f>
        <v>1 x per maand</v>
      </c>
      <c r="N239" s="353" t="e">
        <f t="shared" si="18"/>
        <v>#DIV/0!</v>
      </c>
      <c r="O239" s="354">
        <f>IF(L239="nio",0,IF(L239&gt;0,VLOOKUP(H239,'3-Productie normen'!A:P,VLOOKUP(L239,'3-Productie normen'!$B$31:$C$45,2,FALSE),FALSE)))/VLOOKUP(B239,'2-Kosten per locatie'!$A$13:$D$36,4,FALSE)</f>
        <v>0</v>
      </c>
      <c r="P239" s="82" t="str">
        <f>VLOOKUP(H239,'3-Productie normen'!A:T,20,FALSE)</f>
        <v>V</v>
      </c>
      <c r="Q239" s="447" t="s">
        <v>792</v>
      </c>
      <c r="S239" s="356">
        <f t="shared" si="19"/>
        <v>26.40000057220464</v>
      </c>
    </row>
    <row r="240" spans="1:19" ht="14.1" customHeight="1">
      <c r="A240" s="72">
        <f t="shared" si="21"/>
        <v>240</v>
      </c>
      <c r="B240" s="50" t="s">
        <v>1112</v>
      </c>
      <c r="C240" s="50" t="s">
        <v>826</v>
      </c>
      <c r="D240" s="427" t="s">
        <v>1037</v>
      </c>
      <c r="E240" s="426" t="s">
        <v>196</v>
      </c>
      <c r="F240" s="349" t="s">
        <v>498</v>
      </c>
      <c r="G240" s="86" t="s">
        <v>242</v>
      </c>
      <c r="H240" s="50" t="s">
        <v>241</v>
      </c>
      <c r="I240" s="86" t="s">
        <v>780</v>
      </c>
      <c r="J240" s="343">
        <v>52.810001373291001</v>
      </c>
      <c r="K240" s="351">
        <f t="shared" si="20"/>
        <v>201</v>
      </c>
      <c r="L240" s="352">
        <v>201</v>
      </c>
      <c r="M240" s="448" t="str">
        <f>IF(L240="nio","",VLOOKUP(L240,'3-Productie normen'!$B$31:$H$45,3,FALSE))</f>
        <v>5 x per week (40 weken + 1 Zomer refreshbeurt)</v>
      </c>
      <c r="N240" s="353" t="e">
        <f t="shared" si="18"/>
        <v>#DIV/0!</v>
      </c>
      <c r="O240" s="354">
        <f>IF(L240="nio",0,IF(L240&gt;0,VLOOKUP(H240,'3-Productie normen'!A:P,VLOOKUP(L240,'3-Productie normen'!$B$31:$C$45,2,FALSE),FALSE)))/VLOOKUP(B240,'2-Kosten per locatie'!$A$13:$D$36,4,FALSE)</f>
        <v>0</v>
      </c>
      <c r="P240" s="82" t="str">
        <f>VLOOKUP(H240,'3-Productie normen'!A:T,20,FALSE)</f>
        <v>L</v>
      </c>
      <c r="Q240" s="447" t="s">
        <v>918</v>
      </c>
      <c r="S240" s="356">
        <f t="shared" si="19"/>
        <v>10614.810276031491</v>
      </c>
    </row>
    <row r="241" spans="1:19" ht="14.1" customHeight="1">
      <c r="A241" s="72">
        <f t="shared" si="21"/>
        <v>241</v>
      </c>
      <c r="B241" s="50" t="s">
        <v>1112</v>
      </c>
      <c r="C241" s="50" t="s">
        <v>826</v>
      </c>
      <c r="D241" s="427" t="s">
        <v>1037</v>
      </c>
      <c r="E241" s="426" t="s">
        <v>196</v>
      </c>
      <c r="F241" s="349" t="s">
        <v>499</v>
      </c>
      <c r="G241" s="86" t="s">
        <v>209</v>
      </c>
      <c r="H241" s="63" t="s">
        <v>1040</v>
      </c>
      <c r="I241" s="86" t="s">
        <v>780</v>
      </c>
      <c r="J241" s="343">
        <v>2.2000000476837198</v>
      </c>
      <c r="K241" s="351">
        <f t="shared" si="20"/>
        <v>12</v>
      </c>
      <c r="L241" s="352">
        <v>12</v>
      </c>
      <c r="M241" s="448" t="str">
        <f>IF(L241="nio","",VLOOKUP(L241,'3-Productie normen'!$B$31:$H$45,3,FALSE))</f>
        <v>1 x per maand</v>
      </c>
      <c r="N241" s="353" t="e">
        <f t="shared" si="18"/>
        <v>#DIV/0!</v>
      </c>
      <c r="O241" s="354">
        <f>IF(L241="nio",0,IF(L241&gt;0,VLOOKUP(H241,'3-Productie normen'!A:P,VLOOKUP(L241,'3-Productie normen'!$B$31:$C$45,2,FALSE),FALSE)))/VLOOKUP(B241,'2-Kosten per locatie'!$A$13:$D$36,4,FALSE)</f>
        <v>0</v>
      </c>
      <c r="P241" s="82" t="str">
        <f>VLOOKUP(H241,'3-Productie normen'!A:T,20,FALSE)</f>
        <v>V</v>
      </c>
      <c r="Q241" s="447" t="s">
        <v>792</v>
      </c>
      <c r="S241" s="356">
        <f t="shared" si="19"/>
        <v>26.40000057220464</v>
      </c>
    </row>
    <row r="242" spans="1:19" ht="14.1" customHeight="1">
      <c r="A242" s="72">
        <f t="shared" si="21"/>
        <v>242</v>
      </c>
      <c r="B242" s="50" t="s">
        <v>1112</v>
      </c>
      <c r="C242" s="50" t="s">
        <v>826</v>
      </c>
      <c r="D242" s="427" t="s">
        <v>1037</v>
      </c>
      <c r="E242" s="426" t="s">
        <v>196</v>
      </c>
      <c r="F242" s="349" t="s">
        <v>500</v>
      </c>
      <c r="G242" s="86" t="s">
        <v>242</v>
      </c>
      <c r="H242" s="50" t="s">
        <v>241</v>
      </c>
      <c r="I242" s="86" t="s">
        <v>780</v>
      </c>
      <c r="J242" s="343">
        <v>51.650001525878899</v>
      </c>
      <c r="K242" s="351">
        <f t="shared" si="20"/>
        <v>201</v>
      </c>
      <c r="L242" s="352">
        <v>201</v>
      </c>
      <c r="M242" s="448" t="str">
        <f>IF(L242="nio","",VLOOKUP(L242,'3-Productie normen'!$B$31:$H$45,3,FALSE))</f>
        <v>5 x per week (40 weken + 1 Zomer refreshbeurt)</v>
      </c>
      <c r="N242" s="353" t="e">
        <f t="shared" si="18"/>
        <v>#DIV/0!</v>
      </c>
      <c r="O242" s="354">
        <f>IF(L242="nio",0,IF(L242&gt;0,VLOOKUP(H242,'3-Productie normen'!A:P,VLOOKUP(L242,'3-Productie normen'!$B$31:$C$45,2,FALSE),FALSE)))/VLOOKUP(B242,'2-Kosten per locatie'!$A$13:$D$36,4,FALSE)</f>
        <v>0</v>
      </c>
      <c r="P242" s="82" t="str">
        <f>VLOOKUP(H242,'3-Productie normen'!A:T,20,FALSE)</f>
        <v>L</v>
      </c>
      <c r="Q242" s="447" t="s">
        <v>929</v>
      </c>
      <c r="S242" s="356">
        <f t="shared" si="19"/>
        <v>10381.650306701658</v>
      </c>
    </row>
    <row r="243" spans="1:19" ht="14.1" customHeight="1">
      <c r="A243" s="72">
        <f t="shared" si="21"/>
        <v>243</v>
      </c>
      <c r="B243" s="50" t="s">
        <v>1112</v>
      </c>
      <c r="C243" s="50" t="s">
        <v>826</v>
      </c>
      <c r="D243" s="427" t="s">
        <v>1037</v>
      </c>
      <c r="E243" s="426" t="s">
        <v>196</v>
      </c>
      <c r="F243" s="349" t="s">
        <v>501</v>
      </c>
      <c r="G243" s="86" t="s">
        <v>209</v>
      </c>
      <c r="H243" s="63" t="s">
        <v>1040</v>
      </c>
      <c r="I243" s="86" t="s">
        <v>780</v>
      </c>
      <c r="J243" s="343">
        <v>1.5</v>
      </c>
      <c r="K243" s="351">
        <f t="shared" si="20"/>
        <v>12</v>
      </c>
      <c r="L243" s="352">
        <v>12</v>
      </c>
      <c r="M243" s="448" t="str">
        <f>IF(L243="nio","",VLOOKUP(L243,'3-Productie normen'!$B$31:$H$45,3,FALSE))</f>
        <v>1 x per maand</v>
      </c>
      <c r="N243" s="353" t="e">
        <f t="shared" si="18"/>
        <v>#DIV/0!</v>
      </c>
      <c r="O243" s="354">
        <f>IF(L243="nio",0,IF(L243&gt;0,VLOOKUP(H243,'3-Productie normen'!A:P,VLOOKUP(L243,'3-Productie normen'!$B$31:$C$45,2,FALSE),FALSE)))/VLOOKUP(B243,'2-Kosten per locatie'!$A$13:$D$36,4,FALSE)</f>
        <v>0</v>
      </c>
      <c r="P243" s="82" t="str">
        <f>VLOOKUP(H243,'3-Productie normen'!A:T,20,FALSE)</f>
        <v>V</v>
      </c>
      <c r="Q243" s="447" t="s">
        <v>792</v>
      </c>
      <c r="S243" s="356">
        <f t="shared" si="19"/>
        <v>18</v>
      </c>
    </row>
    <row r="244" spans="1:19" ht="14.1" customHeight="1">
      <c r="A244" s="72">
        <f t="shared" si="21"/>
        <v>244</v>
      </c>
      <c r="B244" s="50" t="s">
        <v>1110</v>
      </c>
      <c r="C244" s="50" t="s">
        <v>826</v>
      </c>
      <c r="D244" s="427" t="s">
        <v>1035</v>
      </c>
      <c r="E244" s="426" t="s">
        <v>196</v>
      </c>
      <c r="F244" s="349" t="s">
        <v>188</v>
      </c>
      <c r="G244" s="86" t="s">
        <v>188</v>
      </c>
      <c r="H244" s="65" t="s">
        <v>1053</v>
      </c>
      <c r="I244" s="86" t="s">
        <v>780</v>
      </c>
      <c r="J244" s="343">
        <v>2.2699999809265101</v>
      </c>
      <c r="K244" s="351" t="str">
        <f t="shared" si="20"/>
        <v>nio</v>
      </c>
      <c r="L244" s="352" t="s">
        <v>804</v>
      </c>
      <c r="M244" s="448" t="str">
        <f>IF(L244="nio","",VLOOKUP(L244,'3-Productie normen'!$B$31:$H$45,3,FALSE))</f>
        <v/>
      </c>
      <c r="N244" s="353">
        <f t="shared" si="18"/>
        <v>0</v>
      </c>
      <c r="O244" s="354">
        <f>IF(L244="nio",0,IF(L244&gt;0,VLOOKUP(H244,'3-Productie normen'!A:P,VLOOKUP(L244,'3-Productie normen'!$B$31:$C$45,2,FALSE),FALSE)))/VLOOKUP(B244,'2-Kosten per locatie'!$A$13:$D$36,4,FALSE)</f>
        <v>0</v>
      </c>
      <c r="P244" s="82">
        <f>VLOOKUP(H244,'3-Productie normen'!A:T,20,FALSE)</f>
        <v>0</v>
      </c>
      <c r="Q244" s="447" t="s">
        <v>792</v>
      </c>
      <c r="S244" s="356">
        <f t="shared" si="19"/>
        <v>0</v>
      </c>
    </row>
    <row r="245" spans="1:19" ht="14.1" customHeight="1">
      <c r="A245" s="72">
        <f t="shared" si="21"/>
        <v>245</v>
      </c>
      <c r="B245" s="50" t="s">
        <v>1111</v>
      </c>
      <c r="C245" s="50" t="s">
        <v>826</v>
      </c>
      <c r="D245" s="427" t="s">
        <v>1036</v>
      </c>
      <c r="E245" s="426" t="s">
        <v>275</v>
      </c>
      <c r="F245" s="349" t="s">
        <v>502</v>
      </c>
      <c r="G245" s="86" t="s">
        <v>222</v>
      </c>
      <c r="H245" s="86" t="s">
        <v>16</v>
      </c>
      <c r="I245" s="86" t="s">
        <v>91</v>
      </c>
      <c r="J245" s="343">
        <v>1.74</v>
      </c>
      <c r="K245" s="351">
        <f t="shared" si="20"/>
        <v>201</v>
      </c>
      <c r="L245" s="352">
        <v>201</v>
      </c>
      <c r="M245" s="448" t="str">
        <f>IF(L245="nio","",VLOOKUP(L245,'3-Productie normen'!$B$31:$H$45,3,FALSE))</f>
        <v>5 x per week (40 weken + 1 Zomer refreshbeurt)</v>
      </c>
      <c r="N245" s="353" t="e">
        <f t="shared" si="18"/>
        <v>#DIV/0!</v>
      </c>
      <c r="O245" s="354">
        <f>IF(L245="nio",0,IF(L245&gt;0,VLOOKUP(H245,'3-Productie normen'!A:P,VLOOKUP(L245,'3-Productie normen'!$B$31:$C$45,2,FALSE),FALSE)))/VLOOKUP(B245,'2-Kosten per locatie'!$A$13:$D$36,4,FALSE)</f>
        <v>0</v>
      </c>
      <c r="P245" s="82" t="str">
        <f>VLOOKUP(H245,'3-Productie normen'!A:T,20,FALSE)</f>
        <v>S</v>
      </c>
      <c r="Q245" s="447" t="s">
        <v>901</v>
      </c>
      <c r="S245" s="356">
        <f t="shared" si="19"/>
        <v>349.74</v>
      </c>
    </row>
    <row r="246" spans="1:19" ht="14.1" customHeight="1">
      <c r="A246" s="72">
        <f t="shared" si="21"/>
        <v>246</v>
      </c>
      <c r="B246" s="50" t="s">
        <v>1111</v>
      </c>
      <c r="C246" s="50" t="s">
        <v>826</v>
      </c>
      <c r="D246" s="427" t="s">
        <v>1036</v>
      </c>
      <c r="E246" s="426" t="s">
        <v>275</v>
      </c>
      <c r="F246" s="349" t="s">
        <v>503</v>
      </c>
      <c r="G246" s="86" t="s">
        <v>242</v>
      </c>
      <c r="H246" s="50" t="s">
        <v>241</v>
      </c>
      <c r="I246" s="86" t="s">
        <v>780</v>
      </c>
      <c r="J246" s="343">
        <v>51.900001525878899</v>
      </c>
      <c r="K246" s="351">
        <f t="shared" si="20"/>
        <v>201</v>
      </c>
      <c r="L246" s="352">
        <v>201</v>
      </c>
      <c r="M246" s="448" t="str">
        <f>IF(L246="nio","",VLOOKUP(L246,'3-Productie normen'!$B$31:$H$45,3,FALSE))</f>
        <v>5 x per week (40 weken + 1 Zomer refreshbeurt)</v>
      </c>
      <c r="N246" s="353" t="e">
        <f t="shared" si="18"/>
        <v>#DIV/0!</v>
      </c>
      <c r="O246" s="354">
        <f>IF(L246="nio",0,IF(L246&gt;0,VLOOKUP(H246,'3-Productie normen'!A:P,VLOOKUP(L246,'3-Productie normen'!$B$31:$C$45,2,FALSE),FALSE)))/VLOOKUP(B246,'2-Kosten per locatie'!$A$13:$D$36,4,FALSE)</f>
        <v>0</v>
      </c>
      <c r="P246" s="82" t="str">
        <f>VLOOKUP(H246,'3-Productie normen'!A:T,20,FALSE)</f>
        <v>L</v>
      </c>
      <c r="Q246" s="447" t="s">
        <v>930</v>
      </c>
      <c r="S246" s="356">
        <f t="shared" si="19"/>
        <v>10431.900306701658</v>
      </c>
    </row>
    <row r="247" spans="1:19" ht="14.1" customHeight="1">
      <c r="A247" s="72">
        <f t="shared" si="21"/>
        <v>247</v>
      </c>
      <c r="B247" s="50" t="s">
        <v>1111</v>
      </c>
      <c r="C247" s="50" t="s">
        <v>826</v>
      </c>
      <c r="D247" s="427" t="s">
        <v>1036</v>
      </c>
      <c r="E247" s="426" t="s">
        <v>275</v>
      </c>
      <c r="F247" s="349" t="s">
        <v>504</v>
      </c>
      <c r="G247" s="86" t="s">
        <v>209</v>
      </c>
      <c r="H247" s="63" t="s">
        <v>1040</v>
      </c>
      <c r="I247" s="86" t="s">
        <v>780</v>
      </c>
      <c r="J247" s="343">
        <v>2.2000000476837198</v>
      </c>
      <c r="K247" s="351">
        <f t="shared" si="20"/>
        <v>12</v>
      </c>
      <c r="L247" s="352">
        <v>12</v>
      </c>
      <c r="M247" s="448" t="str">
        <f>IF(L247="nio","",VLOOKUP(L247,'3-Productie normen'!$B$31:$H$45,3,FALSE))</f>
        <v>1 x per maand</v>
      </c>
      <c r="N247" s="353" t="e">
        <f t="shared" si="18"/>
        <v>#DIV/0!</v>
      </c>
      <c r="O247" s="354">
        <f>IF(L247="nio",0,IF(L247&gt;0,VLOOKUP(H247,'3-Productie normen'!A:P,VLOOKUP(L247,'3-Productie normen'!$B$31:$C$45,2,FALSE),FALSE)))/VLOOKUP(B247,'2-Kosten per locatie'!$A$13:$D$36,4,FALSE)</f>
        <v>0</v>
      </c>
      <c r="P247" s="82" t="str">
        <f>VLOOKUP(H247,'3-Productie normen'!A:T,20,FALSE)</f>
        <v>V</v>
      </c>
      <c r="Q247" s="447" t="s">
        <v>792</v>
      </c>
      <c r="S247" s="356">
        <f t="shared" si="19"/>
        <v>26.40000057220464</v>
      </c>
    </row>
    <row r="248" spans="1:19" ht="14.1" customHeight="1">
      <c r="A248" s="72">
        <f t="shared" si="21"/>
        <v>248</v>
      </c>
      <c r="B248" s="50" t="s">
        <v>1111</v>
      </c>
      <c r="C248" s="50" t="s">
        <v>826</v>
      </c>
      <c r="D248" s="427" t="s">
        <v>1036</v>
      </c>
      <c r="E248" s="426" t="s">
        <v>275</v>
      </c>
      <c r="F248" s="349" t="s">
        <v>505</v>
      </c>
      <c r="G248" s="86" t="s">
        <v>298</v>
      </c>
      <c r="H248" s="50" t="s">
        <v>241</v>
      </c>
      <c r="I248" s="86" t="s">
        <v>780</v>
      </c>
      <c r="J248" s="343">
        <v>51.900001525878899</v>
      </c>
      <c r="K248" s="351">
        <f t="shared" si="20"/>
        <v>201</v>
      </c>
      <c r="L248" s="352">
        <v>201</v>
      </c>
      <c r="M248" s="448" t="str">
        <f>IF(L248="nio","",VLOOKUP(L248,'3-Productie normen'!$B$31:$H$45,3,FALSE))</f>
        <v>5 x per week (40 weken + 1 Zomer refreshbeurt)</v>
      </c>
      <c r="N248" s="353" t="e">
        <f t="shared" si="18"/>
        <v>#DIV/0!</v>
      </c>
      <c r="O248" s="354">
        <f>IF(L248="nio",0,IF(L248&gt;0,VLOOKUP(H248,'3-Productie normen'!A:P,VLOOKUP(L248,'3-Productie normen'!$B$31:$C$45,2,FALSE),FALSE)))/VLOOKUP(B248,'2-Kosten per locatie'!$A$13:$D$36,4,FALSE)</f>
        <v>0</v>
      </c>
      <c r="P248" s="82" t="str">
        <f>VLOOKUP(H248,'3-Productie normen'!A:T,20,FALSE)</f>
        <v>L</v>
      </c>
      <c r="Q248" s="447" t="s">
        <v>931</v>
      </c>
      <c r="S248" s="356">
        <f t="shared" si="19"/>
        <v>10431.900306701658</v>
      </c>
    </row>
    <row r="249" spans="1:19" ht="14.1" customHeight="1">
      <c r="A249" s="72">
        <f t="shared" si="21"/>
        <v>249</v>
      </c>
      <c r="B249" s="50" t="s">
        <v>1111</v>
      </c>
      <c r="C249" s="50" t="s">
        <v>826</v>
      </c>
      <c r="D249" s="427" t="s">
        <v>1036</v>
      </c>
      <c r="E249" s="426" t="s">
        <v>275</v>
      </c>
      <c r="F249" s="349" t="s">
        <v>506</v>
      </c>
      <c r="G249" s="86" t="s">
        <v>209</v>
      </c>
      <c r="H249" s="63" t="s">
        <v>1040</v>
      </c>
      <c r="I249" s="86" t="s">
        <v>780</v>
      </c>
      <c r="J249" s="343">
        <v>2.2000000476837198</v>
      </c>
      <c r="K249" s="351">
        <f t="shared" si="20"/>
        <v>12</v>
      </c>
      <c r="L249" s="352">
        <v>12</v>
      </c>
      <c r="M249" s="448" t="str">
        <f>IF(L249="nio","",VLOOKUP(L249,'3-Productie normen'!$B$31:$H$45,3,FALSE))</f>
        <v>1 x per maand</v>
      </c>
      <c r="N249" s="353" t="e">
        <f t="shared" si="18"/>
        <v>#DIV/0!</v>
      </c>
      <c r="O249" s="354">
        <f>IF(L249="nio",0,IF(L249&gt;0,VLOOKUP(H249,'3-Productie normen'!A:P,VLOOKUP(L249,'3-Productie normen'!$B$31:$C$45,2,FALSE),FALSE)))/VLOOKUP(B249,'2-Kosten per locatie'!$A$13:$D$36,4,FALSE)</f>
        <v>0</v>
      </c>
      <c r="P249" s="82" t="str">
        <f>VLOOKUP(H249,'3-Productie normen'!A:T,20,FALSE)</f>
        <v>V</v>
      </c>
      <c r="Q249" s="447" t="s">
        <v>792</v>
      </c>
      <c r="S249" s="356">
        <f t="shared" si="19"/>
        <v>26.40000057220464</v>
      </c>
    </row>
    <row r="250" spans="1:19" ht="14.1" customHeight="1">
      <c r="A250" s="72">
        <f t="shared" si="21"/>
        <v>250</v>
      </c>
      <c r="B250" s="50" t="s">
        <v>1111</v>
      </c>
      <c r="C250" s="50" t="s">
        <v>826</v>
      </c>
      <c r="D250" s="427" t="s">
        <v>1036</v>
      </c>
      <c r="E250" s="426" t="s">
        <v>275</v>
      </c>
      <c r="F250" s="349" t="s">
        <v>507</v>
      </c>
      <c r="G250" s="86" t="s">
        <v>222</v>
      </c>
      <c r="H250" s="86" t="s">
        <v>16</v>
      </c>
      <c r="I250" s="86" t="s">
        <v>91</v>
      </c>
      <c r="J250" s="343">
        <v>1.74</v>
      </c>
      <c r="K250" s="351">
        <f t="shared" si="20"/>
        <v>201</v>
      </c>
      <c r="L250" s="352">
        <v>201</v>
      </c>
      <c r="M250" s="448" t="str">
        <f>IF(L250="nio","",VLOOKUP(L250,'3-Productie normen'!$B$31:$H$45,3,FALSE))</f>
        <v>5 x per week (40 weken + 1 Zomer refreshbeurt)</v>
      </c>
      <c r="N250" s="353" t="e">
        <f t="shared" si="18"/>
        <v>#DIV/0!</v>
      </c>
      <c r="O250" s="354">
        <f>IF(L250="nio",0,IF(L250&gt;0,VLOOKUP(H250,'3-Productie normen'!A:P,VLOOKUP(L250,'3-Productie normen'!$B$31:$C$45,2,FALSE),FALSE)))/VLOOKUP(B250,'2-Kosten per locatie'!$A$13:$D$36,4,FALSE)</f>
        <v>0</v>
      </c>
      <c r="P250" s="82" t="str">
        <f>VLOOKUP(H250,'3-Productie normen'!A:T,20,FALSE)</f>
        <v>S</v>
      </c>
      <c r="Q250" s="447" t="s">
        <v>901</v>
      </c>
      <c r="S250" s="356">
        <f t="shared" si="19"/>
        <v>349.74</v>
      </c>
    </row>
    <row r="251" spans="1:19" ht="14.1" customHeight="1">
      <c r="A251" s="72">
        <f t="shared" si="21"/>
        <v>251</v>
      </c>
      <c r="B251" s="50" t="s">
        <v>1111</v>
      </c>
      <c r="C251" s="50" t="s">
        <v>826</v>
      </c>
      <c r="D251" s="427" t="s">
        <v>1036</v>
      </c>
      <c r="E251" s="426" t="s">
        <v>275</v>
      </c>
      <c r="F251" s="349" t="s">
        <v>508</v>
      </c>
      <c r="G251" s="86" t="s">
        <v>222</v>
      </c>
      <c r="H251" s="86" t="s">
        <v>16</v>
      </c>
      <c r="I251" s="86" t="s">
        <v>91</v>
      </c>
      <c r="J251" s="343">
        <v>1.74</v>
      </c>
      <c r="K251" s="351">
        <f t="shared" si="20"/>
        <v>201</v>
      </c>
      <c r="L251" s="352">
        <v>201</v>
      </c>
      <c r="M251" s="448" t="str">
        <f>IF(L251="nio","",VLOOKUP(L251,'3-Productie normen'!$B$31:$H$45,3,FALSE))</f>
        <v>5 x per week (40 weken + 1 Zomer refreshbeurt)</v>
      </c>
      <c r="N251" s="353" t="e">
        <f t="shared" si="18"/>
        <v>#DIV/0!</v>
      </c>
      <c r="O251" s="354">
        <f>IF(L251="nio",0,IF(L251&gt;0,VLOOKUP(H251,'3-Productie normen'!A:P,VLOOKUP(L251,'3-Productie normen'!$B$31:$C$45,2,FALSE),FALSE)))/VLOOKUP(B251,'2-Kosten per locatie'!$A$13:$D$36,4,FALSE)</f>
        <v>0</v>
      </c>
      <c r="P251" s="82" t="str">
        <f>VLOOKUP(H251,'3-Productie normen'!A:T,20,FALSE)</f>
        <v>S</v>
      </c>
      <c r="Q251" s="447" t="s">
        <v>901</v>
      </c>
      <c r="S251" s="356">
        <f t="shared" si="19"/>
        <v>349.74</v>
      </c>
    </row>
    <row r="252" spans="1:19" ht="14.1" customHeight="1">
      <c r="A252" s="72">
        <f t="shared" si="21"/>
        <v>252</v>
      </c>
      <c r="B252" s="50" t="s">
        <v>1111</v>
      </c>
      <c r="C252" s="50" t="s">
        <v>826</v>
      </c>
      <c r="D252" s="427" t="s">
        <v>1036</v>
      </c>
      <c r="E252" s="426" t="s">
        <v>275</v>
      </c>
      <c r="F252" s="349" t="s">
        <v>509</v>
      </c>
      <c r="G252" s="86" t="s">
        <v>242</v>
      </c>
      <c r="H252" s="50" t="s">
        <v>241</v>
      </c>
      <c r="I252" s="86" t="s">
        <v>780</v>
      </c>
      <c r="J252" s="343">
        <v>52.599998474121101</v>
      </c>
      <c r="K252" s="351">
        <f t="shared" si="20"/>
        <v>201</v>
      </c>
      <c r="L252" s="352">
        <v>201</v>
      </c>
      <c r="M252" s="448" t="str">
        <f>IF(L252="nio","",VLOOKUP(L252,'3-Productie normen'!$B$31:$H$45,3,FALSE))</f>
        <v>5 x per week (40 weken + 1 Zomer refreshbeurt)</v>
      </c>
      <c r="N252" s="353" t="e">
        <f t="shared" si="18"/>
        <v>#DIV/0!</v>
      </c>
      <c r="O252" s="354">
        <f>IF(L252="nio",0,IF(L252&gt;0,VLOOKUP(H252,'3-Productie normen'!A:P,VLOOKUP(L252,'3-Productie normen'!$B$31:$C$45,2,FALSE),FALSE)))/VLOOKUP(B252,'2-Kosten per locatie'!$A$13:$D$36,4,FALSE)</f>
        <v>0</v>
      </c>
      <c r="P252" s="82" t="str">
        <f>VLOOKUP(H252,'3-Productie normen'!A:T,20,FALSE)</f>
        <v>L</v>
      </c>
      <c r="Q252" s="447" t="s">
        <v>932</v>
      </c>
      <c r="S252" s="356">
        <f t="shared" si="19"/>
        <v>10572.599693298342</v>
      </c>
    </row>
    <row r="253" spans="1:19" ht="14.1" customHeight="1">
      <c r="A253" s="72">
        <f t="shared" si="21"/>
        <v>253</v>
      </c>
      <c r="B253" s="50" t="s">
        <v>1111</v>
      </c>
      <c r="C253" s="50" t="s">
        <v>826</v>
      </c>
      <c r="D253" s="427" t="s">
        <v>1036</v>
      </c>
      <c r="E253" s="426" t="s">
        <v>275</v>
      </c>
      <c r="F253" s="349" t="s">
        <v>510</v>
      </c>
      <c r="G253" s="86" t="s">
        <v>209</v>
      </c>
      <c r="H253" s="63" t="s">
        <v>1040</v>
      </c>
      <c r="I253" s="86" t="s">
        <v>780</v>
      </c>
      <c r="J253" s="343">
        <v>2</v>
      </c>
      <c r="K253" s="351">
        <f t="shared" si="20"/>
        <v>12</v>
      </c>
      <c r="L253" s="352">
        <v>12</v>
      </c>
      <c r="M253" s="448" t="str">
        <f>IF(L253="nio","",VLOOKUP(L253,'3-Productie normen'!$B$31:$H$45,3,FALSE))</f>
        <v>1 x per maand</v>
      </c>
      <c r="N253" s="353" t="e">
        <f t="shared" si="18"/>
        <v>#DIV/0!</v>
      </c>
      <c r="O253" s="354">
        <f>IF(L253="nio",0,IF(L253&gt;0,VLOOKUP(H253,'3-Productie normen'!A:P,VLOOKUP(L253,'3-Productie normen'!$B$31:$C$45,2,FALSE),FALSE)))/VLOOKUP(B253,'2-Kosten per locatie'!$A$13:$D$36,4,FALSE)</f>
        <v>0</v>
      </c>
      <c r="P253" s="82" t="str">
        <f>VLOOKUP(H253,'3-Productie normen'!A:T,20,FALSE)</f>
        <v>V</v>
      </c>
      <c r="Q253" s="447" t="s">
        <v>792</v>
      </c>
      <c r="S253" s="356">
        <f t="shared" si="19"/>
        <v>24</v>
      </c>
    </row>
    <row r="254" spans="1:19" ht="14.1" customHeight="1">
      <c r="A254" s="72">
        <f t="shared" si="21"/>
        <v>254</v>
      </c>
      <c r="B254" s="50" t="s">
        <v>1111</v>
      </c>
      <c r="C254" s="50" t="s">
        <v>826</v>
      </c>
      <c r="D254" s="427" t="s">
        <v>1036</v>
      </c>
      <c r="E254" s="426" t="s">
        <v>275</v>
      </c>
      <c r="F254" s="349" t="s">
        <v>511</v>
      </c>
      <c r="G254" s="86" t="s">
        <v>209</v>
      </c>
      <c r="H254" s="63" t="s">
        <v>1040</v>
      </c>
      <c r="I254" s="86" t="s">
        <v>780</v>
      </c>
      <c r="J254" s="343">
        <v>5.5999999046325701</v>
      </c>
      <c r="K254" s="351">
        <f t="shared" si="20"/>
        <v>12</v>
      </c>
      <c r="L254" s="352">
        <v>12</v>
      </c>
      <c r="M254" s="448" t="str">
        <f>IF(L254="nio","",VLOOKUP(L254,'3-Productie normen'!$B$31:$H$45,3,FALSE))</f>
        <v>1 x per maand</v>
      </c>
      <c r="N254" s="353" t="e">
        <f t="shared" si="18"/>
        <v>#DIV/0!</v>
      </c>
      <c r="O254" s="354">
        <f>IF(L254="nio",0,IF(L254&gt;0,VLOOKUP(H254,'3-Productie normen'!A:P,VLOOKUP(L254,'3-Productie normen'!$B$31:$C$45,2,FALSE),FALSE)))/VLOOKUP(B254,'2-Kosten per locatie'!$A$13:$D$36,4,FALSE)</f>
        <v>0</v>
      </c>
      <c r="P254" s="82" t="str">
        <f>VLOOKUP(H254,'3-Productie normen'!A:T,20,FALSE)</f>
        <v>V</v>
      </c>
      <c r="Q254" s="447" t="s">
        <v>792</v>
      </c>
      <c r="S254" s="356">
        <f t="shared" si="19"/>
        <v>67.199998855590849</v>
      </c>
    </row>
    <row r="255" spans="1:19" ht="14.1" customHeight="1">
      <c r="A255" s="72">
        <f t="shared" si="21"/>
        <v>255</v>
      </c>
      <c r="B255" s="50" t="s">
        <v>1111</v>
      </c>
      <c r="C255" s="50" t="s">
        <v>826</v>
      </c>
      <c r="D255" s="427" t="s">
        <v>1036</v>
      </c>
      <c r="E255" s="426" t="s">
        <v>275</v>
      </c>
      <c r="F255" s="349" t="s">
        <v>512</v>
      </c>
      <c r="G255" s="86" t="s">
        <v>201</v>
      </c>
      <c r="H255" s="432" t="s">
        <v>198</v>
      </c>
      <c r="I255" s="86" t="s">
        <v>780</v>
      </c>
      <c r="J255" s="343">
        <v>90.699996948242202</v>
      </c>
      <c r="K255" s="351">
        <f t="shared" si="20"/>
        <v>200</v>
      </c>
      <c r="L255" s="352">
        <v>200</v>
      </c>
      <c r="M255" s="448" t="str">
        <f>IF(L255="nio","",VLOOKUP(L255,'3-Productie normen'!$B$31:$H$45,3,FALSE))</f>
        <v>5 x per week (40 weken)</v>
      </c>
      <c r="N255" s="353" t="e">
        <f t="shared" si="18"/>
        <v>#DIV/0!</v>
      </c>
      <c r="O255" s="354">
        <f>IF(L255="nio",0,IF(L255&gt;0,VLOOKUP(H255,'3-Productie normen'!A:P,VLOOKUP(L255,'3-Productie normen'!$B$31:$C$45,2,FALSE),FALSE)))/VLOOKUP(B255,'2-Kosten per locatie'!$A$13:$D$36,4,FALSE)</f>
        <v>0</v>
      </c>
      <c r="P255" s="82" t="str">
        <f>VLOOKUP(H255,'3-Productie normen'!A:T,20,FALSE)</f>
        <v>V</v>
      </c>
      <c r="Q255" s="447" t="s">
        <v>792</v>
      </c>
      <c r="S255" s="356">
        <f t="shared" si="19"/>
        <v>18139.999389648441</v>
      </c>
    </row>
    <row r="256" spans="1:19" ht="14.1" customHeight="1">
      <c r="A256" s="72">
        <f t="shared" si="21"/>
        <v>256</v>
      </c>
      <c r="B256" s="50" t="s">
        <v>1111</v>
      </c>
      <c r="C256" s="50" t="s">
        <v>826</v>
      </c>
      <c r="D256" s="427" t="s">
        <v>1036</v>
      </c>
      <c r="E256" s="426" t="s">
        <v>275</v>
      </c>
      <c r="F256" s="349" t="s">
        <v>513</v>
      </c>
      <c r="G256" s="86" t="s">
        <v>201</v>
      </c>
      <c r="H256" s="432" t="s">
        <v>198</v>
      </c>
      <c r="I256" s="86" t="s">
        <v>780</v>
      </c>
      <c r="J256" s="343">
        <v>5.97</v>
      </c>
      <c r="K256" s="351">
        <f t="shared" si="20"/>
        <v>200</v>
      </c>
      <c r="L256" s="352">
        <v>200</v>
      </c>
      <c r="M256" s="448" t="str">
        <f>IF(L256="nio","",VLOOKUP(L256,'3-Productie normen'!$B$31:$H$45,3,FALSE))</f>
        <v>5 x per week (40 weken)</v>
      </c>
      <c r="N256" s="353" t="e">
        <f t="shared" si="18"/>
        <v>#DIV/0!</v>
      </c>
      <c r="O256" s="354">
        <f>IF(L256="nio",0,IF(L256&gt;0,VLOOKUP(H256,'3-Productie normen'!A:P,VLOOKUP(L256,'3-Productie normen'!$B$31:$C$45,2,FALSE),FALSE)))/VLOOKUP(B256,'2-Kosten per locatie'!$A$13:$D$36,4,FALSE)</f>
        <v>0</v>
      </c>
      <c r="P256" s="82" t="str">
        <f>VLOOKUP(H256,'3-Productie normen'!A:T,20,FALSE)</f>
        <v>V</v>
      </c>
      <c r="Q256" s="447" t="s">
        <v>792</v>
      </c>
      <c r="S256" s="356">
        <f t="shared" si="19"/>
        <v>1194</v>
      </c>
    </row>
    <row r="257" spans="1:19" ht="14.1" customHeight="1">
      <c r="A257" s="72">
        <f t="shared" si="21"/>
        <v>257</v>
      </c>
      <c r="B257" s="50" t="s">
        <v>1110</v>
      </c>
      <c r="C257" s="50" t="s">
        <v>826</v>
      </c>
      <c r="D257" s="427" t="s">
        <v>1035</v>
      </c>
      <c r="E257" s="426" t="s">
        <v>196</v>
      </c>
      <c r="F257" s="349" t="s">
        <v>514</v>
      </c>
      <c r="G257" s="86" t="s">
        <v>232</v>
      </c>
      <c r="H257" s="430" t="s">
        <v>1046</v>
      </c>
      <c r="I257" s="86" t="s">
        <v>790</v>
      </c>
      <c r="J257" s="343">
        <v>17.709999084472699</v>
      </c>
      <c r="K257" s="351">
        <f t="shared" si="20"/>
        <v>200</v>
      </c>
      <c r="L257" s="352">
        <v>200</v>
      </c>
      <c r="M257" s="448" t="str">
        <f>IF(L257="nio","",VLOOKUP(L257,'3-Productie normen'!$B$31:$H$45,3,FALSE))</f>
        <v>5 x per week (40 weken)</v>
      </c>
      <c r="N257" s="353" t="e">
        <f t="shared" si="18"/>
        <v>#DIV/0!</v>
      </c>
      <c r="O257" s="354">
        <f>IF(L257="nio",0,IF(L257&gt;0,VLOOKUP(H257,'3-Productie normen'!A:P,VLOOKUP(L257,'3-Productie normen'!$B$31:$C$45,2,FALSE),FALSE)))/VLOOKUP(B257,'2-Kosten per locatie'!$A$13:$D$36,4,FALSE)</f>
        <v>0</v>
      </c>
      <c r="P257" s="82" t="str">
        <f>VLOOKUP(H257,'3-Productie normen'!A:T,20,FALSE)</f>
        <v>V</v>
      </c>
      <c r="Q257" s="447" t="s">
        <v>933</v>
      </c>
      <c r="S257" s="356">
        <f t="shared" si="19"/>
        <v>3541.9998168945399</v>
      </c>
    </row>
    <row r="258" spans="1:19" ht="14.1" customHeight="1">
      <c r="A258" s="72">
        <f t="shared" si="21"/>
        <v>258</v>
      </c>
      <c r="B258" s="50" t="s">
        <v>1110</v>
      </c>
      <c r="C258" s="50" t="s">
        <v>826</v>
      </c>
      <c r="D258" s="427" t="s">
        <v>1035</v>
      </c>
      <c r="E258" s="426" t="s">
        <v>275</v>
      </c>
      <c r="F258" s="349" t="s">
        <v>515</v>
      </c>
      <c r="G258" s="86" t="s">
        <v>201</v>
      </c>
      <c r="H258" s="432" t="s">
        <v>198</v>
      </c>
      <c r="I258" s="86" t="s">
        <v>780</v>
      </c>
      <c r="J258" s="343">
        <v>83.199996948242202</v>
      </c>
      <c r="K258" s="351">
        <f t="shared" si="20"/>
        <v>200</v>
      </c>
      <c r="L258" s="352">
        <v>200</v>
      </c>
      <c r="M258" s="448" t="str">
        <f>IF(L258="nio","",VLOOKUP(L258,'3-Productie normen'!$B$31:$H$45,3,FALSE))</f>
        <v>5 x per week (40 weken)</v>
      </c>
      <c r="N258" s="353" t="e">
        <f t="shared" si="18"/>
        <v>#DIV/0!</v>
      </c>
      <c r="O258" s="354">
        <f>IF(L258="nio",0,IF(L258&gt;0,VLOOKUP(H258,'3-Productie normen'!A:P,VLOOKUP(L258,'3-Productie normen'!$B$31:$C$45,2,FALSE),FALSE)))/VLOOKUP(B258,'2-Kosten per locatie'!$A$13:$D$36,4,FALSE)</f>
        <v>0</v>
      </c>
      <c r="P258" s="82" t="str">
        <f>VLOOKUP(H258,'3-Productie normen'!A:T,20,FALSE)</f>
        <v>V</v>
      </c>
      <c r="Q258" s="447" t="s">
        <v>792</v>
      </c>
      <c r="S258" s="356">
        <f t="shared" si="19"/>
        <v>16639.999389648441</v>
      </c>
    </row>
    <row r="259" spans="1:19" ht="14.1" customHeight="1">
      <c r="A259" s="72">
        <f t="shared" si="21"/>
        <v>259</v>
      </c>
      <c r="B259" s="50" t="s">
        <v>1110</v>
      </c>
      <c r="C259" s="50" t="s">
        <v>826</v>
      </c>
      <c r="D259" s="427" t="s">
        <v>1035</v>
      </c>
      <c r="E259" s="426" t="s">
        <v>275</v>
      </c>
      <c r="F259" s="349" t="s">
        <v>516</v>
      </c>
      <c r="G259" s="86" t="s">
        <v>222</v>
      </c>
      <c r="H259" s="86" t="s">
        <v>16</v>
      </c>
      <c r="I259" s="86" t="s">
        <v>91</v>
      </c>
      <c r="J259" s="343">
        <v>1.87</v>
      </c>
      <c r="K259" s="351">
        <f t="shared" si="20"/>
        <v>201</v>
      </c>
      <c r="L259" s="352">
        <v>201</v>
      </c>
      <c r="M259" s="448" t="str">
        <f>IF(L259="nio","",VLOOKUP(L259,'3-Productie normen'!$B$31:$H$45,3,FALSE))</f>
        <v>5 x per week (40 weken + 1 Zomer refreshbeurt)</v>
      </c>
      <c r="N259" s="353" t="e">
        <f t="shared" si="18"/>
        <v>#DIV/0!</v>
      </c>
      <c r="O259" s="354">
        <f>IF(L259="nio",0,IF(L259&gt;0,VLOOKUP(H259,'3-Productie normen'!A:P,VLOOKUP(L259,'3-Productie normen'!$B$31:$C$45,2,FALSE),FALSE)))/VLOOKUP(B259,'2-Kosten per locatie'!$A$13:$D$36,4,FALSE)</f>
        <v>0</v>
      </c>
      <c r="P259" s="82" t="str">
        <f>VLOOKUP(H259,'3-Productie normen'!A:T,20,FALSE)</f>
        <v>S</v>
      </c>
      <c r="Q259" s="447" t="s">
        <v>901</v>
      </c>
      <c r="S259" s="356">
        <f t="shared" si="19"/>
        <v>375.87</v>
      </c>
    </row>
    <row r="260" spans="1:19" ht="14.1" customHeight="1">
      <c r="A260" s="72">
        <f t="shared" si="21"/>
        <v>260</v>
      </c>
      <c r="B260" s="50" t="s">
        <v>1110</v>
      </c>
      <c r="C260" s="50" t="s">
        <v>826</v>
      </c>
      <c r="D260" s="427" t="s">
        <v>1035</v>
      </c>
      <c r="E260" s="426" t="s">
        <v>275</v>
      </c>
      <c r="F260" s="349" t="s">
        <v>517</v>
      </c>
      <c r="G260" s="86" t="s">
        <v>222</v>
      </c>
      <c r="H260" s="86" t="s">
        <v>16</v>
      </c>
      <c r="I260" s="86" t="s">
        <v>91</v>
      </c>
      <c r="J260" s="343">
        <v>3.62</v>
      </c>
      <c r="K260" s="351">
        <f t="shared" si="20"/>
        <v>201</v>
      </c>
      <c r="L260" s="352">
        <v>201</v>
      </c>
      <c r="M260" s="448" t="str">
        <f>IF(L260="nio","",VLOOKUP(L260,'3-Productie normen'!$B$31:$H$45,3,FALSE))</f>
        <v>5 x per week (40 weken + 1 Zomer refreshbeurt)</v>
      </c>
      <c r="N260" s="353" t="e">
        <f t="shared" ref="N260:N323" si="22">IF(L260="nio",0,IF(L260&gt;0,L260*J260/O260,0))</f>
        <v>#DIV/0!</v>
      </c>
      <c r="O260" s="354">
        <f>IF(L260="nio",0,IF(L260&gt;0,VLOOKUP(H260,'3-Productie normen'!A:P,VLOOKUP(L260,'3-Productie normen'!$B$31:$C$45,2,FALSE),FALSE)))/VLOOKUP(B260,'2-Kosten per locatie'!$A$13:$D$36,4,FALSE)</f>
        <v>0</v>
      </c>
      <c r="P260" s="82" t="str">
        <f>VLOOKUP(H260,'3-Productie normen'!A:T,20,FALSE)</f>
        <v>S</v>
      </c>
      <c r="Q260" s="447" t="s">
        <v>934</v>
      </c>
      <c r="S260" s="356">
        <f t="shared" ref="S260:S323" si="23">IF(L260="nio",0,K260*J260)</f>
        <v>727.62</v>
      </c>
    </row>
    <row r="261" spans="1:19" ht="14.1" customHeight="1">
      <c r="A261" s="72">
        <f t="shared" si="21"/>
        <v>261</v>
      </c>
      <c r="B261" s="50" t="s">
        <v>1110</v>
      </c>
      <c r="C261" s="50" t="s">
        <v>826</v>
      </c>
      <c r="D261" s="427" t="s">
        <v>1035</v>
      </c>
      <c r="E261" s="426" t="s">
        <v>275</v>
      </c>
      <c r="F261" s="349" t="s">
        <v>518</v>
      </c>
      <c r="G261" s="86" t="s">
        <v>215</v>
      </c>
      <c r="H261" s="63" t="s">
        <v>1040</v>
      </c>
      <c r="I261" s="86" t="s">
        <v>780</v>
      </c>
      <c r="J261" s="343">
        <v>2.5999999046325701</v>
      </c>
      <c r="K261" s="351">
        <f t="shared" ref="K261:K324" si="24">L261</f>
        <v>12</v>
      </c>
      <c r="L261" s="352">
        <v>12</v>
      </c>
      <c r="M261" s="448" t="str">
        <f>IF(L261="nio","",VLOOKUP(L261,'3-Productie normen'!$B$31:$H$45,3,FALSE))</f>
        <v>1 x per maand</v>
      </c>
      <c r="N261" s="353" t="e">
        <f t="shared" si="22"/>
        <v>#DIV/0!</v>
      </c>
      <c r="O261" s="354">
        <f>IF(L261="nio",0,IF(L261&gt;0,VLOOKUP(H261,'3-Productie normen'!A:P,VLOOKUP(L261,'3-Productie normen'!$B$31:$C$45,2,FALSE),FALSE)))/VLOOKUP(B261,'2-Kosten per locatie'!$A$13:$D$36,4,FALSE)</f>
        <v>0</v>
      </c>
      <c r="P261" s="82" t="str">
        <f>VLOOKUP(H261,'3-Productie normen'!A:T,20,FALSE)</f>
        <v>V</v>
      </c>
      <c r="Q261" s="447" t="s">
        <v>853</v>
      </c>
      <c r="S261" s="356">
        <f t="shared" si="23"/>
        <v>31.199998855590842</v>
      </c>
    </row>
    <row r="262" spans="1:19" ht="14.1" customHeight="1">
      <c r="A262" s="72">
        <f t="shared" si="21"/>
        <v>262</v>
      </c>
      <c r="B262" s="50" t="s">
        <v>1111</v>
      </c>
      <c r="C262" s="50" t="s">
        <v>826</v>
      </c>
      <c r="D262" s="427" t="s">
        <v>1036</v>
      </c>
      <c r="E262" s="426" t="s">
        <v>275</v>
      </c>
      <c r="F262" s="349" t="s">
        <v>519</v>
      </c>
      <c r="G262" s="86" t="s">
        <v>209</v>
      </c>
      <c r="H262" s="63" t="s">
        <v>1040</v>
      </c>
      <c r="I262" s="86" t="s">
        <v>780</v>
      </c>
      <c r="J262" s="343">
        <v>9.8400001525878906</v>
      </c>
      <c r="K262" s="351">
        <f t="shared" si="24"/>
        <v>12</v>
      </c>
      <c r="L262" s="352">
        <v>12</v>
      </c>
      <c r="M262" s="448" t="str">
        <f>IF(L262="nio","",VLOOKUP(L262,'3-Productie normen'!$B$31:$H$45,3,FALSE))</f>
        <v>1 x per maand</v>
      </c>
      <c r="N262" s="353" t="e">
        <f t="shared" si="22"/>
        <v>#DIV/0!</v>
      </c>
      <c r="O262" s="354">
        <f>IF(L262="nio",0,IF(L262&gt;0,VLOOKUP(H262,'3-Productie normen'!A:P,VLOOKUP(L262,'3-Productie normen'!$B$31:$C$45,2,FALSE),FALSE)))/VLOOKUP(B262,'2-Kosten per locatie'!$A$13:$D$36,4,FALSE)</f>
        <v>0</v>
      </c>
      <c r="P262" s="82" t="str">
        <f>VLOOKUP(H262,'3-Productie normen'!A:T,20,FALSE)</f>
        <v>V</v>
      </c>
      <c r="Q262" s="447" t="s">
        <v>792</v>
      </c>
      <c r="S262" s="356">
        <f t="shared" si="23"/>
        <v>118.08000183105469</v>
      </c>
    </row>
    <row r="263" spans="1:19" ht="14.1" customHeight="1">
      <c r="A263" s="72">
        <f t="shared" si="21"/>
        <v>263</v>
      </c>
      <c r="B263" s="50" t="s">
        <v>1111</v>
      </c>
      <c r="C263" s="50" t="s">
        <v>826</v>
      </c>
      <c r="D263" s="427" t="s">
        <v>1036</v>
      </c>
      <c r="E263" s="426" t="s">
        <v>275</v>
      </c>
      <c r="F263" s="349" t="s">
        <v>520</v>
      </c>
      <c r="G263" s="86" t="s">
        <v>222</v>
      </c>
      <c r="H263" s="86" t="s">
        <v>16</v>
      </c>
      <c r="I263" s="86" t="s">
        <v>91</v>
      </c>
      <c r="J263" s="343">
        <v>1.74</v>
      </c>
      <c r="K263" s="351">
        <f t="shared" si="24"/>
        <v>201</v>
      </c>
      <c r="L263" s="352">
        <v>201</v>
      </c>
      <c r="M263" s="448" t="str">
        <f>IF(L263="nio","",VLOOKUP(L263,'3-Productie normen'!$B$31:$H$45,3,FALSE))</f>
        <v>5 x per week (40 weken + 1 Zomer refreshbeurt)</v>
      </c>
      <c r="N263" s="353" t="e">
        <f t="shared" si="22"/>
        <v>#DIV/0!</v>
      </c>
      <c r="O263" s="354">
        <f>IF(L263="nio",0,IF(L263&gt;0,VLOOKUP(H263,'3-Productie normen'!A:P,VLOOKUP(L263,'3-Productie normen'!$B$31:$C$45,2,FALSE),FALSE)))/VLOOKUP(B263,'2-Kosten per locatie'!$A$13:$D$36,4,FALSE)</f>
        <v>0</v>
      </c>
      <c r="P263" s="82" t="str">
        <f>VLOOKUP(H263,'3-Productie normen'!A:T,20,FALSE)</f>
        <v>S</v>
      </c>
      <c r="Q263" s="447" t="s">
        <v>901</v>
      </c>
      <c r="S263" s="356">
        <f t="shared" si="23"/>
        <v>349.74</v>
      </c>
    </row>
    <row r="264" spans="1:19" ht="14.1" customHeight="1">
      <c r="A264" s="72">
        <f t="shared" si="21"/>
        <v>264</v>
      </c>
      <c r="B264" s="50" t="s">
        <v>1111</v>
      </c>
      <c r="C264" s="50" t="s">
        <v>826</v>
      </c>
      <c r="D264" s="427" t="s">
        <v>1036</v>
      </c>
      <c r="E264" s="426" t="s">
        <v>275</v>
      </c>
      <c r="F264" s="349" t="s">
        <v>521</v>
      </c>
      <c r="G264" s="86" t="s">
        <v>298</v>
      </c>
      <c r="H264" s="50" t="s">
        <v>241</v>
      </c>
      <c r="I264" s="86" t="s">
        <v>795</v>
      </c>
      <c r="J264" s="343">
        <v>51.900001525878899</v>
      </c>
      <c r="K264" s="351">
        <f t="shared" si="24"/>
        <v>201</v>
      </c>
      <c r="L264" s="352">
        <v>201</v>
      </c>
      <c r="M264" s="448" t="str">
        <f>IF(L264="nio","",VLOOKUP(L264,'3-Productie normen'!$B$31:$H$45,3,FALSE))</f>
        <v>5 x per week (40 weken + 1 Zomer refreshbeurt)</v>
      </c>
      <c r="N264" s="353" t="e">
        <f t="shared" si="22"/>
        <v>#DIV/0!</v>
      </c>
      <c r="O264" s="354">
        <f>IF(L264="nio",0,IF(L264&gt;0,VLOOKUP(H264,'3-Productie normen'!A:P,VLOOKUP(L264,'3-Productie normen'!$B$31:$C$45,2,FALSE),FALSE)))/VLOOKUP(B264,'2-Kosten per locatie'!$A$13:$D$36,4,FALSE)</f>
        <v>0</v>
      </c>
      <c r="P264" s="82" t="str">
        <f>VLOOKUP(H264,'3-Productie normen'!A:T,20,FALSE)</f>
        <v>L</v>
      </c>
      <c r="Q264" s="447" t="s">
        <v>875</v>
      </c>
      <c r="S264" s="356">
        <f t="shared" si="23"/>
        <v>10431.900306701658</v>
      </c>
    </row>
    <row r="265" spans="1:19" ht="14.1" customHeight="1">
      <c r="A265" s="72">
        <f t="shared" si="21"/>
        <v>265</v>
      </c>
      <c r="B265" s="50" t="s">
        <v>1111</v>
      </c>
      <c r="C265" s="50" t="s">
        <v>826</v>
      </c>
      <c r="D265" s="427" t="s">
        <v>1036</v>
      </c>
      <c r="E265" s="426" t="s">
        <v>275</v>
      </c>
      <c r="F265" s="349" t="s">
        <v>522</v>
      </c>
      <c r="G265" s="86" t="s">
        <v>209</v>
      </c>
      <c r="H265" s="63" t="s">
        <v>1040</v>
      </c>
      <c r="I265" s="86" t="s">
        <v>780</v>
      </c>
      <c r="J265" s="343">
        <v>2.2000000476837198</v>
      </c>
      <c r="K265" s="351">
        <f t="shared" si="24"/>
        <v>12</v>
      </c>
      <c r="L265" s="352">
        <v>12</v>
      </c>
      <c r="M265" s="448" t="str">
        <f>IF(L265="nio","",VLOOKUP(L265,'3-Productie normen'!$B$31:$H$45,3,FALSE))</f>
        <v>1 x per maand</v>
      </c>
      <c r="N265" s="353" t="e">
        <f t="shared" si="22"/>
        <v>#DIV/0!</v>
      </c>
      <c r="O265" s="354">
        <f>IF(L265="nio",0,IF(L265&gt;0,VLOOKUP(H265,'3-Productie normen'!A:P,VLOOKUP(L265,'3-Productie normen'!$B$31:$C$45,2,FALSE),FALSE)))/VLOOKUP(B265,'2-Kosten per locatie'!$A$13:$D$36,4,FALSE)</f>
        <v>0</v>
      </c>
      <c r="P265" s="82" t="str">
        <f>VLOOKUP(H265,'3-Productie normen'!A:T,20,FALSE)</f>
        <v>V</v>
      </c>
      <c r="Q265" s="447" t="s">
        <v>792</v>
      </c>
      <c r="S265" s="356">
        <f t="shared" si="23"/>
        <v>26.40000057220464</v>
      </c>
    </row>
    <row r="266" spans="1:19" ht="14.1" customHeight="1">
      <c r="A266" s="72">
        <f t="shared" si="21"/>
        <v>266</v>
      </c>
      <c r="B266" s="50" t="s">
        <v>1111</v>
      </c>
      <c r="C266" s="50" t="s">
        <v>826</v>
      </c>
      <c r="D266" s="427" t="s">
        <v>1036</v>
      </c>
      <c r="E266" s="426" t="s">
        <v>275</v>
      </c>
      <c r="F266" s="349" t="s">
        <v>523</v>
      </c>
      <c r="G266" s="86" t="s">
        <v>281</v>
      </c>
      <c r="H266" s="86" t="s">
        <v>203</v>
      </c>
      <c r="I266" s="86" t="s">
        <v>795</v>
      </c>
      <c r="J266" s="343">
        <v>16.2700004577637</v>
      </c>
      <c r="K266" s="351">
        <f t="shared" si="24"/>
        <v>120</v>
      </c>
      <c r="L266" s="352">
        <v>120</v>
      </c>
      <c r="M266" s="448" t="str">
        <f>IF(L266="nio","",VLOOKUP(L266,'3-Productie normen'!$B$31:$H$45,3,FALSE))</f>
        <v>3 x per week (40 weken)</v>
      </c>
      <c r="N266" s="353" t="e">
        <f t="shared" si="22"/>
        <v>#DIV/0!</v>
      </c>
      <c r="O266" s="354">
        <f>IF(L266="nio",0,IF(L266&gt;0,VLOOKUP(H266,'3-Productie normen'!A:P,VLOOKUP(L266,'3-Productie normen'!$B$31:$C$45,2,FALSE),FALSE)))/VLOOKUP(B266,'2-Kosten per locatie'!$A$13:$D$36,4,FALSE)</f>
        <v>0</v>
      </c>
      <c r="P266" s="82" t="str">
        <f>VLOOKUP(H266,'3-Productie normen'!A:T,20,FALSE)</f>
        <v>B</v>
      </c>
      <c r="Q266" s="447" t="s">
        <v>792</v>
      </c>
      <c r="S266" s="356">
        <f t="shared" si="23"/>
        <v>1952.400054931644</v>
      </c>
    </row>
    <row r="267" spans="1:19" ht="14.1" customHeight="1">
      <c r="A267" s="72">
        <f t="shared" ref="A267:A330" si="25">A266+1</f>
        <v>267</v>
      </c>
      <c r="B267" s="50" t="s">
        <v>1111</v>
      </c>
      <c r="C267" s="50" t="s">
        <v>826</v>
      </c>
      <c r="D267" s="427" t="s">
        <v>1036</v>
      </c>
      <c r="E267" s="426" t="s">
        <v>275</v>
      </c>
      <c r="F267" s="349" t="s">
        <v>524</v>
      </c>
      <c r="G267" s="86" t="s">
        <v>406</v>
      </c>
      <c r="H267" s="86" t="s">
        <v>203</v>
      </c>
      <c r="I267" s="86" t="s">
        <v>780</v>
      </c>
      <c r="J267" s="343">
        <v>23.139999389648398</v>
      </c>
      <c r="K267" s="351">
        <f t="shared" si="24"/>
        <v>120</v>
      </c>
      <c r="L267" s="352">
        <v>120</v>
      </c>
      <c r="M267" s="448" t="str">
        <f>IF(L267="nio","",VLOOKUP(L267,'3-Productie normen'!$B$31:$H$45,3,FALSE))</f>
        <v>3 x per week (40 weken)</v>
      </c>
      <c r="N267" s="353" t="e">
        <f t="shared" si="22"/>
        <v>#DIV/0!</v>
      </c>
      <c r="O267" s="354">
        <f>IF(L267="nio",0,IF(L267&gt;0,VLOOKUP(H267,'3-Productie normen'!A:P,VLOOKUP(L267,'3-Productie normen'!$B$31:$C$45,2,FALSE),FALSE)))/VLOOKUP(B267,'2-Kosten per locatie'!$A$13:$D$36,4,FALSE)</f>
        <v>0</v>
      </c>
      <c r="P267" s="82" t="str">
        <f>VLOOKUP(H267,'3-Productie normen'!A:T,20,FALSE)</f>
        <v>B</v>
      </c>
      <c r="Q267" s="447" t="s">
        <v>792</v>
      </c>
      <c r="S267" s="356">
        <f t="shared" si="23"/>
        <v>2776.799926757808</v>
      </c>
    </row>
    <row r="268" spans="1:19" ht="14.1" customHeight="1">
      <c r="A268" s="72">
        <f t="shared" si="25"/>
        <v>268</v>
      </c>
      <c r="B268" s="50" t="s">
        <v>1112</v>
      </c>
      <c r="C268" s="50" t="s">
        <v>826</v>
      </c>
      <c r="D268" s="427" t="s">
        <v>1037</v>
      </c>
      <c r="E268" s="426" t="s">
        <v>275</v>
      </c>
      <c r="F268" s="349" t="s">
        <v>525</v>
      </c>
      <c r="G268" s="86" t="s">
        <v>398</v>
      </c>
      <c r="H268" s="86" t="s">
        <v>203</v>
      </c>
      <c r="I268" s="86" t="s">
        <v>180</v>
      </c>
      <c r="J268" s="343">
        <v>18.040000915527301</v>
      </c>
      <c r="K268" s="351">
        <f t="shared" si="24"/>
        <v>120</v>
      </c>
      <c r="L268" s="352">
        <v>120</v>
      </c>
      <c r="M268" s="448" t="str">
        <f>IF(L268="nio","",VLOOKUP(L268,'3-Productie normen'!$B$31:$H$45,3,FALSE))</f>
        <v>3 x per week (40 weken)</v>
      </c>
      <c r="N268" s="353" t="e">
        <f t="shared" si="22"/>
        <v>#DIV/0!</v>
      </c>
      <c r="O268" s="354">
        <f>IF(L268="nio",0,IF(L268&gt;0,VLOOKUP(H268,'3-Productie normen'!A:P,VLOOKUP(L268,'3-Productie normen'!$B$31:$C$45,2,FALSE),FALSE)))/VLOOKUP(B268,'2-Kosten per locatie'!$A$13:$D$36,4,FALSE)</f>
        <v>0</v>
      </c>
      <c r="P268" s="82" t="str">
        <f>VLOOKUP(H268,'3-Productie normen'!A:T,20,FALSE)</f>
        <v>B</v>
      </c>
      <c r="Q268" s="447" t="s">
        <v>792</v>
      </c>
      <c r="S268" s="356">
        <f t="shared" si="23"/>
        <v>2164.8001098632762</v>
      </c>
    </row>
    <row r="269" spans="1:19" ht="14.1" customHeight="1">
      <c r="A269" s="72">
        <f t="shared" si="25"/>
        <v>269</v>
      </c>
      <c r="B269" s="50" t="s">
        <v>1112</v>
      </c>
      <c r="C269" s="50" t="s">
        <v>826</v>
      </c>
      <c r="D269" s="427" t="s">
        <v>1037</v>
      </c>
      <c r="E269" s="426" t="s">
        <v>275</v>
      </c>
      <c r="F269" s="349" t="s">
        <v>526</v>
      </c>
      <c r="G269" s="86" t="s">
        <v>311</v>
      </c>
      <c r="H269" s="86" t="s">
        <v>203</v>
      </c>
      <c r="I269" s="86" t="s">
        <v>180</v>
      </c>
      <c r="J269" s="343">
        <v>16.860000610351602</v>
      </c>
      <c r="K269" s="351">
        <f t="shared" si="24"/>
        <v>120</v>
      </c>
      <c r="L269" s="352">
        <v>120</v>
      </c>
      <c r="M269" s="448" t="str">
        <f>IF(L269="nio","",VLOOKUP(L269,'3-Productie normen'!$B$31:$H$45,3,FALSE))</f>
        <v>3 x per week (40 weken)</v>
      </c>
      <c r="N269" s="353" t="e">
        <f t="shared" si="22"/>
        <v>#DIV/0!</v>
      </c>
      <c r="O269" s="354">
        <f>IF(L269="nio",0,IF(L269&gt;0,VLOOKUP(H269,'3-Productie normen'!A:P,VLOOKUP(L269,'3-Productie normen'!$B$31:$C$45,2,FALSE),FALSE)))/VLOOKUP(B269,'2-Kosten per locatie'!$A$13:$D$36,4,FALSE)</f>
        <v>0</v>
      </c>
      <c r="P269" s="82" t="str">
        <f>VLOOKUP(H269,'3-Productie normen'!A:T,20,FALSE)</f>
        <v>B</v>
      </c>
      <c r="Q269" s="447" t="s">
        <v>792</v>
      </c>
      <c r="S269" s="356">
        <f t="shared" si="23"/>
        <v>2023.2000732421923</v>
      </c>
    </row>
    <row r="270" spans="1:19" ht="14.1" customHeight="1">
      <c r="A270" s="72">
        <f t="shared" si="25"/>
        <v>270</v>
      </c>
      <c r="B270" s="50" t="s">
        <v>1112</v>
      </c>
      <c r="C270" s="50" t="s">
        <v>826</v>
      </c>
      <c r="D270" s="427" t="s">
        <v>1037</v>
      </c>
      <c r="E270" s="426" t="s">
        <v>275</v>
      </c>
      <c r="F270" s="349" t="s">
        <v>527</v>
      </c>
      <c r="G270" s="86" t="s">
        <v>281</v>
      </c>
      <c r="H270" s="86" t="s">
        <v>203</v>
      </c>
      <c r="I270" s="86" t="s">
        <v>180</v>
      </c>
      <c r="J270" s="343">
        <v>30.870000839233398</v>
      </c>
      <c r="K270" s="351">
        <f t="shared" si="24"/>
        <v>120</v>
      </c>
      <c r="L270" s="352">
        <v>120</v>
      </c>
      <c r="M270" s="448" t="str">
        <f>IF(L270="nio","",VLOOKUP(L270,'3-Productie normen'!$B$31:$H$45,3,FALSE))</f>
        <v>3 x per week (40 weken)</v>
      </c>
      <c r="N270" s="353" t="e">
        <f t="shared" si="22"/>
        <v>#DIV/0!</v>
      </c>
      <c r="O270" s="354">
        <f>IF(L270="nio",0,IF(L270&gt;0,VLOOKUP(H270,'3-Productie normen'!A:P,VLOOKUP(L270,'3-Productie normen'!$B$31:$C$45,2,FALSE),FALSE)))/VLOOKUP(B270,'2-Kosten per locatie'!$A$13:$D$36,4,FALSE)</f>
        <v>0</v>
      </c>
      <c r="P270" s="82" t="str">
        <f>VLOOKUP(H270,'3-Productie normen'!A:T,20,FALSE)</f>
        <v>B</v>
      </c>
      <c r="Q270" s="447" t="s">
        <v>792</v>
      </c>
      <c r="S270" s="356">
        <f t="shared" si="23"/>
        <v>3704.4001007080078</v>
      </c>
    </row>
    <row r="271" spans="1:19" ht="14.1" customHeight="1">
      <c r="A271" s="72">
        <f t="shared" si="25"/>
        <v>271</v>
      </c>
      <c r="B271" s="50" t="s">
        <v>1112</v>
      </c>
      <c r="C271" s="50" t="s">
        <v>826</v>
      </c>
      <c r="D271" s="427" t="s">
        <v>1037</v>
      </c>
      <c r="E271" s="426" t="s">
        <v>275</v>
      </c>
      <c r="F271" s="349" t="s">
        <v>528</v>
      </c>
      <c r="G271" s="86" t="s">
        <v>201</v>
      </c>
      <c r="H271" s="432" t="s">
        <v>198</v>
      </c>
      <c r="I271" s="86" t="s">
        <v>780</v>
      </c>
      <c r="J271" s="343">
        <v>8.2399997711181605</v>
      </c>
      <c r="K271" s="351">
        <f t="shared" si="24"/>
        <v>200</v>
      </c>
      <c r="L271" s="352">
        <v>200</v>
      </c>
      <c r="M271" s="448" t="str">
        <f>IF(L271="nio","",VLOOKUP(L271,'3-Productie normen'!$B$31:$H$45,3,FALSE))</f>
        <v>5 x per week (40 weken)</v>
      </c>
      <c r="N271" s="353" t="e">
        <f t="shared" si="22"/>
        <v>#DIV/0!</v>
      </c>
      <c r="O271" s="354">
        <f>IF(L271="nio",0,IF(L271&gt;0,VLOOKUP(H271,'3-Productie normen'!A:P,VLOOKUP(L271,'3-Productie normen'!$B$31:$C$45,2,FALSE),FALSE)))/VLOOKUP(B271,'2-Kosten per locatie'!$A$13:$D$36,4,FALSE)</f>
        <v>0</v>
      </c>
      <c r="P271" s="82" t="str">
        <f>VLOOKUP(H271,'3-Productie normen'!A:T,20,FALSE)</f>
        <v>V</v>
      </c>
      <c r="Q271" s="447" t="s">
        <v>792</v>
      </c>
      <c r="S271" s="356">
        <f t="shared" si="23"/>
        <v>1647.9999542236321</v>
      </c>
    </row>
    <row r="272" spans="1:19" ht="14.1" customHeight="1">
      <c r="A272" s="72">
        <f t="shared" si="25"/>
        <v>272</v>
      </c>
      <c r="B272" s="50" t="s">
        <v>1110</v>
      </c>
      <c r="C272" s="50" t="s">
        <v>826</v>
      </c>
      <c r="D272" s="427" t="s">
        <v>1035</v>
      </c>
      <c r="E272" s="426" t="s">
        <v>275</v>
      </c>
      <c r="F272" s="349" t="s">
        <v>529</v>
      </c>
      <c r="G272" s="86" t="s">
        <v>279</v>
      </c>
      <c r="H272" s="86" t="s">
        <v>203</v>
      </c>
      <c r="I272" s="86" t="s">
        <v>780</v>
      </c>
      <c r="J272" s="343">
        <v>81.300003051757798</v>
      </c>
      <c r="K272" s="351">
        <f t="shared" si="24"/>
        <v>201</v>
      </c>
      <c r="L272" s="352">
        <v>201</v>
      </c>
      <c r="M272" s="448" t="str">
        <f>IF(L272="nio","",VLOOKUP(L272,'3-Productie normen'!$B$31:$H$45,3,FALSE))</f>
        <v>5 x per week (40 weken + 1 Zomer refreshbeurt)</v>
      </c>
      <c r="N272" s="353" t="e">
        <f t="shared" si="22"/>
        <v>#DIV/0!</v>
      </c>
      <c r="O272" s="354">
        <f>IF(L272="nio",0,IF(L272&gt;0,VLOOKUP(H272,'3-Productie normen'!A:P,VLOOKUP(L272,'3-Productie normen'!$B$31:$C$45,2,FALSE),FALSE)))/VLOOKUP(B272,'2-Kosten per locatie'!$A$13:$D$36,4,FALSE)</f>
        <v>0</v>
      </c>
      <c r="P272" s="82" t="str">
        <f>VLOOKUP(H272,'3-Productie normen'!A:T,20,FALSE)</f>
        <v>B</v>
      </c>
      <c r="Q272" s="447" t="s">
        <v>792</v>
      </c>
      <c r="S272" s="356">
        <f t="shared" si="23"/>
        <v>16341.300613403317</v>
      </c>
    </row>
    <row r="273" spans="1:19" ht="14.1" customHeight="1">
      <c r="A273" s="72">
        <f t="shared" si="25"/>
        <v>273</v>
      </c>
      <c r="B273" s="50" t="s">
        <v>1112</v>
      </c>
      <c r="C273" s="50" t="s">
        <v>826</v>
      </c>
      <c r="D273" s="427" t="s">
        <v>1037</v>
      </c>
      <c r="E273" s="426" t="s">
        <v>275</v>
      </c>
      <c r="F273" s="349" t="s">
        <v>530</v>
      </c>
      <c r="G273" s="86" t="s">
        <v>222</v>
      </c>
      <c r="H273" s="86" t="s">
        <v>16</v>
      </c>
      <c r="I273" s="86" t="s">
        <v>91</v>
      </c>
      <c r="J273" s="343">
        <v>1.59</v>
      </c>
      <c r="K273" s="351">
        <f t="shared" si="24"/>
        <v>201</v>
      </c>
      <c r="L273" s="352">
        <v>201</v>
      </c>
      <c r="M273" s="448" t="str">
        <f>IF(L273="nio","",VLOOKUP(L273,'3-Productie normen'!$B$31:$H$45,3,FALSE))</f>
        <v>5 x per week (40 weken + 1 Zomer refreshbeurt)</v>
      </c>
      <c r="N273" s="353" t="e">
        <f t="shared" si="22"/>
        <v>#DIV/0!</v>
      </c>
      <c r="O273" s="354">
        <f>IF(L273="nio",0,IF(L273&gt;0,VLOOKUP(H273,'3-Productie normen'!A:P,VLOOKUP(L273,'3-Productie normen'!$B$31:$C$45,2,FALSE),FALSE)))/VLOOKUP(B273,'2-Kosten per locatie'!$A$13:$D$36,4,FALSE)</f>
        <v>0</v>
      </c>
      <c r="P273" s="82" t="str">
        <f>VLOOKUP(H273,'3-Productie normen'!A:T,20,FALSE)</f>
        <v>S</v>
      </c>
      <c r="Q273" s="447" t="s">
        <v>901</v>
      </c>
      <c r="S273" s="356">
        <f t="shared" si="23"/>
        <v>319.59000000000003</v>
      </c>
    </row>
    <row r="274" spans="1:19" ht="14.1" customHeight="1">
      <c r="A274" s="72">
        <f t="shared" si="25"/>
        <v>274</v>
      </c>
      <c r="B274" s="50" t="s">
        <v>1112</v>
      </c>
      <c r="C274" s="50" t="s">
        <v>826</v>
      </c>
      <c r="D274" s="427" t="s">
        <v>1037</v>
      </c>
      <c r="E274" s="426" t="s">
        <v>275</v>
      </c>
      <c r="F274" s="349" t="s">
        <v>531</v>
      </c>
      <c r="G274" s="86" t="s">
        <v>298</v>
      </c>
      <c r="H274" s="86" t="s">
        <v>241</v>
      </c>
      <c r="I274" s="86" t="s">
        <v>780</v>
      </c>
      <c r="J274" s="343">
        <v>8.3000001907348597</v>
      </c>
      <c r="K274" s="351">
        <f t="shared" si="24"/>
        <v>201</v>
      </c>
      <c r="L274" s="352">
        <v>201</v>
      </c>
      <c r="M274" s="448" t="str">
        <f>IF(L274="nio","",VLOOKUP(L274,'3-Productie normen'!$B$31:$H$45,3,FALSE))</f>
        <v>5 x per week (40 weken + 1 Zomer refreshbeurt)</v>
      </c>
      <c r="N274" s="353" t="e">
        <f t="shared" si="22"/>
        <v>#DIV/0!</v>
      </c>
      <c r="O274" s="354">
        <f>IF(L274="nio",0,IF(L274&gt;0,VLOOKUP(H274,'3-Productie normen'!A:P,VLOOKUP(L274,'3-Productie normen'!$B$31:$C$45,2,FALSE),FALSE)))/VLOOKUP(B274,'2-Kosten per locatie'!$A$13:$D$36,4,FALSE)</f>
        <v>0</v>
      </c>
      <c r="P274" s="82" t="str">
        <f>VLOOKUP(H274,'3-Productie normen'!A:T,20,FALSE)</f>
        <v>L</v>
      </c>
      <c r="Q274" s="447" t="s">
        <v>935</v>
      </c>
      <c r="S274" s="356">
        <f t="shared" si="23"/>
        <v>1668.3000383377068</v>
      </c>
    </row>
    <row r="275" spans="1:19" ht="14.1" customHeight="1">
      <c r="A275" s="72">
        <f t="shared" si="25"/>
        <v>275</v>
      </c>
      <c r="B275" s="50" t="s">
        <v>1112</v>
      </c>
      <c r="C275" s="50" t="s">
        <v>826</v>
      </c>
      <c r="D275" s="427" t="s">
        <v>1037</v>
      </c>
      <c r="E275" s="426" t="s">
        <v>275</v>
      </c>
      <c r="F275" s="349" t="s">
        <v>531</v>
      </c>
      <c r="G275" s="86" t="s">
        <v>298</v>
      </c>
      <c r="H275" s="50" t="s">
        <v>241</v>
      </c>
      <c r="I275" s="86" t="s">
        <v>795</v>
      </c>
      <c r="J275" s="343">
        <v>46.490001678466797</v>
      </c>
      <c r="K275" s="351">
        <f t="shared" si="24"/>
        <v>201</v>
      </c>
      <c r="L275" s="352">
        <v>201</v>
      </c>
      <c r="M275" s="448" t="str">
        <f>IF(L275="nio","",VLOOKUP(L275,'3-Productie normen'!$B$31:$H$45,3,FALSE))</f>
        <v>5 x per week (40 weken + 1 Zomer refreshbeurt)</v>
      </c>
      <c r="N275" s="353" t="e">
        <f t="shared" si="22"/>
        <v>#DIV/0!</v>
      </c>
      <c r="O275" s="354">
        <f>IF(L275="nio",0,IF(L275&gt;0,VLOOKUP(H275,'3-Productie normen'!A:P,VLOOKUP(L275,'3-Productie normen'!$B$31:$C$45,2,FALSE),FALSE)))/VLOOKUP(B275,'2-Kosten per locatie'!$A$13:$D$36,4,FALSE)</f>
        <v>0</v>
      </c>
      <c r="P275" s="82" t="str">
        <f>VLOOKUP(H275,'3-Productie normen'!A:T,20,FALSE)</f>
        <v>L</v>
      </c>
      <c r="Q275" s="447" t="s">
        <v>935</v>
      </c>
      <c r="S275" s="356">
        <f t="shared" si="23"/>
        <v>9344.4903373718262</v>
      </c>
    </row>
    <row r="276" spans="1:19" ht="14.1" customHeight="1">
      <c r="A276" s="72">
        <f t="shared" si="25"/>
        <v>276</v>
      </c>
      <c r="B276" s="50" t="s">
        <v>1112</v>
      </c>
      <c r="C276" s="50" t="s">
        <v>826</v>
      </c>
      <c r="D276" s="427" t="s">
        <v>1037</v>
      </c>
      <c r="E276" s="426" t="s">
        <v>275</v>
      </c>
      <c r="F276" s="349" t="s">
        <v>532</v>
      </c>
      <c r="G276" s="86" t="s">
        <v>209</v>
      </c>
      <c r="H276" s="63" t="s">
        <v>1040</v>
      </c>
      <c r="I276" s="86" t="s">
        <v>780</v>
      </c>
      <c r="J276" s="343">
        <v>2.2000000476837198</v>
      </c>
      <c r="K276" s="351">
        <f t="shared" si="24"/>
        <v>12</v>
      </c>
      <c r="L276" s="352">
        <v>12</v>
      </c>
      <c r="M276" s="448" t="str">
        <f>IF(L276="nio","",VLOOKUP(L276,'3-Productie normen'!$B$31:$H$45,3,FALSE))</f>
        <v>1 x per maand</v>
      </c>
      <c r="N276" s="353" t="e">
        <f t="shared" si="22"/>
        <v>#DIV/0!</v>
      </c>
      <c r="O276" s="354">
        <f>IF(L276="nio",0,IF(L276&gt;0,VLOOKUP(H276,'3-Productie normen'!A:P,VLOOKUP(L276,'3-Productie normen'!$B$31:$C$45,2,FALSE),FALSE)))/VLOOKUP(B276,'2-Kosten per locatie'!$A$13:$D$36,4,FALSE)</f>
        <v>0</v>
      </c>
      <c r="P276" s="82" t="str">
        <f>VLOOKUP(H276,'3-Productie normen'!A:T,20,FALSE)</f>
        <v>V</v>
      </c>
      <c r="Q276" s="447" t="s">
        <v>792</v>
      </c>
      <c r="S276" s="356">
        <f t="shared" si="23"/>
        <v>26.40000057220464</v>
      </c>
    </row>
    <row r="277" spans="1:19" ht="14.1" customHeight="1">
      <c r="A277" s="72">
        <f t="shared" si="25"/>
        <v>277</v>
      </c>
      <c r="B277" s="50" t="s">
        <v>1112</v>
      </c>
      <c r="C277" s="50" t="s">
        <v>826</v>
      </c>
      <c r="D277" s="427" t="s">
        <v>1037</v>
      </c>
      <c r="E277" s="426" t="s">
        <v>275</v>
      </c>
      <c r="F277" s="349" t="s">
        <v>533</v>
      </c>
      <c r="G277" s="86" t="s">
        <v>209</v>
      </c>
      <c r="H277" s="63" t="s">
        <v>1040</v>
      </c>
      <c r="I277" s="86" t="s">
        <v>780</v>
      </c>
      <c r="J277" s="343">
        <v>4.5599999427795401</v>
      </c>
      <c r="K277" s="351">
        <f t="shared" si="24"/>
        <v>12</v>
      </c>
      <c r="L277" s="352">
        <v>12</v>
      </c>
      <c r="M277" s="448" t="str">
        <f>IF(L277="nio","",VLOOKUP(L277,'3-Productie normen'!$B$31:$H$45,3,FALSE))</f>
        <v>1 x per maand</v>
      </c>
      <c r="N277" s="353" t="e">
        <f t="shared" si="22"/>
        <v>#DIV/0!</v>
      </c>
      <c r="O277" s="354">
        <f>IF(L277="nio",0,IF(L277&gt;0,VLOOKUP(H277,'3-Productie normen'!A:P,VLOOKUP(L277,'3-Productie normen'!$B$31:$C$45,2,FALSE),FALSE)))/VLOOKUP(B277,'2-Kosten per locatie'!$A$13:$D$36,4,FALSE)</f>
        <v>0</v>
      </c>
      <c r="P277" s="82" t="str">
        <f>VLOOKUP(H277,'3-Productie normen'!A:T,20,FALSE)</f>
        <v>V</v>
      </c>
      <c r="Q277" s="447" t="s">
        <v>792</v>
      </c>
      <c r="S277" s="356">
        <f t="shared" si="23"/>
        <v>54.719999313354478</v>
      </c>
    </row>
    <row r="278" spans="1:19" ht="14.1" customHeight="1">
      <c r="A278" s="72">
        <f t="shared" si="25"/>
        <v>278</v>
      </c>
      <c r="B278" s="50" t="s">
        <v>1111</v>
      </c>
      <c r="C278" s="50" t="s">
        <v>826</v>
      </c>
      <c r="D278" s="427" t="s">
        <v>1036</v>
      </c>
      <c r="E278" s="426" t="s">
        <v>275</v>
      </c>
      <c r="F278" s="349" t="s">
        <v>534</v>
      </c>
      <c r="G278" s="86" t="s">
        <v>209</v>
      </c>
      <c r="H278" s="63" t="s">
        <v>1040</v>
      </c>
      <c r="I278" s="86" t="s">
        <v>780</v>
      </c>
      <c r="J278" s="343">
        <v>6.5</v>
      </c>
      <c r="K278" s="351">
        <f t="shared" si="24"/>
        <v>12</v>
      </c>
      <c r="L278" s="352">
        <v>12</v>
      </c>
      <c r="M278" s="448" t="str">
        <f>IF(L278="nio","",VLOOKUP(L278,'3-Productie normen'!$B$31:$H$45,3,FALSE))</f>
        <v>1 x per maand</v>
      </c>
      <c r="N278" s="353" t="e">
        <f t="shared" si="22"/>
        <v>#DIV/0!</v>
      </c>
      <c r="O278" s="354">
        <f>IF(L278="nio",0,IF(L278&gt;0,VLOOKUP(H278,'3-Productie normen'!A:P,VLOOKUP(L278,'3-Productie normen'!$B$31:$C$45,2,FALSE),FALSE)))/VLOOKUP(B278,'2-Kosten per locatie'!$A$13:$D$36,4,FALSE)</f>
        <v>0</v>
      </c>
      <c r="P278" s="82" t="str">
        <f>VLOOKUP(H278,'3-Productie normen'!A:T,20,FALSE)</f>
        <v>V</v>
      </c>
      <c r="Q278" s="447" t="s">
        <v>792</v>
      </c>
      <c r="S278" s="356">
        <f t="shared" si="23"/>
        <v>78</v>
      </c>
    </row>
    <row r="279" spans="1:19" ht="14.1" customHeight="1">
      <c r="A279" s="72">
        <f t="shared" si="25"/>
        <v>279</v>
      </c>
      <c r="B279" s="50" t="s">
        <v>1112</v>
      </c>
      <c r="C279" s="50" t="s">
        <v>826</v>
      </c>
      <c r="D279" s="427" t="s">
        <v>1037</v>
      </c>
      <c r="E279" s="426" t="s">
        <v>275</v>
      </c>
      <c r="F279" s="349" t="s">
        <v>535</v>
      </c>
      <c r="G279" s="86" t="s">
        <v>209</v>
      </c>
      <c r="H279" s="63" t="s">
        <v>1040</v>
      </c>
      <c r="I279" s="86" t="s">
        <v>780</v>
      </c>
      <c r="J279" s="343">
        <v>11.2799997329712</v>
      </c>
      <c r="K279" s="351">
        <f t="shared" si="24"/>
        <v>12</v>
      </c>
      <c r="L279" s="352">
        <v>12</v>
      </c>
      <c r="M279" s="448" t="str">
        <f>IF(L279="nio","",VLOOKUP(L279,'3-Productie normen'!$B$31:$H$45,3,FALSE))</f>
        <v>1 x per maand</v>
      </c>
      <c r="N279" s="353" t="e">
        <f t="shared" si="22"/>
        <v>#DIV/0!</v>
      </c>
      <c r="O279" s="354">
        <f>IF(L279="nio",0,IF(L279&gt;0,VLOOKUP(H279,'3-Productie normen'!A:P,VLOOKUP(L279,'3-Productie normen'!$B$31:$C$45,2,FALSE),FALSE)))/VLOOKUP(B279,'2-Kosten per locatie'!$A$13:$D$36,4,FALSE)</f>
        <v>0</v>
      </c>
      <c r="P279" s="82" t="str">
        <f>VLOOKUP(H279,'3-Productie normen'!A:T,20,FALSE)</f>
        <v>V</v>
      </c>
      <c r="Q279" s="447" t="s">
        <v>792</v>
      </c>
      <c r="S279" s="356">
        <f t="shared" si="23"/>
        <v>135.35999679565441</v>
      </c>
    </row>
    <row r="280" spans="1:19" ht="14.1" customHeight="1">
      <c r="A280" s="72">
        <f t="shared" si="25"/>
        <v>280</v>
      </c>
      <c r="B280" s="50" t="s">
        <v>1111</v>
      </c>
      <c r="C280" s="50" t="s">
        <v>826</v>
      </c>
      <c r="D280" s="427" t="s">
        <v>1036</v>
      </c>
      <c r="E280" s="426" t="s">
        <v>275</v>
      </c>
      <c r="F280" s="349" t="s">
        <v>536</v>
      </c>
      <c r="G280" s="86" t="s">
        <v>388</v>
      </c>
      <c r="H280" s="86" t="s">
        <v>203</v>
      </c>
      <c r="I280" s="86" t="s">
        <v>795</v>
      </c>
      <c r="J280" s="343">
        <v>15.6400003433228</v>
      </c>
      <c r="K280" s="351">
        <f t="shared" si="24"/>
        <v>120</v>
      </c>
      <c r="L280" s="352">
        <v>120</v>
      </c>
      <c r="M280" s="448" t="str">
        <f>IF(L280="nio","",VLOOKUP(L280,'3-Productie normen'!$B$31:$H$45,3,FALSE))</f>
        <v>3 x per week (40 weken)</v>
      </c>
      <c r="N280" s="353" t="e">
        <f t="shared" si="22"/>
        <v>#DIV/0!</v>
      </c>
      <c r="O280" s="354">
        <f>IF(L280="nio",0,IF(L280&gt;0,VLOOKUP(H280,'3-Productie normen'!A:P,VLOOKUP(L280,'3-Productie normen'!$B$31:$C$45,2,FALSE),FALSE)))/VLOOKUP(B280,'2-Kosten per locatie'!$A$13:$D$36,4,FALSE)</f>
        <v>0</v>
      </c>
      <c r="P280" s="82" t="str">
        <f>VLOOKUP(H280,'3-Productie normen'!A:T,20,FALSE)</f>
        <v>B</v>
      </c>
      <c r="Q280" s="447" t="s">
        <v>792</v>
      </c>
      <c r="S280" s="356">
        <f t="shared" si="23"/>
        <v>1876.8000411987359</v>
      </c>
    </row>
    <row r="281" spans="1:19" ht="14.1" customHeight="1">
      <c r="A281" s="72">
        <f t="shared" si="25"/>
        <v>281</v>
      </c>
      <c r="B281" s="50" t="s">
        <v>1112</v>
      </c>
      <c r="C281" s="50" t="s">
        <v>826</v>
      </c>
      <c r="D281" s="427" t="s">
        <v>1037</v>
      </c>
      <c r="E281" s="426" t="s">
        <v>275</v>
      </c>
      <c r="F281" s="349" t="s">
        <v>537</v>
      </c>
      <c r="G281" s="86" t="s">
        <v>201</v>
      </c>
      <c r="H281" s="432" t="s">
        <v>198</v>
      </c>
      <c r="I281" s="86" t="s">
        <v>780</v>
      </c>
      <c r="J281" s="343">
        <v>91.75</v>
      </c>
      <c r="K281" s="351">
        <f t="shared" si="24"/>
        <v>200</v>
      </c>
      <c r="L281" s="352">
        <v>200</v>
      </c>
      <c r="M281" s="448" t="str">
        <f>IF(L281="nio","",VLOOKUP(L281,'3-Productie normen'!$B$31:$H$45,3,FALSE))</f>
        <v>5 x per week (40 weken)</v>
      </c>
      <c r="N281" s="353" t="e">
        <f t="shared" si="22"/>
        <v>#DIV/0!</v>
      </c>
      <c r="O281" s="354">
        <f>IF(L281="nio",0,IF(L281&gt;0,VLOOKUP(H281,'3-Productie normen'!A:P,VLOOKUP(L281,'3-Productie normen'!$B$31:$C$45,2,FALSE),FALSE)))/VLOOKUP(B281,'2-Kosten per locatie'!$A$13:$D$36,4,FALSE)</f>
        <v>0</v>
      </c>
      <c r="P281" s="82" t="str">
        <f>VLOOKUP(H281,'3-Productie normen'!A:T,20,FALSE)</f>
        <v>V</v>
      </c>
      <c r="Q281" s="447" t="s">
        <v>792</v>
      </c>
      <c r="S281" s="356">
        <f t="shared" si="23"/>
        <v>18350</v>
      </c>
    </row>
    <row r="282" spans="1:19" ht="14.1" customHeight="1">
      <c r="A282" s="72">
        <f t="shared" si="25"/>
        <v>282</v>
      </c>
      <c r="B282" s="50" t="s">
        <v>1112</v>
      </c>
      <c r="C282" s="50" t="s">
        <v>826</v>
      </c>
      <c r="D282" s="427" t="s">
        <v>1037</v>
      </c>
      <c r="E282" s="426" t="s">
        <v>275</v>
      </c>
      <c r="F282" s="349" t="s">
        <v>538</v>
      </c>
      <c r="G282" s="86" t="s">
        <v>222</v>
      </c>
      <c r="H282" s="65" t="s">
        <v>1053</v>
      </c>
      <c r="I282" s="86" t="s">
        <v>91</v>
      </c>
      <c r="J282" s="343">
        <v>1.59</v>
      </c>
      <c r="K282" s="351" t="str">
        <f t="shared" si="24"/>
        <v>nio</v>
      </c>
      <c r="L282" s="352" t="s">
        <v>804</v>
      </c>
      <c r="M282" s="448" t="str">
        <f>IF(L282="nio","",VLOOKUP(L282,'3-Productie normen'!$B$31:$H$45,3,FALSE))</f>
        <v/>
      </c>
      <c r="N282" s="353">
        <f t="shared" si="22"/>
        <v>0</v>
      </c>
      <c r="O282" s="354">
        <f>IF(L282="nio",0,IF(L282&gt;0,VLOOKUP(H282,'3-Productie normen'!A:P,VLOOKUP(L282,'3-Productie normen'!$B$31:$C$45,2,FALSE),FALSE)))/VLOOKUP(B282,'2-Kosten per locatie'!$A$13:$D$36,4,FALSE)</f>
        <v>0</v>
      </c>
      <c r="P282" s="82">
        <f>VLOOKUP(H282,'3-Productie normen'!A:T,20,FALSE)</f>
        <v>0</v>
      </c>
      <c r="Q282" s="447" t="s">
        <v>901</v>
      </c>
      <c r="S282" s="356">
        <f t="shared" si="23"/>
        <v>0</v>
      </c>
    </row>
    <row r="283" spans="1:19" ht="14.1" customHeight="1">
      <c r="A283" s="72">
        <f t="shared" si="25"/>
        <v>283</v>
      </c>
      <c r="B283" s="50" t="s">
        <v>1112</v>
      </c>
      <c r="C283" s="50" t="s">
        <v>826</v>
      </c>
      <c r="D283" s="427" t="s">
        <v>1037</v>
      </c>
      <c r="E283" s="426" t="s">
        <v>275</v>
      </c>
      <c r="F283" s="349" t="s">
        <v>539</v>
      </c>
      <c r="G283" s="86" t="s">
        <v>298</v>
      </c>
      <c r="H283" s="86" t="s">
        <v>241</v>
      </c>
      <c r="I283" s="86" t="s">
        <v>795</v>
      </c>
      <c r="J283" s="343">
        <v>47.4799995422363</v>
      </c>
      <c r="K283" s="351">
        <f t="shared" si="24"/>
        <v>201</v>
      </c>
      <c r="L283" s="352">
        <v>201</v>
      </c>
      <c r="M283" s="448" t="str">
        <f>IF(L283="nio","",VLOOKUP(L283,'3-Productie normen'!$B$31:$H$45,3,FALSE))</f>
        <v>5 x per week (40 weken + 1 Zomer refreshbeurt)</v>
      </c>
      <c r="N283" s="353" t="e">
        <f t="shared" si="22"/>
        <v>#DIV/0!</v>
      </c>
      <c r="O283" s="354">
        <f>IF(L283="nio",0,IF(L283&gt;0,VLOOKUP(H283,'3-Productie normen'!A:P,VLOOKUP(L283,'3-Productie normen'!$B$31:$C$45,2,FALSE),FALSE)))/VLOOKUP(B283,'2-Kosten per locatie'!$A$13:$D$36,4,FALSE)</f>
        <v>0</v>
      </c>
      <c r="P283" s="82" t="str">
        <f>VLOOKUP(H283,'3-Productie normen'!A:T,20,FALSE)</f>
        <v>L</v>
      </c>
      <c r="Q283" s="447" t="s">
        <v>926</v>
      </c>
      <c r="S283" s="356">
        <f t="shared" si="23"/>
        <v>9543.4799079894965</v>
      </c>
    </row>
    <row r="284" spans="1:19" ht="14.1" customHeight="1">
      <c r="A284" s="72">
        <f t="shared" si="25"/>
        <v>284</v>
      </c>
      <c r="B284" s="50" t="s">
        <v>1112</v>
      </c>
      <c r="C284" s="50" t="s">
        <v>826</v>
      </c>
      <c r="D284" s="427" t="s">
        <v>1037</v>
      </c>
      <c r="E284" s="426" t="s">
        <v>275</v>
      </c>
      <c r="F284" s="349" t="s">
        <v>539</v>
      </c>
      <c r="G284" s="86" t="s">
        <v>298</v>
      </c>
      <c r="H284" s="50" t="s">
        <v>241</v>
      </c>
      <c r="I284" s="86" t="s">
        <v>780</v>
      </c>
      <c r="J284" s="343">
        <v>4.5700001716613796</v>
      </c>
      <c r="K284" s="351">
        <f t="shared" si="24"/>
        <v>201</v>
      </c>
      <c r="L284" s="352">
        <v>201</v>
      </c>
      <c r="M284" s="448" t="str">
        <f>IF(L284="nio","",VLOOKUP(L284,'3-Productie normen'!$B$31:$H$45,3,FALSE))</f>
        <v>5 x per week (40 weken + 1 Zomer refreshbeurt)</v>
      </c>
      <c r="N284" s="353" t="e">
        <f t="shared" si="22"/>
        <v>#DIV/0!</v>
      </c>
      <c r="O284" s="354">
        <f>IF(L284="nio",0,IF(L284&gt;0,VLOOKUP(H284,'3-Productie normen'!A:P,VLOOKUP(L284,'3-Productie normen'!$B$31:$C$45,2,FALSE),FALSE)))/VLOOKUP(B284,'2-Kosten per locatie'!$A$13:$D$36,4,FALSE)</f>
        <v>0</v>
      </c>
      <c r="P284" s="82" t="str">
        <f>VLOOKUP(H284,'3-Productie normen'!A:T,20,FALSE)</f>
        <v>L</v>
      </c>
      <c r="Q284" s="447" t="s">
        <v>926</v>
      </c>
      <c r="S284" s="356">
        <f t="shared" si="23"/>
        <v>918.57003450393734</v>
      </c>
    </row>
    <row r="285" spans="1:19" ht="14.1" customHeight="1">
      <c r="A285" s="72">
        <f t="shared" si="25"/>
        <v>285</v>
      </c>
      <c r="B285" s="50" t="s">
        <v>1112</v>
      </c>
      <c r="C285" s="50" t="s">
        <v>826</v>
      </c>
      <c r="D285" s="427" t="s">
        <v>1037</v>
      </c>
      <c r="E285" s="426" t="s">
        <v>275</v>
      </c>
      <c r="F285" s="349" t="s">
        <v>540</v>
      </c>
      <c r="G285" s="86" t="s">
        <v>209</v>
      </c>
      <c r="H285" s="63" t="s">
        <v>1040</v>
      </c>
      <c r="I285" s="86" t="s">
        <v>780</v>
      </c>
      <c r="J285" s="343">
        <v>2.2000000476837198</v>
      </c>
      <c r="K285" s="351">
        <f t="shared" si="24"/>
        <v>12</v>
      </c>
      <c r="L285" s="352">
        <v>12</v>
      </c>
      <c r="M285" s="448" t="str">
        <f>IF(L285="nio","",VLOOKUP(L285,'3-Productie normen'!$B$31:$H$45,3,FALSE))</f>
        <v>1 x per maand</v>
      </c>
      <c r="N285" s="353" t="e">
        <f t="shared" si="22"/>
        <v>#DIV/0!</v>
      </c>
      <c r="O285" s="354">
        <f>IF(L285="nio",0,IF(L285&gt;0,VLOOKUP(H285,'3-Productie normen'!A:P,VLOOKUP(L285,'3-Productie normen'!$B$31:$C$45,2,FALSE),FALSE)))/VLOOKUP(B285,'2-Kosten per locatie'!$A$13:$D$36,4,FALSE)</f>
        <v>0</v>
      </c>
      <c r="P285" s="82" t="str">
        <f>VLOOKUP(H285,'3-Productie normen'!A:T,20,FALSE)</f>
        <v>V</v>
      </c>
      <c r="Q285" s="447" t="s">
        <v>792</v>
      </c>
      <c r="S285" s="356">
        <f t="shared" si="23"/>
        <v>26.40000057220464</v>
      </c>
    </row>
    <row r="286" spans="1:19" ht="14.1" customHeight="1">
      <c r="A286" s="72">
        <f t="shared" si="25"/>
        <v>286</v>
      </c>
      <c r="B286" s="50" t="s">
        <v>1112</v>
      </c>
      <c r="C286" s="50" t="s">
        <v>826</v>
      </c>
      <c r="D286" s="427" t="s">
        <v>1037</v>
      </c>
      <c r="E286" s="426" t="s">
        <v>275</v>
      </c>
      <c r="F286" s="349" t="s">
        <v>541</v>
      </c>
      <c r="G286" s="86" t="s">
        <v>298</v>
      </c>
      <c r="H286" s="86" t="s">
        <v>241</v>
      </c>
      <c r="I286" s="86" t="s">
        <v>795</v>
      </c>
      <c r="J286" s="343">
        <v>47.4799995422363</v>
      </c>
      <c r="K286" s="351">
        <f t="shared" si="24"/>
        <v>201</v>
      </c>
      <c r="L286" s="352">
        <v>201</v>
      </c>
      <c r="M286" s="448" t="str">
        <f>IF(L286="nio","",VLOOKUP(L286,'3-Productie normen'!$B$31:$H$45,3,FALSE))</f>
        <v>5 x per week (40 weken + 1 Zomer refreshbeurt)</v>
      </c>
      <c r="N286" s="353" t="e">
        <f t="shared" si="22"/>
        <v>#DIV/0!</v>
      </c>
      <c r="O286" s="354">
        <f>IF(L286="nio",0,IF(L286&gt;0,VLOOKUP(H286,'3-Productie normen'!A:P,VLOOKUP(L286,'3-Productie normen'!$B$31:$C$45,2,FALSE),FALSE)))/VLOOKUP(B286,'2-Kosten per locatie'!$A$13:$D$36,4,FALSE)</f>
        <v>0</v>
      </c>
      <c r="P286" s="82" t="str">
        <f>VLOOKUP(H286,'3-Productie normen'!A:T,20,FALSE)</f>
        <v>L</v>
      </c>
      <c r="Q286" s="447" t="s">
        <v>936</v>
      </c>
      <c r="S286" s="356">
        <f t="shared" si="23"/>
        <v>9543.4799079894965</v>
      </c>
    </row>
    <row r="287" spans="1:19" ht="14.1" customHeight="1">
      <c r="A287" s="72">
        <f t="shared" si="25"/>
        <v>287</v>
      </c>
      <c r="B287" s="50" t="s">
        <v>1112</v>
      </c>
      <c r="C287" s="50" t="s">
        <v>826</v>
      </c>
      <c r="D287" s="427" t="s">
        <v>1037</v>
      </c>
      <c r="E287" s="426" t="s">
        <v>275</v>
      </c>
      <c r="F287" s="349" t="s">
        <v>541</v>
      </c>
      <c r="G287" s="86" t="s">
        <v>298</v>
      </c>
      <c r="H287" s="50" t="s">
        <v>241</v>
      </c>
      <c r="I287" s="86" t="s">
        <v>780</v>
      </c>
      <c r="J287" s="343">
        <v>4.5700001716613796</v>
      </c>
      <c r="K287" s="351">
        <f t="shared" si="24"/>
        <v>201</v>
      </c>
      <c r="L287" s="352">
        <v>201</v>
      </c>
      <c r="M287" s="448" t="str">
        <f>IF(L287="nio","",VLOOKUP(L287,'3-Productie normen'!$B$31:$H$45,3,FALSE))</f>
        <v>5 x per week (40 weken + 1 Zomer refreshbeurt)</v>
      </c>
      <c r="N287" s="353" t="e">
        <f t="shared" si="22"/>
        <v>#DIV/0!</v>
      </c>
      <c r="O287" s="354">
        <f>IF(L287="nio",0,IF(L287&gt;0,VLOOKUP(H287,'3-Productie normen'!A:P,VLOOKUP(L287,'3-Productie normen'!$B$31:$C$45,2,FALSE),FALSE)))/VLOOKUP(B287,'2-Kosten per locatie'!$A$13:$D$36,4,FALSE)</f>
        <v>0</v>
      </c>
      <c r="P287" s="82" t="str">
        <f>VLOOKUP(H287,'3-Productie normen'!A:T,20,FALSE)</f>
        <v>L</v>
      </c>
      <c r="Q287" s="447" t="s">
        <v>936</v>
      </c>
      <c r="S287" s="356">
        <f t="shared" si="23"/>
        <v>918.57003450393734</v>
      </c>
    </row>
    <row r="288" spans="1:19" ht="14.1" customHeight="1">
      <c r="A288" s="72">
        <f t="shared" si="25"/>
        <v>288</v>
      </c>
      <c r="B288" s="50" t="s">
        <v>1112</v>
      </c>
      <c r="C288" s="50" t="s">
        <v>826</v>
      </c>
      <c r="D288" s="427" t="s">
        <v>1037</v>
      </c>
      <c r="E288" s="426" t="s">
        <v>275</v>
      </c>
      <c r="F288" s="349" t="s">
        <v>542</v>
      </c>
      <c r="G288" s="86" t="s">
        <v>209</v>
      </c>
      <c r="H288" s="63" t="s">
        <v>1040</v>
      </c>
      <c r="I288" s="86" t="s">
        <v>780</v>
      </c>
      <c r="J288" s="343">
        <v>2.2000000476837198</v>
      </c>
      <c r="K288" s="351">
        <f t="shared" si="24"/>
        <v>12</v>
      </c>
      <c r="L288" s="352">
        <v>12</v>
      </c>
      <c r="M288" s="448" t="str">
        <f>IF(L288="nio","",VLOOKUP(L288,'3-Productie normen'!$B$31:$H$45,3,FALSE))</f>
        <v>1 x per maand</v>
      </c>
      <c r="N288" s="353" t="e">
        <f t="shared" si="22"/>
        <v>#DIV/0!</v>
      </c>
      <c r="O288" s="354">
        <f>IF(L288="nio",0,IF(L288&gt;0,VLOOKUP(H288,'3-Productie normen'!A:P,VLOOKUP(L288,'3-Productie normen'!$B$31:$C$45,2,FALSE),FALSE)))/VLOOKUP(B288,'2-Kosten per locatie'!$A$13:$D$36,4,FALSE)</f>
        <v>0</v>
      </c>
      <c r="P288" s="82" t="str">
        <f>VLOOKUP(H288,'3-Productie normen'!A:T,20,FALSE)</f>
        <v>V</v>
      </c>
      <c r="Q288" s="447" t="s">
        <v>792</v>
      </c>
      <c r="S288" s="356">
        <f t="shared" si="23"/>
        <v>26.40000057220464</v>
      </c>
    </row>
    <row r="289" spans="1:19" ht="14.1" customHeight="1">
      <c r="A289" s="72">
        <f t="shared" si="25"/>
        <v>289</v>
      </c>
      <c r="B289" s="50" t="s">
        <v>1112</v>
      </c>
      <c r="C289" s="50" t="s">
        <v>826</v>
      </c>
      <c r="D289" s="427" t="s">
        <v>1037</v>
      </c>
      <c r="E289" s="426" t="s">
        <v>275</v>
      </c>
      <c r="F289" s="349" t="s">
        <v>543</v>
      </c>
      <c r="G289" s="86" t="s">
        <v>222</v>
      </c>
      <c r="H289" s="86" t="s">
        <v>16</v>
      </c>
      <c r="I289" s="86" t="s">
        <v>91</v>
      </c>
      <c r="J289" s="343">
        <v>1.59</v>
      </c>
      <c r="K289" s="351">
        <f t="shared" si="24"/>
        <v>201</v>
      </c>
      <c r="L289" s="352">
        <v>201</v>
      </c>
      <c r="M289" s="448" t="str">
        <f>IF(L289="nio","",VLOOKUP(L289,'3-Productie normen'!$B$31:$H$45,3,FALSE))</f>
        <v>5 x per week (40 weken + 1 Zomer refreshbeurt)</v>
      </c>
      <c r="N289" s="353" t="e">
        <f t="shared" si="22"/>
        <v>#DIV/0!</v>
      </c>
      <c r="O289" s="354">
        <f>IF(L289="nio",0,IF(L289&gt;0,VLOOKUP(H289,'3-Productie normen'!A:P,VLOOKUP(L289,'3-Productie normen'!$B$31:$C$45,2,FALSE),FALSE)))/VLOOKUP(B289,'2-Kosten per locatie'!$A$13:$D$36,4,FALSE)</f>
        <v>0</v>
      </c>
      <c r="P289" s="82" t="str">
        <f>VLOOKUP(H289,'3-Productie normen'!A:T,20,FALSE)</f>
        <v>S</v>
      </c>
      <c r="Q289" s="447" t="s">
        <v>901</v>
      </c>
      <c r="S289" s="356">
        <f t="shared" si="23"/>
        <v>319.59000000000003</v>
      </c>
    </row>
    <row r="290" spans="1:19" ht="14.1" customHeight="1">
      <c r="A290" s="72">
        <f t="shared" si="25"/>
        <v>290</v>
      </c>
      <c r="B290" s="50" t="s">
        <v>1112</v>
      </c>
      <c r="C290" s="50" t="s">
        <v>826</v>
      </c>
      <c r="D290" s="427" t="s">
        <v>1037</v>
      </c>
      <c r="E290" s="426" t="s">
        <v>275</v>
      </c>
      <c r="F290" s="349" t="s">
        <v>544</v>
      </c>
      <c r="G290" s="86" t="s">
        <v>222</v>
      </c>
      <c r="H290" s="86" t="s">
        <v>16</v>
      </c>
      <c r="I290" s="86" t="s">
        <v>91</v>
      </c>
      <c r="J290" s="343">
        <v>1.59</v>
      </c>
      <c r="K290" s="351">
        <f t="shared" si="24"/>
        <v>201</v>
      </c>
      <c r="L290" s="352">
        <v>201</v>
      </c>
      <c r="M290" s="448" t="str">
        <f>IF(L290="nio","",VLOOKUP(L290,'3-Productie normen'!$B$31:$H$45,3,FALSE))</f>
        <v>5 x per week (40 weken + 1 Zomer refreshbeurt)</v>
      </c>
      <c r="N290" s="353" t="e">
        <f t="shared" si="22"/>
        <v>#DIV/0!</v>
      </c>
      <c r="O290" s="354">
        <f>IF(L290="nio",0,IF(L290&gt;0,VLOOKUP(H290,'3-Productie normen'!A:P,VLOOKUP(L290,'3-Productie normen'!$B$31:$C$45,2,FALSE),FALSE)))/VLOOKUP(B290,'2-Kosten per locatie'!$A$13:$D$36,4,FALSE)</f>
        <v>0</v>
      </c>
      <c r="P290" s="82" t="str">
        <f>VLOOKUP(H290,'3-Productie normen'!A:T,20,FALSE)</f>
        <v>S</v>
      </c>
      <c r="Q290" s="447" t="s">
        <v>901</v>
      </c>
      <c r="S290" s="356">
        <f t="shared" si="23"/>
        <v>319.59000000000003</v>
      </c>
    </row>
    <row r="291" spans="1:19" ht="14.1" customHeight="1">
      <c r="A291" s="72">
        <f t="shared" si="25"/>
        <v>291</v>
      </c>
      <c r="B291" s="50" t="s">
        <v>1112</v>
      </c>
      <c r="C291" s="50" t="s">
        <v>826</v>
      </c>
      <c r="D291" s="427" t="s">
        <v>1037</v>
      </c>
      <c r="E291" s="426" t="s">
        <v>275</v>
      </c>
      <c r="F291" s="349" t="s">
        <v>545</v>
      </c>
      <c r="G291" s="86" t="s">
        <v>298</v>
      </c>
      <c r="H291" s="86" t="s">
        <v>241</v>
      </c>
      <c r="I291" s="86" t="s">
        <v>780</v>
      </c>
      <c r="J291" s="343">
        <v>4.5700001716613796</v>
      </c>
      <c r="K291" s="351">
        <f t="shared" si="24"/>
        <v>201</v>
      </c>
      <c r="L291" s="352">
        <v>201</v>
      </c>
      <c r="M291" s="448" t="str">
        <f>IF(L291="nio","",VLOOKUP(L291,'3-Productie normen'!$B$31:$H$45,3,FALSE))</f>
        <v>5 x per week (40 weken + 1 Zomer refreshbeurt)</v>
      </c>
      <c r="N291" s="353" t="e">
        <f t="shared" si="22"/>
        <v>#DIV/0!</v>
      </c>
      <c r="O291" s="354">
        <f>IF(L291="nio",0,IF(L291&gt;0,VLOOKUP(H291,'3-Productie normen'!A:P,VLOOKUP(L291,'3-Productie normen'!$B$31:$C$45,2,FALSE),FALSE)))/VLOOKUP(B291,'2-Kosten per locatie'!$A$13:$D$36,4,FALSE)</f>
        <v>0</v>
      </c>
      <c r="P291" s="82" t="str">
        <f>VLOOKUP(H291,'3-Productie normen'!A:T,20,FALSE)</f>
        <v>L</v>
      </c>
      <c r="Q291" s="447" t="s">
        <v>937</v>
      </c>
      <c r="S291" s="356">
        <f t="shared" si="23"/>
        <v>918.57003450393734</v>
      </c>
    </row>
    <row r="292" spans="1:19" ht="14.1" customHeight="1">
      <c r="A292" s="72">
        <f t="shared" si="25"/>
        <v>292</v>
      </c>
      <c r="B292" s="50" t="s">
        <v>1112</v>
      </c>
      <c r="C292" s="50" t="s">
        <v>826</v>
      </c>
      <c r="D292" s="427" t="s">
        <v>1037</v>
      </c>
      <c r="E292" s="426" t="s">
        <v>275</v>
      </c>
      <c r="F292" s="349" t="s">
        <v>545</v>
      </c>
      <c r="G292" s="86" t="s">
        <v>298</v>
      </c>
      <c r="H292" s="50" t="s">
        <v>241</v>
      </c>
      <c r="I292" s="86" t="s">
        <v>795</v>
      </c>
      <c r="J292" s="343">
        <v>47.4799995422363</v>
      </c>
      <c r="K292" s="351">
        <f t="shared" si="24"/>
        <v>201</v>
      </c>
      <c r="L292" s="352">
        <v>201</v>
      </c>
      <c r="M292" s="448" t="str">
        <f>IF(L292="nio","",VLOOKUP(L292,'3-Productie normen'!$B$31:$H$45,3,FALSE))</f>
        <v>5 x per week (40 weken + 1 Zomer refreshbeurt)</v>
      </c>
      <c r="N292" s="353" t="e">
        <f t="shared" si="22"/>
        <v>#DIV/0!</v>
      </c>
      <c r="O292" s="354">
        <f>IF(L292="nio",0,IF(L292&gt;0,VLOOKUP(H292,'3-Productie normen'!A:P,VLOOKUP(L292,'3-Productie normen'!$B$31:$C$45,2,FALSE),FALSE)))/VLOOKUP(B292,'2-Kosten per locatie'!$A$13:$D$36,4,FALSE)</f>
        <v>0</v>
      </c>
      <c r="P292" s="82" t="str">
        <f>VLOOKUP(H292,'3-Productie normen'!A:T,20,FALSE)</f>
        <v>L</v>
      </c>
      <c r="Q292" s="447" t="s">
        <v>937</v>
      </c>
      <c r="S292" s="356">
        <f t="shared" si="23"/>
        <v>9543.4799079894965</v>
      </c>
    </row>
    <row r="293" spans="1:19" ht="14.1" customHeight="1">
      <c r="A293" s="72">
        <f t="shared" si="25"/>
        <v>293</v>
      </c>
      <c r="B293" s="50" t="s">
        <v>1112</v>
      </c>
      <c r="C293" s="50" t="s">
        <v>826</v>
      </c>
      <c r="D293" s="427" t="s">
        <v>1037</v>
      </c>
      <c r="E293" s="426" t="s">
        <v>275</v>
      </c>
      <c r="F293" s="349" t="s">
        <v>546</v>
      </c>
      <c r="G293" s="86" t="s">
        <v>209</v>
      </c>
      <c r="H293" s="63" t="s">
        <v>1040</v>
      </c>
      <c r="I293" s="86" t="s">
        <v>780</v>
      </c>
      <c r="J293" s="343">
        <v>2.2000000476837198</v>
      </c>
      <c r="K293" s="351">
        <f t="shared" si="24"/>
        <v>12</v>
      </c>
      <c r="L293" s="352">
        <v>12</v>
      </c>
      <c r="M293" s="448" t="str">
        <f>IF(L293="nio","",VLOOKUP(L293,'3-Productie normen'!$B$31:$H$45,3,FALSE))</f>
        <v>1 x per maand</v>
      </c>
      <c r="N293" s="353" t="e">
        <f t="shared" si="22"/>
        <v>#DIV/0!</v>
      </c>
      <c r="O293" s="354">
        <f>IF(L293="nio",0,IF(L293&gt;0,VLOOKUP(H293,'3-Productie normen'!A:P,VLOOKUP(L293,'3-Productie normen'!$B$31:$C$45,2,FALSE),FALSE)))/VLOOKUP(B293,'2-Kosten per locatie'!$A$13:$D$36,4,FALSE)</f>
        <v>0</v>
      </c>
      <c r="P293" s="82" t="str">
        <f>VLOOKUP(H293,'3-Productie normen'!A:T,20,FALSE)</f>
        <v>V</v>
      </c>
      <c r="Q293" s="447" t="s">
        <v>792</v>
      </c>
      <c r="S293" s="356">
        <f t="shared" si="23"/>
        <v>26.40000057220464</v>
      </c>
    </row>
    <row r="294" spans="1:19" ht="14.1" customHeight="1">
      <c r="A294" s="72">
        <f t="shared" si="25"/>
        <v>294</v>
      </c>
      <c r="B294" s="50" t="s">
        <v>1112</v>
      </c>
      <c r="C294" s="50" t="s">
        <v>826</v>
      </c>
      <c r="D294" s="427" t="s">
        <v>1037</v>
      </c>
      <c r="E294" s="426" t="s">
        <v>275</v>
      </c>
      <c r="F294" s="349" t="s">
        <v>547</v>
      </c>
      <c r="G294" s="86" t="s">
        <v>298</v>
      </c>
      <c r="H294" s="86" t="s">
        <v>241</v>
      </c>
      <c r="I294" s="86" t="s">
        <v>795</v>
      </c>
      <c r="J294" s="343">
        <v>47.869998931884801</v>
      </c>
      <c r="K294" s="351">
        <f t="shared" si="24"/>
        <v>201</v>
      </c>
      <c r="L294" s="352">
        <v>201</v>
      </c>
      <c r="M294" s="448" t="str">
        <f>IF(L294="nio","",VLOOKUP(L294,'3-Productie normen'!$B$31:$H$45,3,FALSE))</f>
        <v>5 x per week (40 weken + 1 Zomer refreshbeurt)</v>
      </c>
      <c r="N294" s="353" t="e">
        <f t="shared" si="22"/>
        <v>#DIV/0!</v>
      </c>
      <c r="O294" s="354">
        <f>IF(L294="nio",0,IF(L294&gt;0,VLOOKUP(H294,'3-Productie normen'!A:P,VLOOKUP(L294,'3-Productie normen'!$B$31:$C$45,2,FALSE),FALSE)))/VLOOKUP(B294,'2-Kosten per locatie'!$A$13:$D$36,4,FALSE)</f>
        <v>0</v>
      </c>
      <c r="P294" s="82" t="str">
        <f>VLOOKUP(H294,'3-Productie normen'!A:T,20,FALSE)</f>
        <v>L</v>
      </c>
      <c r="Q294" s="447" t="s">
        <v>938</v>
      </c>
      <c r="S294" s="356">
        <f t="shared" si="23"/>
        <v>9621.8697853088452</v>
      </c>
    </row>
    <row r="295" spans="1:19" ht="14.1" customHeight="1">
      <c r="A295" s="72">
        <f t="shared" si="25"/>
        <v>295</v>
      </c>
      <c r="B295" s="50" t="s">
        <v>1112</v>
      </c>
      <c r="C295" s="50" t="s">
        <v>826</v>
      </c>
      <c r="D295" s="427" t="s">
        <v>1037</v>
      </c>
      <c r="E295" s="426" t="s">
        <v>275</v>
      </c>
      <c r="F295" s="349" t="s">
        <v>547</v>
      </c>
      <c r="G295" s="86" t="s">
        <v>298</v>
      </c>
      <c r="H295" s="50" t="s">
        <v>241</v>
      </c>
      <c r="I295" s="86" t="s">
        <v>780</v>
      </c>
      <c r="J295" s="343">
        <v>2.1800000000000002</v>
      </c>
      <c r="K295" s="351">
        <f t="shared" si="24"/>
        <v>201</v>
      </c>
      <c r="L295" s="352">
        <v>201</v>
      </c>
      <c r="M295" s="448" t="str">
        <f>IF(L295="nio","",VLOOKUP(L295,'3-Productie normen'!$B$31:$H$45,3,FALSE))</f>
        <v>5 x per week (40 weken + 1 Zomer refreshbeurt)</v>
      </c>
      <c r="N295" s="353" t="e">
        <f t="shared" si="22"/>
        <v>#DIV/0!</v>
      </c>
      <c r="O295" s="354">
        <f>IF(L295="nio",0,IF(L295&gt;0,VLOOKUP(H295,'3-Productie normen'!A:P,VLOOKUP(L295,'3-Productie normen'!$B$31:$C$45,2,FALSE),FALSE)))/VLOOKUP(B295,'2-Kosten per locatie'!$A$13:$D$36,4,FALSE)</f>
        <v>0</v>
      </c>
      <c r="P295" s="82" t="str">
        <f>VLOOKUP(H295,'3-Productie normen'!A:T,20,FALSE)</f>
        <v>L</v>
      </c>
      <c r="Q295" s="447" t="s">
        <v>938</v>
      </c>
      <c r="S295" s="356">
        <f t="shared" si="23"/>
        <v>438.18</v>
      </c>
    </row>
    <row r="296" spans="1:19" ht="14.1" customHeight="1">
      <c r="A296" s="72">
        <f t="shared" si="25"/>
        <v>296</v>
      </c>
      <c r="B296" s="50" t="s">
        <v>1112</v>
      </c>
      <c r="C296" s="50" t="s">
        <v>826</v>
      </c>
      <c r="D296" s="427" t="s">
        <v>1037</v>
      </c>
      <c r="E296" s="426" t="s">
        <v>275</v>
      </c>
      <c r="F296" s="349" t="s">
        <v>548</v>
      </c>
      <c r="G296" s="86" t="s">
        <v>209</v>
      </c>
      <c r="H296" s="63" t="s">
        <v>1040</v>
      </c>
      <c r="I296" s="86" t="s">
        <v>780</v>
      </c>
      <c r="J296" s="343">
        <v>1.5</v>
      </c>
      <c r="K296" s="351">
        <f t="shared" si="24"/>
        <v>12</v>
      </c>
      <c r="L296" s="352">
        <v>12</v>
      </c>
      <c r="M296" s="448" t="str">
        <f>IF(L296="nio","",VLOOKUP(L296,'3-Productie normen'!$B$31:$H$45,3,FALSE))</f>
        <v>1 x per maand</v>
      </c>
      <c r="N296" s="353" t="e">
        <f t="shared" si="22"/>
        <v>#DIV/0!</v>
      </c>
      <c r="O296" s="354">
        <f>IF(L296="nio",0,IF(L296&gt;0,VLOOKUP(H296,'3-Productie normen'!A:P,VLOOKUP(L296,'3-Productie normen'!$B$31:$C$45,2,FALSE),FALSE)))/VLOOKUP(B296,'2-Kosten per locatie'!$A$13:$D$36,4,FALSE)</f>
        <v>0</v>
      </c>
      <c r="P296" s="82" t="str">
        <f>VLOOKUP(H296,'3-Productie normen'!A:T,20,FALSE)</f>
        <v>V</v>
      </c>
      <c r="Q296" s="447" t="s">
        <v>792</v>
      </c>
      <c r="S296" s="356">
        <f t="shared" si="23"/>
        <v>18</v>
      </c>
    </row>
    <row r="297" spans="1:19" ht="14.1" customHeight="1">
      <c r="A297" s="72">
        <f t="shared" si="25"/>
        <v>297</v>
      </c>
      <c r="B297" s="50" t="s">
        <v>1112</v>
      </c>
      <c r="C297" s="50" t="s">
        <v>826</v>
      </c>
      <c r="D297" s="427" t="s">
        <v>1037</v>
      </c>
      <c r="E297" s="426" t="s">
        <v>275</v>
      </c>
      <c r="F297" s="349" t="s">
        <v>549</v>
      </c>
      <c r="G297" s="86" t="s">
        <v>222</v>
      </c>
      <c r="H297" s="81" t="s">
        <v>16</v>
      </c>
      <c r="I297" s="86" t="s">
        <v>91</v>
      </c>
      <c r="J297" s="343">
        <v>1.37</v>
      </c>
      <c r="K297" s="351">
        <f t="shared" si="24"/>
        <v>201</v>
      </c>
      <c r="L297" s="352">
        <v>201</v>
      </c>
      <c r="M297" s="448" t="str">
        <f>IF(L297="nio","",VLOOKUP(L297,'3-Productie normen'!$B$31:$H$45,3,FALSE))</f>
        <v>5 x per week (40 weken + 1 Zomer refreshbeurt)</v>
      </c>
      <c r="N297" s="353" t="e">
        <f t="shared" si="22"/>
        <v>#DIV/0!</v>
      </c>
      <c r="O297" s="354">
        <f>IF(L297="nio",0,IF(L297&gt;0,VLOOKUP(H297,'3-Productie normen'!A:P,VLOOKUP(L297,'3-Productie normen'!$B$31:$C$45,2,FALSE),FALSE)))/VLOOKUP(B297,'2-Kosten per locatie'!$A$13:$D$36,4,FALSE)</f>
        <v>0</v>
      </c>
      <c r="P297" s="82" t="str">
        <f>VLOOKUP(H297,'3-Productie normen'!A:T,20,FALSE)</f>
        <v>S</v>
      </c>
      <c r="Q297" s="447" t="s">
        <v>901</v>
      </c>
      <c r="S297" s="356">
        <f t="shared" si="23"/>
        <v>275.37</v>
      </c>
    </row>
    <row r="298" spans="1:19" ht="14.1" customHeight="1">
      <c r="A298" s="72">
        <f t="shared" si="25"/>
        <v>298</v>
      </c>
      <c r="B298" s="50" t="s">
        <v>1112</v>
      </c>
      <c r="C298" s="50" t="s">
        <v>826</v>
      </c>
      <c r="D298" s="427" t="s">
        <v>1037</v>
      </c>
      <c r="E298" s="426" t="s">
        <v>275</v>
      </c>
      <c r="F298" s="349" t="s">
        <v>550</v>
      </c>
      <c r="G298" s="86" t="s">
        <v>232</v>
      </c>
      <c r="H298" s="430" t="s">
        <v>1046</v>
      </c>
      <c r="I298" s="86" t="s">
        <v>92</v>
      </c>
      <c r="J298" s="343">
        <v>8.5100002288818395</v>
      </c>
      <c r="K298" s="351">
        <f t="shared" si="24"/>
        <v>200</v>
      </c>
      <c r="L298" s="352">
        <v>200</v>
      </c>
      <c r="M298" s="448" t="str">
        <f>IF(L298="nio","",VLOOKUP(L298,'3-Productie normen'!$B$31:$H$45,3,FALSE))</f>
        <v>5 x per week (40 weken)</v>
      </c>
      <c r="N298" s="353" t="e">
        <f t="shared" si="22"/>
        <v>#DIV/0!</v>
      </c>
      <c r="O298" s="354">
        <f>IF(L298="nio",0,IF(L298&gt;0,VLOOKUP(H298,'3-Productie normen'!A:P,VLOOKUP(L298,'3-Productie normen'!$B$31:$C$45,2,FALSE),FALSE)))/VLOOKUP(B298,'2-Kosten per locatie'!$A$13:$D$36,4,FALSE)</f>
        <v>0</v>
      </c>
      <c r="P298" s="82" t="str">
        <f>VLOOKUP(H298,'3-Productie normen'!A:T,20,FALSE)</f>
        <v>V</v>
      </c>
      <c r="Q298" s="447" t="s">
        <v>865</v>
      </c>
      <c r="S298" s="356">
        <f t="shared" si="23"/>
        <v>1702.0000457763679</v>
      </c>
    </row>
    <row r="299" spans="1:19" ht="14.1" customHeight="1">
      <c r="A299" s="72">
        <f t="shared" si="25"/>
        <v>299</v>
      </c>
      <c r="B299" s="50" t="s">
        <v>1112</v>
      </c>
      <c r="C299" s="50" t="s">
        <v>826</v>
      </c>
      <c r="D299" s="427" t="s">
        <v>1037</v>
      </c>
      <c r="E299" s="426" t="s">
        <v>275</v>
      </c>
      <c r="F299" s="349" t="s">
        <v>551</v>
      </c>
      <c r="G299" s="86" t="s">
        <v>201</v>
      </c>
      <c r="H299" s="432" t="s">
        <v>198</v>
      </c>
      <c r="I299" s="86" t="s">
        <v>780</v>
      </c>
      <c r="J299" s="343">
        <v>3.6900000572204599</v>
      </c>
      <c r="K299" s="351">
        <f t="shared" si="24"/>
        <v>200</v>
      </c>
      <c r="L299" s="352">
        <v>200</v>
      </c>
      <c r="M299" s="448" t="str">
        <f>IF(L299="nio","",VLOOKUP(L299,'3-Productie normen'!$B$31:$H$45,3,FALSE))</f>
        <v>5 x per week (40 weken)</v>
      </c>
      <c r="N299" s="353" t="e">
        <f t="shared" si="22"/>
        <v>#DIV/0!</v>
      </c>
      <c r="O299" s="354">
        <f>IF(L299="nio",0,IF(L299&gt;0,VLOOKUP(H299,'3-Productie normen'!A:P,VLOOKUP(L299,'3-Productie normen'!$B$31:$C$45,2,FALSE),FALSE)))/VLOOKUP(B299,'2-Kosten per locatie'!$A$13:$D$36,4,FALSE)</f>
        <v>0</v>
      </c>
      <c r="P299" s="82" t="str">
        <f>VLOOKUP(H299,'3-Productie normen'!A:T,20,FALSE)</f>
        <v>V</v>
      </c>
      <c r="Q299" s="447" t="s">
        <v>792</v>
      </c>
      <c r="S299" s="356">
        <f t="shared" si="23"/>
        <v>738.00001144409202</v>
      </c>
    </row>
    <row r="300" spans="1:19" ht="14.1" customHeight="1">
      <c r="A300" s="72">
        <f t="shared" si="25"/>
        <v>300</v>
      </c>
      <c r="B300" s="50" t="s">
        <v>1112</v>
      </c>
      <c r="C300" s="50" t="s">
        <v>826</v>
      </c>
      <c r="D300" s="427" t="s">
        <v>1037</v>
      </c>
      <c r="E300" s="426" t="s">
        <v>275</v>
      </c>
      <c r="F300" s="349" t="s">
        <v>552</v>
      </c>
      <c r="G300" s="86" t="s">
        <v>201</v>
      </c>
      <c r="H300" s="432" t="s">
        <v>198</v>
      </c>
      <c r="I300" s="86" t="s">
        <v>788</v>
      </c>
      <c r="J300" s="343">
        <v>7.3600001335143999</v>
      </c>
      <c r="K300" s="351">
        <f t="shared" si="24"/>
        <v>200</v>
      </c>
      <c r="L300" s="352">
        <v>200</v>
      </c>
      <c r="M300" s="448" t="str">
        <f>IF(L300="nio","",VLOOKUP(L300,'3-Productie normen'!$B$31:$H$45,3,FALSE))</f>
        <v>5 x per week (40 weken)</v>
      </c>
      <c r="N300" s="353" t="e">
        <f t="shared" si="22"/>
        <v>#DIV/0!</v>
      </c>
      <c r="O300" s="354">
        <f>IF(L300="nio",0,IF(L300&gt;0,VLOOKUP(H300,'3-Productie normen'!A:P,VLOOKUP(L300,'3-Productie normen'!$B$31:$C$45,2,FALSE),FALSE)))/VLOOKUP(B300,'2-Kosten per locatie'!$A$13:$D$36,4,FALSE)</f>
        <v>0</v>
      </c>
      <c r="P300" s="82" t="str">
        <f>VLOOKUP(H300,'3-Productie normen'!A:T,20,FALSE)</f>
        <v>V</v>
      </c>
      <c r="Q300" s="447" t="s">
        <v>939</v>
      </c>
      <c r="S300" s="356">
        <f t="shared" si="23"/>
        <v>1472.0000267028799</v>
      </c>
    </row>
    <row r="301" spans="1:19" ht="14.1" customHeight="1">
      <c r="A301" s="72">
        <f t="shared" si="25"/>
        <v>301</v>
      </c>
      <c r="B301" s="50" t="s">
        <v>1112</v>
      </c>
      <c r="C301" s="50" t="s">
        <v>826</v>
      </c>
      <c r="D301" s="427" t="s">
        <v>1037</v>
      </c>
      <c r="E301" s="426" t="s">
        <v>275</v>
      </c>
      <c r="F301" s="349" t="s">
        <v>553</v>
      </c>
      <c r="G301" s="86" t="s">
        <v>201</v>
      </c>
      <c r="H301" s="432" t="s">
        <v>198</v>
      </c>
      <c r="I301" s="86" t="s">
        <v>780</v>
      </c>
      <c r="J301" s="343">
        <v>13.300000190734901</v>
      </c>
      <c r="K301" s="351">
        <f t="shared" si="24"/>
        <v>200</v>
      </c>
      <c r="L301" s="352">
        <v>200</v>
      </c>
      <c r="M301" s="448" t="str">
        <f>IF(L301="nio","",VLOOKUP(L301,'3-Productie normen'!$B$31:$H$45,3,FALSE))</f>
        <v>5 x per week (40 weken)</v>
      </c>
      <c r="N301" s="353" t="e">
        <f t="shared" si="22"/>
        <v>#DIV/0!</v>
      </c>
      <c r="O301" s="354">
        <f>IF(L301="nio",0,IF(L301&gt;0,VLOOKUP(H301,'3-Productie normen'!A:P,VLOOKUP(L301,'3-Productie normen'!$B$31:$C$45,2,FALSE),FALSE)))/VLOOKUP(B301,'2-Kosten per locatie'!$A$13:$D$36,4,FALSE)</f>
        <v>0</v>
      </c>
      <c r="P301" s="82" t="str">
        <f>VLOOKUP(H301,'3-Productie normen'!A:T,20,FALSE)</f>
        <v>V</v>
      </c>
      <c r="Q301" s="447" t="s">
        <v>792</v>
      </c>
      <c r="S301" s="356">
        <f t="shared" si="23"/>
        <v>2660.0000381469799</v>
      </c>
    </row>
    <row r="302" spans="1:19" ht="14.1" customHeight="1">
      <c r="A302" s="72">
        <f t="shared" si="25"/>
        <v>302</v>
      </c>
      <c r="B302" s="50" t="s">
        <v>1112</v>
      </c>
      <c r="C302" s="50" t="s">
        <v>826</v>
      </c>
      <c r="D302" s="427" t="s">
        <v>1037</v>
      </c>
      <c r="E302" s="426" t="s">
        <v>275</v>
      </c>
      <c r="F302" s="349" t="s">
        <v>554</v>
      </c>
      <c r="G302" s="86" t="s">
        <v>206</v>
      </c>
      <c r="H302" s="65" t="s">
        <v>1053</v>
      </c>
      <c r="I302" s="86" t="s">
        <v>92</v>
      </c>
      <c r="J302" s="343">
        <v>0.37000000476837203</v>
      </c>
      <c r="K302" s="351" t="str">
        <f t="shared" si="24"/>
        <v>nio</v>
      </c>
      <c r="L302" s="352" t="s">
        <v>804</v>
      </c>
      <c r="M302" s="448" t="str">
        <f>IF(L302="nio","",VLOOKUP(L302,'3-Productie normen'!$B$31:$H$45,3,FALSE))</f>
        <v/>
      </c>
      <c r="N302" s="353">
        <f t="shared" si="22"/>
        <v>0</v>
      </c>
      <c r="O302" s="354">
        <f>IF(L302="nio",0,IF(L302&gt;0,VLOOKUP(H302,'3-Productie normen'!A:P,VLOOKUP(L302,'3-Productie normen'!$B$31:$C$45,2,FALSE),FALSE)))/VLOOKUP(B302,'2-Kosten per locatie'!$A$13:$D$36,4,FALSE)</f>
        <v>0</v>
      </c>
      <c r="P302" s="82">
        <f>VLOOKUP(H302,'3-Productie normen'!A:T,20,FALSE)</f>
        <v>0</v>
      </c>
      <c r="Q302" s="447" t="s">
        <v>852</v>
      </c>
      <c r="S302" s="356">
        <f t="shared" si="23"/>
        <v>0</v>
      </c>
    </row>
    <row r="303" spans="1:19" ht="14.1" customHeight="1">
      <c r="A303" s="72">
        <f t="shared" si="25"/>
        <v>303</v>
      </c>
      <c r="B303" s="50" t="s">
        <v>1112</v>
      </c>
      <c r="C303" s="50" t="s">
        <v>826</v>
      </c>
      <c r="D303" s="427" t="s">
        <v>1037</v>
      </c>
      <c r="E303" s="426" t="s">
        <v>275</v>
      </c>
      <c r="F303" s="349" t="s">
        <v>555</v>
      </c>
      <c r="G303" s="86" t="s">
        <v>222</v>
      </c>
      <c r="H303" s="86" t="s">
        <v>16</v>
      </c>
      <c r="I303" s="86" t="s">
        <v>91</v>
      </c>
      <c r="J303" s="343">
        <v>2.1</v>
      </c>
      <c r="K303" s="351">
        <f t="shared" si="24"/>
        <v>201</v>
      </c>
      <c r="L303" s="352">
        <v>201</v>
      </c>
      <c r="M303" s="448" t="str">
        <f>IF(L303="nio","",VLOOKUP(L303,'3-Productie normen'!$B$31:$H$45,3,FALSE))</f>
        <v>5 x per week (40 weken + 1 Zomer refreshbeurt)</v>
      </c>
      <c r="N303" s="353" t="e">
        <f t="shared" si="22"/>
        <v>#DIV/0!</v>
      </c>
      <c r="O303" s="354">
        <f>IF(L303="nio",0,IF(L303&gt;0,VLOOKUP(H303,'3-Productie normen'!A:P,VLOOKUP(L303,'3-Productie normen'!$B$31:$C$45,2,FALSE),FALSE)))/VLOOKUP(B303,'2-Kosten per locatie'!$A$13:$D$36,4,FALSE)</f>
        <v>0</v>
      </c>
      <c r="P303" s="82" t="str">
        <f>VLOOKUP(H303,'3-Productie normen'!A:T,20,FALSE)</f>
        <v>S</v>
      </c>
      <c r="Q303" s="447" t="s">
        <v>901</v>
      </c>
      <c r="S303" s="356">
        <f t="shared" si="23"/>
        <v>422.1</v>
      </c>
    </row>
    <row r="304" spans="1:19" ht="14.1" customHeight="1">
      <c r="A304" s="72">
        <f t="shared" si="25"/>
        <v>304</v>
      </c>
      <c r="B304" s="50" t="s">
        <v>1112</v>
      </c>
      <c r="C304" s="50" t="s">
        <v>826</v>
      </c>
      <c r="D304" s="427" t="s">
        <v>1037</v>
      </c>
      <c r="E304" s="426" t="s">
        <v>275</v>
      </c>
      <c r="F304" s="349" t="s">
        <v>556</v>
      </c>
      <c r="G304" s="86" t="s">
        <v>388</v>
      </c>
      <c r="H304" s="86" t="s">
        <v>203</v>
      </c>
      <c r="I304" s="86" t="s">
        <v>180</v>
      </c>
      <c r="J304" s="343">
        <v>9.2600002288818395</v>
      </c>
      <c r="K304" s="351">
        <f t="shared" si="24"/>
        <v>120</v>
      </c>
      <c r="L304" s="352">
        <v>120</v>
      </c>
      <c r="M304" s="448" t="str">
        <f>IF(L304="nio","",VLOOKUP(L304,'3-Productie normen'!$B$31:$H$45,3,FALSE))</f>
        <v>3 x per week (40 weken)</v>
      </c>
      <c r="N304" s="353" t="e">
        <f t="shared" si="22"/>
        <v>#DIV/0!</v>
      </c>
      <c r="O304" s="354">
        <f>IF(L304="nio",0,IF(L304&gt;0,VLOOKUP(H304,'3-Productie normen'!A:P,VLOOKUP(L304,'3-Productie normen'!$B$31:$C$45,2,FALSE),FALSE)))/VLOOKUP(B304,'2-Kosten per locatie'!$A$13:$D$36,4,FALSE)</f>
        <v>0</v>
      </c>
      <c r="P304" s="82" t="str">
        <f>VLOOKUP(H304,'3-Productie normen'!A:T,20,FALSE)</f>
        <v>B</v>
      </c>
      <c r="Q304" s="447" t="s">
        <v>792</v>
      </c>
      <c r="S304" s="356">
        <f t="shared" si="23"/>
        <v>1111.2000274658208</v>
      </c>
    </row>
    <row r="305" spans="1:19" ht="14.1" customHeight="1">
      <c r="A305" s="72">
        <f t="shared" si="25"/>
        <v>305</v>
      </c>
      <c r="B305" s="50" t="s">
        <v>1112</v>
      </c>
      <c r="C305" s="50" t="s">
        <v>826</v>
      </c>
      <c r="D305" s="427" t="s">
        <v>1037</v>
      </c>
      <c r="E305" s="426" t="s">
        <v>275</v>
      </c>
      <c r="F305" s="349" t="s">
        <v>557</v>
      </c>
      <c r="G305" s="86" t="s">
        <v>328</v>
      </c>
      <c r="H305" s="86" t="s">
        <v>241</v>
      </c>
      <c r="I305" s="86" t="s">
        <v>795</v>
      </c>
      <c r="J305" s="343">
        <v>39.15</v>
      </c>
      <c r="K305" s="351">
        <f t="shared" si="24"/>
        <v>201</v>
      </c>
      <c r="L305" s="352">
        <v>201</v>
      </c>
      <c r="M305" s="448" t="str">
        <f>IF(L305="nio","",VLOOKUP(L305,'3-Productie normen'!$B$31:$H$45,3,FALSE))</f>
        <v>5 x per week (40 weken + 1 Zomer refreshbeurt)</v>
      </c>
      <c r="N305" s="353" t="e">
        <f t="shared" si="22"/>
        <v>#DIV/0!</v>
      </c>
      <c r="O305" s="354">
        <f>IF(L305="nio",0,IF(L305&gt;0,VLOOKUP(H305,'3-Productie normen'!A:P,VLOOKUP(L305,'3-Productie normen'!$B$31:$C$45,2,FALSE),FALSE)))/VLOOKUP(B305,'2-Kosten per locatie'!$A$13:$D$36,4,FALSE)</f>
        <v>0</v>
      </c>
      <c r="P305" s="82" t="str">
        <f>VLOOKUP(H305,'3-Productie normen'!A:T,20,FALSE)</f>
        <v>L</v>
      </c>
      <c r="Q305" s="447" t="s">
        <v>792</v>
      </c>
      <c r="S305" s="356">
        <f t="shared" si="23"/>
        <v>7869.15</v>
      </c>
    </row>
    <row r="306" spans="1:19" ht="14.1" customHeight="1">
      <c r="A306" s="72">
        <f t="shared" si="25"/>
        <v>306</v>
      </c>
      <c r="B306" s="50" t="s">
        <v>1112</v>
      </c>
      <c r="C306" s="50" t="s">
        <v>826</v>
      </c>
      <c r="D306" s="427" t="s">
        <v>1037</v>
      </c>
      <c r="E306" s="426" t="s">
        <v>304</v>
      </c>
      <c r="F306" s="349" t="s">
        <v>558</v>
      </c>
      <c r="G306" s="86" t="s">
        <v>201</v>
      </c>
      <c r="H306" s="432" t="s">
        <v>198</v>
      </c>
      <c r="I306" s="86" t="s">
        <v>795</v>
      </c>
      <c r="J306" s="343">
        <v>2.8199999332428001</v>
      </c>
      <c r="K306" s="351">
        <f t="shared" si="24"/>
        <v>200</v>
      </c>
      <c r="L306" s="352">
        <v>200</v>
      </c>
      <c r="M306" s="448" t="str">
        <f>IF(L306="nio","",VLOOKUP(L306,'3-Productie normen'!$B$31:$H$45,3,FALSE))</f>
        <v>5 x per week (40 weken)</v>
      </c>
      <c r="N306" s="353" t="e">
        <f t="shared" si="22"/>
        <v>#DIV/0!</v>
      </c>
      <c r="O306" s="354">
        <f>IF(L306="nio",0,IF(L306&gt;0,VLOOKUP(H306,'3-Productie normen'!A:P,VLOOKUP(L306,'3-Productie normen'!$B$31:$C$45,2,FALSE),FALSE)))/VLOOKUP(B306,'2-Kosten per locatie'!$A$13:$D$36,4,FALSE)</f>
        <v>0</v>
      </c>
      <c r="P306" s="82" t="str">
        <f>VLOOKUP(H306,'3-Productie normen'!A:T,20,FALSE)</f>
        <v>V</v>
      </c>
      <c r="Q306" s="447" t="s">
        <v>792</v>
      </c>
      <c r="S306" s="356">
        <f t="shared" si="23"/>
        <v>563.99998664856003</v>
      </c>
    </row>
    <row r="307" spans="1:19" ht="14.1" customHeight="1">
      <c r="A307" s="72">
        <f t="shared" si="25"/>
        <v>307</v>
      </c>
      <c r="B307" s="50" t="s">
        <v>1112</v>
      </c>
      <c r="C307" s="50" t="s">
        <v>826</v>
      </c>
      <c r="D307" s="427" t="s">
        <v>1037</v>
      </c>
      <c r="E307" s="426" t="s">
        <v>304</v>
      </c>
      <c r="F307" s="349" t="s">
        <v>559</v>
      </c>
      <c r="G307" s="86" t="s">
        <v>206</v>
      </c>
      <c r="H307" s="65" t="s">
        <v>1053</v>
      </c>
      <c r="I307" s="86" t="s">
        <v>92</v>
      </c>
      <c r="J307" s="343">
        <v>0.44999998807907099</v>
      </c>
      <c r="K307" s="351" t="str">
        <f t="shared" si="24"/>
        <v>nio</v>
      </c>
      <c r="L307" s="352" t="s">
        <v>804</v>
      </c>
      <c r="M307" s="448" t="str">
        <f>IF(L307="nio","",VLOOKUP(L307,'3-Productie normen'!$B$31:$H$45,3,FALSE))</f>
        <v/>
      </c>
      <c r="N307" s="353">
        <f t="shared" si="22"/>
        <v>0</v>
      </c>
      <c r="O307" s="354">
        <f>IF(L307="nio",0,IF(L307&gt;0,VLOOKUP(H307,'3-Productie normen'!A:P,VLOOKUP(L307,'3-Productie normen'!$B$31:$C$45,2,FALSE),FALSE)))/VLOOKUP(B307,'2-Kosten per locatie'!$A$13:$D$36,4,FALSE)</f>
        <v>0</v>
      </c>
      <c r="P307" s="82">
        <f>VLOOKUP(H307,'3-Productie normen'!A:T,20,FALSE)</f>
        <v>0</v>
      </c>
      <c r="Q307" s="447" t="s">
        <v>852</v>
      </c>
      <c r="S307" s="356">
        <f t="shared" si="23"/>
        <v>0</v>
      </c>
    </row>
    <row r="308" spans="1:19" ht="14.1" customHeight="1">
      <c r="A308" s="72">
        <f t="shared" si="25"/>
        <v>308</v>
      </c>
      <c r="B308" s="50" t="s">
        <v>1112</v>
      </c>
      <c r="C308" s="50" t="s">
        <v>826</v>
      </c>
      <c r="D308" s="427" t="s">
        <v>1037</v>
      </c>
      <c r="E308" s="426" t="s">
        <v>304</v>
      </c>
      <c r="F308" s="349" t="s">
        <v>560</v>
      </c>
      <c r="G308" s="86" t="s">
        <v>222</v>
      </c>
      <c r="H308" s="86" t="s">
        <v>16</v>
      </c>
      <c r="I308" s="86" t="s">
        <v>91</v>
      </c>
      <c r="J308" s="343">
        <v>3.06</v>
      </c>
      <c r="K308" s="351">
        <f t="shared" si="24"/>
        <v>201</v>
      </c>
      <c r="L308" s="352">
        <v>201</v>
      </c>
      <c r="M308" s="448" t="str">
        <f>IF(L308="nio","",VLOOKUP(L308,'3-Productie normen'!$B$31:$H$45,3,FALSE))</f>
        <v>5 x per week (40 weken + 1 Zomer refreshbeurt)</v>
      </c>
      <c r="N308" s="353" t="e">
        <f t="shared" si="22"/>
        <v>#DIV/0!</v>
      </c>
      <c r="O308" s="354">
        <f>IF(L308="nio",0,IF(L308&gt;0,VLOOKUP(H308,'3-Productie normen'!A:P,VLOOKUP(L308,'3-Productie normen'!$B$31:$C$45,2,FALSE),FALSE)))/VLOOKUP(B308,'2-Kosten per locatie'!$A$13:$D$36,4,FALSE)</f>
        <v>0</v>
      </c>
      <c r="P308" s="82" t="str">
        <f>VLOOKUP(H308,'3-Productie normen'!A:T,20,FALSE)</f>
        <v>S</v>
      </c>
      <c r="Q308" s="447" t="s">
        <v>901</v>
      </c>
      <c r="S308" s="356">
        <f t="shared" si="23"/>
        <v>615.06000000000006</v>
      </c>
    </row>
    <row r="309" spans="1:19" ht="14.1" customHeight="1">
      <c r="A309" s="72">
        <f t="shared" si="25"/>
        <v>309</v>
      </c>
      <c r="B309" s="50" t="s">
        <v>1112</v>
      </c>
      <c r="C309" s="50" t="s">
        <v>826</v>
      </c>
      <c r="D309" s="427" t="s">
        <v>1037</v>
      </c>
      <c r="E309" s="426" t="s">
        <v>304</v>
      </c>
      <c r="F309" s="349" t="s">
        <v>561</v>
      </c>
      <c r="G309" s="86" t="s">
        <v>242</v>
      </c>
      <c r="H309" s="86" t="s">
        <v>241</v>
      </c>
      <c r="I309" s="86" t="s">
        <v>795</v>
      </c>
      <c r="J309" s="343">
        <v>58.139999389648402</v>
      </c>
      <c r="K309" s="351">
        <f t="shared" si="24"/>
        <v>201</v>
      </c>
      <c r="L309" s="352">
        <v>201</v>
      </c>
      <c r="M309" s="448" t="str">
        <f>IF(L309="nio","",VLOOKUP(L309,'3-Productie normen'!$B$31:$H$45,3,FALSE))</f>
        <v>5 x per week (40 weken + 1 Zomer refreshbeurt)</v>
      </c>
      <c r="N309" s="353" t="e">
        <f t="shared" si="22"/>
        <v>#DIV/0!</v>
      </c>
      <c r="O309" s="354">
        <f>IF(L309="nio",0,IF(L309&gt;0,VLOOKUP(H309,'3-Productie normen'!A:P,VLOOKUP(L309,'3-Productie normen'!$B$31:$C$45,2,FALSE),FALSE)))/VLOOKUP(B309,'2-Kosten per locatie'!$A$13:$D$36,4,FALSE)</f>
        <v>0</v>
      </c>
      <c r="P309" s="82" t="str">
        <f>VLOOKUP(H309,'3-Productie normen'!A:T,20,FALSE)</f>
        <v>L</v>
      </c>
      <c r="Q309" s="447" t="s">
        <v>930</v>
      </c>
      <c r="S309" s="356">
        <f t="shared" si="23"/>
        <v>11686.139877319329</v>
      </c>
    </row>
    <row r="310" spans="1:19" ht="14.1" customHeight="1">
      <c r="A310" s="72">
        <f t="shared" si="25"/>
        <v>310</v>
      </c>
      <c r="B310" s="50" t="s">
        <v>1112</v>
      </c>
      <c r="C310" s="50" t="s">
        <v>826</v>
      </c>
      <c r="D310" s="427" t="s">
        <v>1037</v>
      </c>
      <c r="E310" s="426" t="s">
        <v>304</v>
      </c>
      <c r="F310" s="349" t="s">
        <v>562</v>
      </c>
      <c r="G310" s="86" t="s">
        <v>201</v>
      </c>
      <c r="H310" s="432" t="s">
        <v>198</v>
      </c>
      <c r="I310" s="86" t="s">
        <v>795</v>
      </c>
      <c r="J310" s="343">
        <v>2.8199999332428001</v>
      </c>
      <c r="K310" s="351">
        <f t="shared" si="24"/>
        <v>200</v>
      </c>
      <c r="L310" s="352">
        <v>200</v>
      </c>
      <c r="M310" s="448" t="str">
        <f>IF(L310="nio","",VLOOKUP(L310,'3-Productie normen'!$B$31:$H$45,3,FALSE))</f>
        <v>5 x per week (40 weken)</v>
      </c>
      <c r="N310" s="353" t="e">
        <f t="shared" si="22"/>
        <v>#DIV/0!</v>
      </c>
      <c r="O310" s="354">
        <f>IF(L310="nio",0,IF(L310&gt;0,VLOOKUP(H310,'3-Productie normen'!A:P,VLOOKUP(L310,'3-Productie normen'!$B$31:$C$45,2,FALSE),FALSE)))/VLOOKUP(B310,'2-Kosten per locatie'!$A$13:$D$36,4,FALSE)</f>
        <v>0</v>
      </c>
      <c r="P310" s="82" t="str">
        <f>VLOOKUP(H310,'3-Productie normen'!A:T,20,FALSE)</f>
        <v>V</v>
      </c>
      <c r="Q310" s="447" t="s">
        <v>792</v>
      </c>
      <c r="S310" s="356">
        <f t="shared" si="23"/>
        <v>563.99998664856003</v>
      </c>
    </row>
    <row r="311" spans="1:19" ht="14.1" customHeight="1">
      <c r="A311" s="72">
        <f t="shared" si="25"/>
        <v>311</v>
      </c>
      <c r="B311" s="50" t="s">
        <v>1112</v>
      </c>
      <c r="C311" s="50" t="s">
        <v>826</v>
      </c>
      <c r="D311" s="427" t="s">
        <v>1037</v>
      </c>
      <c r="E311" s="426" t="s">
        <v>304</v>
      </c>
      <c r="F311" s="349" t="s">
        <v>563</v>
      </c>
      <c r="G311" s="86" t="s">
        <v>206</v>
      </c>
      <c r="H311" s="65" t="s">
        <v>1053</v>
      </c>
      <c r="I311" s="86" t="s">
        <v>92</v>
      </c>
      <c r="J311" s="343">
        <v>0.44999998807907099</v>
      </c>
      <c r="K311" s="351" t="str">
        <f t="shared" si="24"/>
        <v>nio</v>
      </c>
      <c r="L311" s="352" t="s">
        <v>804</v>
      </c>
      <c r="M311" s="448" t="str">
        <f>IF(L311="nio","",VLOOKUP(L311,'3-Productie normen'!$B$31:$H$45,3,FALSE))</f>
        <v/>
      </c>
      <c r="N311" s="353">
        <f t="shared" si="22"/>
        <v>0</v>
      </c>
      <c r="O311" s="354">
        <f>IF(L311="nio",0,IF(L311&gt;0,VLOOKUP(H311,'3-Productie normen'!A:P,VLOOKUP(L311,'3-Productie normen'!$B$31:$C$45,2,FALSE),FALSE)))/VLOOKUP(B311,'2-Kosten per locatie'!$A$13:$D$36,4,FALSE)</f>
        <v>0</v>
      </c>
      <c r="P311" s="82">
        <f>VLOOKUP(H311,'3-Productie normen'!A:T,20,FALSE)</f>
        <v>0</v>
      </c>
      <c r="Q311" s="447" t="s">
        <v>852</v>
      </c>
      <c r="S311" s="356">
        <f t="shared" si="23"/>
        <v>0</v>
      </c>
    </row>
    <row r="312" spans="1:19" ht="14.1" customHeight="1">
      <c r="A312" s="72">
        <f t="shared" si="25"/>
        <v>312</v>
      </c>
      <c r="B312" s="50" t="s">
        <v>1112</v>
      </c>
      <c r="C312" s="50" t="s">
        <v>826</v>
      </c>
      <c r="D312" s="427" t="s">
        <v>1037</v>
      </c>
      <c r="E312" s="426" t="s">
        <v>304</v>
      </c>
      <c r="F312" s="349" t="s">
        <v>564</v>
      </c>
      <c r="G312" s="86" t="s">
        <v>222</v>
      </c>
      <c r="H312" s="86" t="s">
        <v>16</v>
      </c>
      <c r="I312" s="86" t="s">
        <v>91</v>
      </c>
      <c r="J312" s="343">
        <v>3.06</v>
      </c>
      <c r="K312" s="351">
        <f t="shared" si="24"/>
        <v>201</v>
      </c>
      <c r="L312" s="352">
        <v>201</v>
      </c>
      <c r="M312" s="448" t="str">
        <f>IF(L312="nio","",VLOOKUP(L312,'3-Productie normen'!$B$31:$H$45,3,FALSE))</f>
        <v>5 x per week (40 weken + 1 Zomer refreshbeurt)</v>
      </c>
      <c r="N312" s="353" t="e">
        <f t="shared" si="22"/>
        <v>#DIV/0!</v>
      </c>
      <c r="O312" s="354">
        <f>IF(L312="nio",0,IF(L312&gt;0,VLOOKUP(H312,'3-Productie normen'!A:P,VLOOKUP(L312,'3-Productie normen'!$B$31:$C$45,2,FALSE),FALSE)))/VLOOKUP(B312,'2-Kosten per locatie'!$A$13:$D$36,4,FALSE)</f>
        <v>0</v>
      </c>
      <c r="P312" s="82" t="str">
        <f>VLOOKUP(H312,'3-Productie normen'!A:T,20,FALSE)</f>
        <v>S</v>
      </c>
      <c r="Q312" s="447" t="s">
        <v>901</v>
      </c>
      <c r="S312" s="356">
        <f t="shared" si="23"/>
        <v>615.06000000000006</v>
      </c>
    </row>
    <row r="313" spans="1:19" ht="14.1" customHeight="1">
      <c r="A313" s="72">
        <f t="shared" si="25"/>
        <v>313</v>
      </c>
      <c r="B313" s="50" t="s">
        <v>1112</v>
      </c>
      <c r="C313" s="50" t="s">
        <v>826</v>
      </c>
      <c r="D313" s="427" t="s">
        <v>1037</v>
      </c>
      <c r="E313" s="426" t="s">
        <v>304</v>
      </c>
      <c r="F313" s="349" t="s">
        <v>565</v>
      </c>
      <c r="G313" s="86" t="s">
        <v>298</v>
      </c>
      <c r="H313" s="65" t="s">
        <v>1053</v>
      </c>
      <c r="I313" s="86" t="s">
        <v>795</v>
      </c>
      <c r="J313" s="343">
        <v>46.860000610351598</v>
      </c>
      <c r="K313" s="351" t="str">
        <f t="shared" si="24"/>
        <v>nio</v>
      </c>
      <c r="L313" s="352" t="s">
        <v>804</v>
      </c>
      <c r="M313" s="448" t="str">
        <f>IF(L313="nio","",VLOOKUP(L313,'3-Productie normen'!$B$31:$H$45,3,FALSE))</f>
        <v/>
      </c>
      <c r="N313" s="353">
        <f t="shared" si="22"/>
        <v>0</v>
      </c>
      <c r="O313" s="354">
        <f>IF(L313="nio",0,IF(L313&gt;0,VLOOKUP(H313,'3-Productie normen'!A:P,VLOOKUP(L313,'3-Productie normen'!$B$31:$C$45,2,FALSE),FALSE)))/VLOOKUP(B313,'2-Kosten per locatie'!$A$13:$D$36,4,FALSE)</f>
        <v>0</v>
      </c>
      <c r="P313" s="82">
        <f>VLOOKUP(H313,'3-Productie normen'!A:T,20,FALSE)</f>
        <v>0</v>
      </c>
      <c r="Q313" s="447" t="s">
        <v>900</v>
      </c>
      <c r="S313" s="356">
        <f t="shared" si="23"/>
        <v>0</v>
      </c>
    </row>
    <row r="314" spans="1:19" ht="14.1" customHeight="1">
      <c r="A314" s="72">
        <f t="shared" si="25"/>
        <v>314</v>
      </c>
      <c r="B314" s="50" t="s">
        <v>1112</v>
      </c>
      <c r="C314" s="50" t="s">
        <v>826</v>
      </c>
      <c r="D314" s="427" t="s">
        <v>1037</v>
      </c>
      <c r="E314" s="426" t="s">
        <v>304</v>
      </c>
      <c r="F314" s="349" t="s">
        <v>566</v>
      </c>
      <c r="G314" s="86" t="s">
        <v>201</v>
      </c>
      <c r="H314" s="432" t="s">
        <v>198</v>
      </c>
      <c r="I314" s="86" t="s">
        <v>795</v>
      </c>
      <c r="J314" s="343">
        <v>2.8199999332428001</v>
      </c>
      <c r="K314" s="351">
        <f t="shared" si="24"/>
        <v>200</v>
      </c>
      <c r="L314" s="352">
        <v>200</v>
      </c>
      <c r="M314" s="448" t="str">
        <f>IF(L314="nio","",VLOOKUP(L314,'3-Productie normen'!$B$31:$H$45,3,FALSE))</f>
        <v>5 x per week (40 weken)</v>
      </c>
      <c r="N314" s="353" t="e">
        <f t="shared" si="22"/>
        <v>#DIV/0!</v>
      </c>
      <c r="O314" s="354">
        <f>IF(L314="nio",0,IF(L314&gt;0,VLOOKUP(H314,'3-Productie normen'!A:P,VLOOKUP(L314,'3-Productie normen'!$B$31:$C$45,2,FALSE),FALSE)))/VLOOKUP(B314,'2-Kosten per locatie'!$A$13:$D$36,4,FALSE)</f>
        <v>0</v>
      </c>
      <c r="P314" s="82" t="str">
        <f>VLOOKUP(H314,'3-Productie normen'!A:T,20,FALSE)</f>
        <v>V</v>
      </c>
      <c r="Q314" s="447" t="s">
        <v>792</v>
      </c>
      <c r="S314" s="356">
        <f t="shared" si="23"/>
        <v>563.99998664856003</v>
      </c>
    </row>
    <row r="315" spans="1:19" ht="14.1" customHeight="1">
      <c r="A315" s="72">
        <f t="shared" si="25"/>
        <v>315</v>
      </c>
      <c r="B315" s="50" t="s">
        <v>1112</v>
      </c>
      <c r="C315" s="50" t="s">
        <v>826</v>
      </c>
      <c r="D315" s="427" t="s">
        <v>1037</v>
      </c>
      <c r="E315" s="426" t="s">
        <v>304</v>
      </c>
      <c r="F315" s="349" t="s">
        <v>567</v>
      </c>
      <c r="G315" s="86" t="s">
        <v>206</v>
      </c>
      <c r="H315" s="65" t="s">
        <v>1053</v>
      </c>
      <c r="I315" s="86" t="s">
        <v>92</v>
      </c>
      <c r="J315" s="343">
        <v>0.44999998807907099</v>
      </c>
      <c r="K315" s="351" t="str">
        <f t="shared" si="24"/>
        <v>nio</v>
      </c>
      <c r="L315" s="352" t="s">
        <v>804</v>
      </c>
      <c r="M315" s="448" t="str">
        <f>IF(L315="nio","",VLOOKUP(L315,'3-Productie normen'!$B$31:$H$45,3,FALSE))</f>
        <v/>
      </c>
      <c r="N315" s="353">
        <f t="shared" si="22"/>
        <v>0</v>
      </c>
      <c r="O315" s="354">
        <f>IF(L315="nio",0,IF(L315&gt;0,VLOOKUP(H315,'3-Productie normen'!A:P,VLOOKUP(L315,'3-Productie normen'!$B$31:$C$45,2,FALSE),FALSE)))/VLOOKUP(B315,'2-Kosten per locatie'!$A$13:$D$36,4,FALSE)</f>
        <v>0</v>
      </c>
      <c r="P315" s="82">
        <f>VLOOKUP(H315,'3-Productie normen'!A:T,20,FALSE)</f>
        <v>0</v>
      </c>
      <c r="Q315" s="447" t="s">
        <v>852</v>
      </c>
      <c r="S315" s="356">
        <f t="shared" si="23"/>
        <v>0</v>
      </c>
    </row>
    <row r="316" spans="1:19" ht="14.1" customHeight="1">
      <c r="A316" s="72">
        <f t="shared" si="25"/>
        <v>316</v>
      </c>
      <c r="B316" s="50" t="s">
        <v>1112</v>
      </c>
      <c r="C316" s="50" t="s">
        <v>826</v>
      </c>
      <c r="D316" s="427" t="s">
        <v>1037</v>
      </c>
      <c r="E316" s="426" t="s">
        <v>304</v>
      </c>
      <c r="F316" s="349" t="s">
        <v>568</v>
      </c>
      <c r="G316" s="86" t="s">
        <v>222</v>
      </c>
      <c r="H316" s="86" t="s">
        <v>16</v>
      </c>
      <c r="I316" s="86" t="s">
        <v>91</v>
      </c>
      <c r="J316" s="343">
        <v>3.06</v>
      </c>
      <c r="K316" s="351">
        <f t="shared" si="24"/>
        <v>201</v>
      </c>
      <c r="L316" s="352">
        <v>201</v>
      </c>
      <c r="M316" s="448" t="str">
        <f>IF(L316="nio","",VLOOKUP(L316,'3-Productie normen'!$B$31:$H$45,3,FALSE))</f>
        <v>5 x per week (40 weken + 1 Zomer refreshbeurt)</v>
      </c>
      <c r="N316" s="353" t="e">
        <f t="shared" si="22"/>
        <v>#DIV/0!</v>
      </c>
      <c r="O316" s="354">
        <f>IF(L316="nio",0,IF(L316&gt;0,VLOOKUP(H316,'3-Productie normen'!A:P,VLOOKUP(L316,'3-Productie normen'!$B$31:$C$45,2,FALSE),FALSE)))/VLOOKUP(B316,'2-Kosten per locatie'!$A$13:$D$36,4,FALSE)</f>
        <v>0</v>
      </c>
      <c r="P316" s="82" t="str">
        <f>VLOOKUP(H316,'3-Productie normen'!A:T,20,FALSE)</f>
        <v>S</v>
      </c>
      <c r="Q316" s="447" t="s">
        <v>901</v>
      </c>
      <c r="S316" s="356">
        <f t="shared" si="23"/>
        <v>615.06000000000006</v>
      </c>
    </row>
    <row r="317" spans="1:19" ht="14.1" customHeight="1">
      <c r="A317" s="72">
        <f t="shared" si="25"/>
        <v>317</v>
      </c>
      <c r="B317" s="50" t="s">
        <v>1112</v>
      </c>
      <c r="C317" s="50" t="s">
        <v>826</v>
      </c>
      <c r="D317" s="427" t="s">
        <v>1037</v>
      </c>
      <c r="E317" s="426" t="s">
        <v>304</v>
      </c>
      <c r="F317" s="349" t="s">
        <v>569</v>
      </c>
      <c r="G317" s="86" t="s">
        <v>298</v>
      </c>
      <c r="H317" s="86" t="s">
        <v>241</v>
      </c>
      <c r="I317" s="86" t="s">
        <v>795</v>
      </c>
      <c r="J317" s="343">
        <v>46.860000610351598</v>
      </c>
      <c r="K317" s="351">
        <f t="shared" si="24"/>
        <v>201</v>
      </c>
      <c r="L317" s="352">
        <v>201</v>
      </c>
      <c r="M317" s="448" t="str">
        <f>IF(L317="nio","",VLOOKUP(L317,'3-Productie normen'!$B$31:$H$45,3,FALSE))</f>
        <v>5 x per week (40 weken + 1 Zomer refreshbeurt)</v>
      </c>
      <c r="N317" s="353" t="e">
        <f t="shared" si="22"/>
        <v>#DIV/0!</v>
      </c>
      <c r="O317" s="354">
        <f>IF(L317="nio",0,IF(L317&gt;0,VLOOKUP(H317,'3-Productie normen'!A:P,VLOOKUP(L317,'3-Productie normen'!$B$31:$C$45,2,FALSE),FALSE)))/VLOOKUP(B317,'2-Kosten per locatie'!$A$13:$D$36,4,FALSE)</f>
        <v>0</v>
      </c>
      <c r="P317" s="82" t="str">
        <f>VLOOKUP(H317,'3-Productie normen'!A:T,20,FALSE)</f>
        <v>L</v>
      </c>
      <c r="Q317" s="447" t="s">
        <v>940</v>
      </c>
      <c r="S317" s="356">
        <f t="shared" si="23"/>
        <v>9418.8601226806713</v>
      </c>
    </row>
    <row r="318" spans="1:19" ht="14.1" customHeight="1">
      <c r="A318" s="72">
        <f t="shared" si="25"/>
        <v>318</v>
      </c>
      <c r="B318" s="50" t="s">
        <v>1112</v>
      </c>
      <c r="C318" s="50" t="s">
        <v>826</v>
      </c>
      <c r="D318" s="427" t="s">
        <v>1037</v>
      </c>
      <c r="E318" s="426" t="s">
        <v>304</v>
      </c>
      <c r="F318" s="349" t="s">
        <v>570</v>
      </c>
      <c r="G318" s="86" t="s">
        <v>201</v>
      </c>
      <c r="H318" s="432" t="s">
        <v>198</v>
      </c>
      <c r="I318" s="86" t="s">
        <v>795</v>
      </c>
      <c r="J318" s="343">
        <v>2.8199999332428001</v>
      </c>
      <c r="K318" s="351">
        <f t="shared" si="24"/>
        <v>200</v>
      </c>
      <c r="L318" s="352">
        <v>200</v>
      </c>
      <c r="M318" s="448" t="str">
        <f>IF(L318="nio","",VLOOKUP(L318,'3-Productie normen'!$B$31:$H$45,3,FALSE))</f>
        <v>5 x per week (40 weken)</v>
      </c>
      <c r="N318" s="353" t="e">
        <f t="shared" si="22"/>
        <v>#DIV/0!</v>
      </c>
      <c r="O318" s="354">
        <f>IF(L318="nio",0,IF(L318&gt;0,VLOOKUP(H318,'3-Productie normen'!A:P,VLOOKUP(L318,'3-Productie normen'!$B$31:$C$45,2,FALSE),FALSE)))/VLOOKUP(B318,'2-Kosten per locatie'!$A$13:$D$36,4,FALSE)</f>
        <v>0</v>
      </c>
      <c r="P318" s="82" t="str">
        <f>VLOOKUP(H318,'3-Productie normen'!A:T,20,FALSE)</f>
        <v>V</v>
      </c>
      <c r="Q318" s="447" t="s">
        <v>792</v>
      </c>
      <c r="S318" s="356">
        <f t="shared" si="23"/>
        <v>563.99998664856003</v>
      </c>
    </row>
    <row r="319" spans="1:19" ht="14.1" customHeight="1">
      <c r="A319" s="72">
        <f t="shared" si="25"/>
        <v>319</v>
      </c>
      <c r="B319" s="50" t="s">
        <v>1112</v>
      </c>
      <c r="C319" s="50" t="s">
        <v>826</v>
      </c>
      <c r="D319" s="427" t="s">
        <v>1037</v>
      </c>
      <c r="E319" s="426" t="s">
        <v>304</v>
      </c>
      <c r="F319" s="349" t="s">
        <v>571</v>
      </c>
      <c r="G319" s="86" t="s">
        <v>206</v>
      </c>
      <c r="H319" s="65" t="s">
        <v>1053</v>
      </c>
      <c r="I319" s="86" t="s">
        <v>92</v>
      </c>
      <c r="J319" s="343">
        <v>0.44999998807907099</v>
      </c>
      <c r="K319" s="351" t="str">
        <f t="shared" si="24"/>
        <v>nio</v>
      </c>
      <c r="L319" s="352" t="s">
        <v>804</v>
      </c>
      <c r="M319" s="448" t="str">
        <f>IF(L319="nio","",VLOOKUP(L319,'3-Productie normen'!$B$31:$H$45,3,FALSE))</f>
        <v/>
      </c>
      <c r="N319" s="353">
        <f t="shared" si="22"/>
        <v>0</v>
      </c>
      <c r="O319" s="354">
        <f>IF(L319="nio",0,IF(L319&gt;0,VLOOKUP(H319,'3-Productie normen'!A:P,VLOOKUP(L319,'3-Productie normen'!$B$31:$C$45,2,FALSE),FALSE)))/VLOOKUP(B319,'2-Kosten per locatie'!$A$13:$D$36,4,FALSE)</f>
        <v>0</v>
      </c>
      <c r="P319" s="82">
        <f>VLOOKUP(H319,'3-Productie normen'!A:T,20,FALSE)</f>
        <v>0</v>
      </c>
      <c r="Q319" s="447" t="s">
        <v>852</v>
      </c>
      <c r="S319" s="356">
        <f t="shared" si="23"/>
        <v>0</v>
      </c>
    </row>
    <row r="320" spans="1:19" ht="14.1" customHeight="1">
      <c r="A320" s="72">
        <f t="shared" si="25"/>
        <v>320</v>
      </c>
      <c r="B320" s="50" t="s">
        <v>1112</v>
      </c>
      <c r="C320" s="50" t="s">
        <v>826</v>
      </c>
      <c r="D320" s="427" t="s">
        <v>1037</v>
      </c>
      <c r="E320" s="426" t="s">
        <v>304</v>
      </c>
      <c r="F320" s="349" t="s">
        <v>572</v>
      </c>
      <c r="G320" s="86" t="s">
        <v>222</v>
      </c>
      <c r="H320" s="86" t="s">
        <v>16</v>
      </c>
      <c r="I320" s="86" t="s">
        <v>91</v>
      </c>
      <c r="J320" s="343">
        <v>3.06</v>
      </c>
      <c r="K320" s="351">
        <f t="shared" si="24"/>
        <v>201</v>
      </c>
      <c r="L320" s="352">
        <v>201</v>
      </c>
      <c r="M320" s="448" t="str">
        <f>IF(L320="nio","",VLOOKUP(L320,'3-Productie normen'!$B$31:$H$45,3,FALSE))</f>
        <v>5 x per week (40 weken + 1 Zomer refreshbeurt)</v>
      </c>
      <c r="N320" s="353" t="e">
        <f t="shared" si="22"/>
        <v>#DIV/0!</v>
      </c>
      <c r="O320" s="354">
        <f>IF(L320="nio",0,IF(L320&gt;0,VLOOKUP(H320,'3-Productie normen'!A:P,VLOOKUP(L320,'3-Productie normen'!$B$31:$C$45,2,FALSE),FALSE)))/VLOOKUP(B320,'2-Kosten per locatie'!$A$13:$D$36,4,FALSE)</f>
        <v>0</v>
      </c>
      <c r="P320" s="82" t="str">
        <f>VLOOKUP(H320,'3-Productie normen'!A:T,20,FALSE)</f>
        <v>S</v>
      </c>
      <c r="Q320" s="447" t="s">
        <v>901</v>
      </c>
      <c r="S320" s="356">
        <f t="shared" si="23"/>
        <v>615.06000000000006</v>
      </c>
    </row>
    <row r="321" spans="1:19" ht="14.1" customHeight="1">
      <c r="A321" s="72">
        <f t="shared" si="25"/>
        <v>321</v>
      </c>
      <c r="B321" s="50" t="s">
        <v>1112</v>
      </c>
      <c r="C321" s="50" t="s">
        <v>826</v>
      </c>
      <c r="D321" s="427" t="s">
        <v>1037</v>
      </c>
      <c r="E321" s="426" t="s">
        <v>304</v>
      </c>
      <c r="F321" s="349" t="s">
        <v>573</v>
      </c>
      <c r="G321" s="86" t="s">
        <v>298</v>
      </c>
      <c r="H321" s="86" t="s">
        <v>241</v>
      </c>
      <c r="I321" s="86" t="s">
        <v>795</v>
      </c>
      <c r="J321" s="343">
        <v>46.860000610351598</v>
      </c>
      <c r="K321" s="351">
        <f t="shared" si="24"/>
        <v>201</v>
      </c>
      <c r="L321" s="352">
        <v>201</v>
      </c>
      <c r="M321" s="448" t="str">
        <f>IF(L321="nio","",VLOOKUP(L321,'3-Productie normen'!$B$31:$H$45,3,FALSE))</f>
        <v>5 x per week (40 weken + 1 Zomer refreshbeurt)</v>
      </c>
      <c r="N321" s="353" t="e">
        <f t="shared" si="22"/>
        <v>#DIV/0!</v>
      </c>
      <c r="O321" s="354">
        <f>IF(L321="nio",0,IF(L321&gt;0,VLOOKUP(H321,'3-Productie normen'!A:P,VLOOKUP(L321,'3-Productie normen'!$B$31:$C$45,2,FALSE),FALSE)))/VLOOKUP(B321,'2-Kosten per locatie'!$A$13:$D$36,4,FALSE)</f>
        <v>0</v>
      </c>
      <c r="P321" s="82" t="str">
        <f>VLOOKUP(H321,'3-Productie normen'!A:T,20,FALSE)</f>
        <v>L</v>
      </c>
      <c r="Q321" s="447" t="s">
        <v>941</v>
      </c>
      <c r="S321" s="356">
        <f t="shared" si="23"/>
        <v>9418.8601226806713</v>
      </c>
    </row>
    <row r="322" spans="1:19" ht="14.1" customHeight="1">
      <c r="A322" s="72">
        <f t="shared" si="25"/>
        <v>322</v>
      </c>
      <c r="B322" s="50" t="s">
        <v>1111</v>
      </c>
      <c r="C322" s="50" t="s">
        <v>826</v>
      </c>
      <c r="D322" s="427" t="s">
        <v>1036</v>
      </c>
      <c r="E322" s="426" t="s">
        <v>304</v>
      </c>
      <c r="F322" s="349" t="s">
        <v>574</v>
      </c>
      <c r="G322" s="86" t="s">
        <v>201</v>
      </c>
      <c r="H322" s="65" t="s">
        <v>1053</v>
      </c>
      <c r="I322" s="86" t="s">
        <v>795</v>
      </c>
      <c r="J322" s="343">
        <v>3.03999996185303</v>
      </c>
      <c r="K322" s="351" t="str">
        <f t="shared" si="24"/>
        <v>nio</v>
      </c>
      <c r="L322" s="352" t="s">
        <v>804</v>
      </c>
      <c r="M322" s="448" t="str">
        <f>IF(L322="nio","",VLOOKUP(L322,'3-Productie normen'!$B$31:$H$45,3,FALSE))</f>
        <v/>
      </c>
      <c r="N322" s="353">
        <f t="shared" si="22"/>
        <v>0</v>
      </c>
      <c r="O322" s="354">
        <f>IF(L322="nio",0,IF(L322&gt;0,VLOOKUP(H322,'3-Productie normen'!A:P,VLOOKUP(L322,'3-Productie normen'!$B$31:$C$45,2,FALSE),FALSE)))/VLOOKUP(B322,'2-Kosten per locatie'!$A$13:$D$36,4,FALSE)</f>
        <v>0</v>
      </c>
      <c r="P322" s="82">
        <f>VLOOKUP(H322,'3-Productie normen'!A:T,20,FALSE)</f>
        <v>0</v>
      </c>
      <c r="Q322" s="447" t="s">
        <v>792</v>
      </c>
      <c r="S322" s="356">
        <f t="shared" si="23"/>
        <v>0</v>
      </c>
    </row>
    <row r="323" spans="1:19" ht="14.1" customHeight="1">
      <c r="A323" s="72">
        <f t="shared" si="25"/>
        <v>323</v>
      </c>
      <c r="B323" s="50" t="s">
        <v>1111</v>
      </c>
      <c r="C323" s="50" t="s">
        <v>826</v>
      </c>
      <c r="D323" s="427" t="s">
        <v>1036</v>
      </c>
      <c r="E323" s="426" t="s">
        <v>304</v>
      </c>
      <c r="F323" s="349" t="s">
        <v>575</v>
      </c>
      <c r="G323" s="86" t="s">
        <v>206</v>
      </c>
      <c r="H323" s="65" t="s">
        <v>1053</v>
      </c>
      <c r="I323" s="86" t="s">
        <v>92</v>
      </c>
      <c r="J323" s="343">
        <v>0.44999998807907099</v>
      </c>
      <c r="K323" s="351" t="str">
        <f t="shared" si="24"/>
        <v>nio</v>
      </c>
      <c r="L323" s="352" t="s">
        <v>804</v>
      </c>
      <c r="M323" s="448" t="str">
        <f>IF(L323="nio","",VLOOKUP(L323,'3-Productie normen'!$B$31:$H$45,3,FALSE))</f>
        <v/>
      </c>
      <c r="N323" s="353">
        <f t="shared" si="22"/>
        <v>0</v>
      </c>
      <c r="O323" s="354">
        <f>IF(L323="nio",0,IF(L323&gt;0,VLOOKUP(H323,'3-Productie normen'!A:P,VLOOKUP(L323,'3-Productie normen'!$B$31:$C$45,2,FALSE),FALSE)))/VLOOKUP(B323,'2-Kosten per locatie'!$A$13:$D$36,4,FALSE)</f>
        <v>0</v>
      </c>
      <c r="P323" s="82">
        <f>VLOOKUP(H323,'3-Productie normen'!A:T,20,FALSE)</f>
        <v>0</v>
      </c>
      <c r="Q323" s="447" t="s">
        <v>852</v>
      </c>
      <c r="S323" s="356">
        <f t="shared" si="23"/>
        <v>0</v>
      </c>
    </row>
    <row r="324" spans="1:19" ht="14.1" customHeight="1">
      <c r="A324" s="72">
        <f t="shared" si="25"/>
        <v>324</v>
      </c>
      <c r="B324" s="50" t="s">
        <v>1111</v>
      </c>
      <c r="C324" s="50" t="s">
        <v>826</v>
      </c>
      <c r="D324" s="427" t="s">
        <v>1036</v>
      </c>
      <c r="E324" s="426" t="s">
        <v>304</v>
      </c>
      <c r="F324" s="349" t="s">
        <v>576</v>
      </c>
      <c r="G324" s="86" t="s">
        <v>222</v>
      </c>
      <c r="H324" s="65" t="s">
        <v>1053</v>
      </c>
      <c r="I324" s="86" t="s">
        <v>91</v>
      </c>
      <c r="J324" s="343">
        <v>4.2300000000000004</v>
      </c>
      <c r="K324" s="351" t="str">
        <f t="shared" si="24"/>
        <v>nio</v>
      </c>
      <c r="L324" s="352" t="s">
        <v>804</v>
      </c>
      <c r="M324" s="448" t="str">
        <f>IF(L324="nio","",VLOOKUP(L324,'3-Productie normen'!$B$31:$H$45,3,FALSE))</f>
        <v/>
      </c>
      <c r="N324" s="353">
        <f t="shared" ref="N324:N332" si="26">IF(L324="nio",0,IF(L324&gt;0,L324*J324/O324,0))</f>
        <v>0</v>
      </c>
      <c r="O324" s="354">
        <f>IF(L324="nio",0,IF(L324&gt;0,VLOOKUP(H324,'3-Productie normen'!A:P,VLOOKUP(L324,'3-Productie normen'!$B$31:$C$45,2,FALSE),FALSE)))/VLOOKUP(B324,'2-Kosten per locatie'!$A$13:$D$36,4,FALSE)</f>
        <v>0</v>
      </c>
      <c r="P324" s="82">
        <f>VLOOKUP(H324,'3-Productie normen'!A:T,20,FALSE)</f>
        <v>0</v>
      </c>
      <c r="Q324" s="447" t="s">
        <v>901</v>
      </c>
      <c r="S324" s="356">
        <f t="shared" ref="S324:S332" si="27">IF(L324="nio",0,K324*J324)</f>
        <v>0</v>
      </c>
    </row>
    <row r="325" spans="1:19" ht="14.1" customHeight="1">
      <c r="A325" s="72">
        <f t="shared" si="25"/>
        <v>325</v>
      </c>
      <c r="B325" s="50" t="s">
        <v>1111</v>
      </c>
      <c r="C325" s="50" t="s">
        <v>826</v>
      </c>
      <c r="D325" s="427" t="s">
        <v>1036</v>
      </c>
      <c r="E325" s="426" t="s">
        <v>304</v>
      </c>
      <c r="F325" s="349" t="s">
        <v>577</v>
      </c>
      <c r="G325" s="86" t="s">
        <v>298</v>
      </c>
      <c r="H325" s="65" t="s">
        <v>1053</v>
      </c>
      <c r="I325" s="86" t="s">
        <v>795</v>
      </c>
      <c r="J325" s="343">
        <v>45.430000305175803</v>
      </c>
      <c r="K325" s="351" t="str">
        <f t="shared" ref="K325:K332" si="28">L325</f>
        <v>nio</v>
      </c>
      <c r="L325" s="352" t="s">
        <v>804</v>
      </c>
      <c r="M325" s="448" t="str">
        <f>IF(L325="nio","",VLOOKUP(L325,'3-Productie normen'!$B$31:$H$45,3,FALSE))</f>
        <v/>
      </c>
      <c r="N325" s="353">
        <f t="shared" si="26"/>
        <v>0</v>
      </c>
      <c r="O325" s="354">
        <f>IF(L325="nio",0,IF(L325&gt;0,VLOOKUP(H325,'3-Productie normen'!A:P,VLOOKUP(L325,'3-Productie normen'!$B$31:$C$45,2,FALSE),FALSE)))/VLOOKUP(B325,'2-Kosten per locatie'!$A$13:$D$36,4,FALSE)</f>
        <v>0</v>
      </c>
      <c r="P325" s="82">
        <f>VLOOKUP(H325,'3-Productie normen'!A:T,20,FALSE)</f>
        <v>0</v>
      </c>
      <c r="Q325" s="447" t="s">
        <v>942</v>
      </c>
      <c r="S325" s="356">
        <f t="shared" si="27"/>
        <v>0</v>
      </c>
    </row>
    <row r="326" spans="1:19" ht="14.1" customHeight="1">
      <c r="A326" s="72">
        <f t="shared" si="25"/>
        <v>326</v>
      </c>
      <c r="B326" s="50" t="s">
        <v>1112</v>
      </c>
      <c r="C326" s="50" t="s">
        <v>826</v>
      </c>
      <c r="D326" s="427" t="s">
        <v>1037</v>
      </c>
      <c r="E326" s="426" t="s">
        <v>304</v>
      </c>
      <c r="F326" s="349" t="s">
        <v>578</v>
      </c>
      <c r="G326" s="86" t="s">
        <v>201</v>
      </c>
      <c r="H326" s="432" t="s">
        <v>198</v>
      </c>
      <c r="I326" s="86" t="s">
        <v>780</v>
      </c>
      <c r="J326" s="343">
        <v>6.9000000953674299</v>
      </c>
      <c r="K326" s="351">
        <f t="shared" si="28"/>
        <v>200</v>
      </c>
      <c r="L326" s="352">
        <v>200</v>
      </c>
      <c r="M326" s="448" t="str">
        <f>IF(L326="nio","",VLOOKUP(L326,'3-Productie normen'!$B$31:$H$45,3,FALSE))</f>
        <v>5 x per week (40 weken)</v>
      </c>
      <c r="N326" s="353" t="e">
        <f t="shared" si="26"/>
        <v>#DIV/0!</v>
      </c>
      <c r="O326" s="354">
        <f>IF(L326="nio",0,IF(L326&gt;0,VLOOKUP(H326,'3-Productie normen'!A:P,VLOOKUP(L326,'3-Productie normen'!$B$31:$C$45,2,FALSE),FALSE)))/VLOOKUP(B326,'2-Kosten per locatie'!$A$13:$D$36,4,FALSE)</f>
        <v>0</v>
      </c>
      <c r="P326" s="82" t="str">
        <f>VLOOKUP(H326,'3-Productie normen'!A:T,20,FALSE)</f>
        <v>V</v>
      </c>
      <c r="Q326" s="447" t="s">
        <v>792</v>
      </c>
      <c r="S326" s="356">
        <f t="shared" si="27"/>
        <v>1380.0000190734859</v>
      </c>
    </row>
    <row r="327" spans="1:19" ht="14.1" customHeight="1">
      <c r="A327" s="72">
        <f t="shared" si="25"/>
        <v>327</v>
      </c>
      <c r="B327" s="50" t="s">
        <v>1112</v>
      </c>
      <c r="C327" s="50" t="s">
        <v>826</v>
      </c>
      <c r="D327" s="427" t="s">
        <v>1037</v>
      </c>
      <c r="E327" s="426" t="s">
        <v>304</v>
      </c>
      <c r="F327" s="349" t="s">
        <v>579</v>
      </c>
      <c r="G327" s="86" t="s">
        <v>232</v>
      </c>
      <c r="H327" s="430" t="s">
        <v>1046</v>
      </c>
      <c r="I327" s="86" t="s">
        <v>790</v>
      </c>
      <c r="J327" s="343">
        <v>4.0700001716613796</v>
      </c>
      <c r="K327" s="351">
        <f t="shared" si="28"/>
        <v>200</v>
      </c>
      <c r="L327" s="352">
        <v>200</v>
      </c>
      <c r="M327" s="448" t="str">
        <f>IF(L327="nio","",VLOOKUP(L327,'3-Productie normen'!$B$31:$H$45,3,FALSE))</f>
        <v>5 x per week (40 weken)</v>
      </c>
      <c r="N327" s="353" t="e">
        <f t="shared" si="26"/>
        <v>#DIV/0!</v>
      </c>
      <c r="O327" s="354">
        <f>IF(L327="nio",0,IF(L327&gt;0,VLOOKUP(H327,'3-Productie normen'!A:P,VLOOKUP(L327,'3-Productie normen'!$B$31:$C$45,2,FALSE),FALSE)))/VLOOKUP(B327,'2-Kosten per locatie'!$A$13:$D$36,4,FALSE)</f>
        <v>0</v>
      </c>
      <c r="P327" s="82" t="str">
        <f>VLOOKUP(H327,'3-Productie normen'!A:T,20,FALSE)</f>
        <v>V</v>
      </c>
      <c r="Q327" s="447" t="s">
        <v>892</v>
      </c>
      <c r="S327" s="356">
        <f t="shared" si="27"/>
        <v>814.00003433227596</v>
      </c>
    </row>
    <row r="328" spans="1:19" ht="14.1" customHeight="1">
      <c r="A328" s="72">
        <f t="shared" si="25"/>
        <v>328</v>
      </c>
      <c r="B328" s="50" t="s">
        <v>1112</v>
      </c>
      <c r="C328" s="50" t="s">
        <v>826</v>
      </c>
      <c r="D328" s="427" t="s">
        <v>1037</v>
      </c>
      <c r="E328" s="426" t="s">
        <v>304</v>
      </c>
      <c r="F328" s="349" t="s">
        <v>580</v>
      </c>
      <c r="G328" s="86" t="s">
        <v>206</v>
      </c>
      <c r="H328" s="65" t="s">
        <v>1053</v>
      </c>
      <c r="I328" s="86" t="s">
        <v>92</v>
      </c>
      <c r="J328" s="343">
        <v>0.44999998807907099</v>
      </c>
      <c r="K328" s="351" t="str">
        <f t="shared" si="28"/>
        <v>nio</v>
      </c>
      <c r="L328" s="352" t="s">
        <v>804</v>
      </c>
      <c r="M328" s="448" t="str">
        <f>IF(L328="nio","",VLOOKUP(L328,'3-Productie normen'!$B$31:$H$45,3,FALSE))</f>
        <v/>
      </c>
      <c r="N328" s="353">
        <f t="shared" si="26"/>
        <v>0</v>
      </c>
      <c r="O328" s="354">
        <f>IF(L328="nio",0,IF(L328&gt;0,VLOOKUP(H328,'3-Productie normen'!A:P,VLOOKUP(L328,'3-Productie normen'!$B$31:$C$45,2,FALSE),FALSE)))/VLOOKUP(B328,'2-Kosten per locatie'!$A$13:$D$36,4,FALSE)</f>
        <v>0</v>
      </c>
      <c r="P328" s="82">
        <f>VLOOKUP(H328,'3-Productie normen'!A:T,20,FALSE)</f>
        <v>0</v>
      </c>
      <c r="Q328" s="447" t="s">
        <v>852</v>
      </c>
      <c r="S328" s="356">
        <f t="shared" si="27"/>
        <v>0</v>
      </c>
    </row>
    <row r="329" spans="1:19" ht="14.1" customHeight="1">
      <c r="A329" s="72">
        <f t="shared" si="25"/>
        <v>329</v>
      </c>
      <c r="B329" s="50" t="s">
        <v>1111</v>
      </c>
      <c r="C329" s="50" t="s">
        <v>826</v>
      </c>
      <c r="D329" s="427" t="s">
        <v>1036</v>
      </c>
      <c r="E329" s="426" t="s">
        <v>304</v>
      </c>
      <c r="F329" s="349" t="s">
        <v>581</v>
      </c>
      <c r="G329" s="86" t="s">
        <v>328</v>
      </c>
      <c r="H329" s="65" t="s">
        <v>1053</v>
      </c>
      <c r="I329" s="86" t="s">
        <v>180</v>
      </c>
      <c r="J329" s="343">
        <v>9.4200000762939506</v>
      </c>
      <c r="K329" s="351" t="str">
        <f t="shared" si="28"/>
        <v>nio</v>
      </c>
      <c r="L329" s="352" t="s">
        <v>804</v>
      </c>
      <c r="M329" s="448" t="str">
        <f>IF(L329="nio","",VLOOKUP(L329,'3-Productie normen'!$B$31:$H$45,3,FALSE))</f>
        <v/>
      </c>
      <c r="N329" s="353">
        <f t="shared" si="26"/>
        <v>0</v>
      </c>
      <c r="O329" s="354">
        <f>IF(L329="nio",0,IF(L329&gt;0,VLOOKUP(H329,'3-Productie normen'!A:P,VLOOKUP(L329,'3-Productie normen'!$B$31:$C$45,2,FALSE),FALSE)))/VLOOKUP(B329,'2-Kosten per locatie'!$A$13:$D$36,4,FALSE)</f>
        <v>0</v>
      </c>
      <c r="P329" s="82">
        <f>VLOOKUP(H329,'3-Productie normen'!A:T,20,FALSE)</f>
        <v>0</v>
      </c>
      <c r="Q329" s="447" t="s">
        <v>792</v>
      </c>
      <c r="S329" s="356">
        <f t="shared" si="27"/>
        <v>0</v>
      </c>
    </row>
    <row r="330" spans="1:19" ht="14.1" customHeight="1">
      <c r="A330" s="72">
        <f t="shared" si="25"/>
        <v>330</v>
      </c>
      <c r="B330" s="50" t="s">
        <v>1112</v>
      </c>
      <c r="C330" s="50" t="s">
        <v>826</v>
      </c>
      <c r="D330" s="427" t="s">
        <v>1037</v>
      </c>
      <c r="E330" s="426" t="s">
        <v>304</v>
      </c>
      <c r="F330" s="349" t="s">
        <v>582</v>
      </c>
      <c r="G330" s="86" t="s">
        <v>222</v>
      </c>
      <c r="H330" s="86" t="s">
        <v>16</v>
      </c>
      <c r="I330" s="86" t="s">
        <v>91</v>
      </c>
      <c r="J330" s="343">
        <v>2.17</v>
      </c>
      <c r="K330" s="351">
        <f t="shared" si="28"/>
        <v>201</v>
      </c>
      <c r="L330" s="352">
        <v>201</v>
      </c>
      <c r="M330" s="448" t="str">
        <f>IF(L330="nio","",VLOOKUP(L330,'3-Productie normen'!$B$31:$H$45,3,FALSE))</f>
        <v>5 x per week (40 weken + 1 Zomer refreshbeurt)</v>
      </c>
      <c r="N330" s="353" t="e">
        <f t="shared" si="26"/>
        <v>#DIV/0!</v>
      </c>
      <c r="O330" s="354">
        <f>IF(L330="nio",0,IF(L330&gt;0,VLOOKUP(H330,'3-Productie normen'!A:P,VLOOKUP(L330,'3-Productie normen'!$B$31:$C$45,2,FALSE),FALSE)))/VLOOKUP(B330,'2-Kosten per locatie'!$A$13:$D$36,4,FALSE)</f>
        <v>0</v>
      </c>
      <c r="P330" s="82" t="str">
        <f>VLOOKUP(H330,'3-Productie normen'!A:T,20,FALSE)</f>
        <v>S</v>
      </c>
      <c r="Q330" s="447" t="s">
        <v>901</v>
      </c>
      <c r="S330" s="356">
        <f t="shared" si="27"/>
        <v>436.16999999999996</v>
      </c>
    </row>
    <row r="331" spans="1:19" ht="14.1" customHeight="1">
      <c r="A331" s="72">
        <f t="shared" ref="A331:A394" si="29">A330+1</f>
        <v>331</v>
      </c>
      <c r="B331" s="50" t="s">
        <v>1112</v>
      </c>
      <c r="C331" s="50" t="s">
        <v>826</v>
      </c>
      <c r="D331" s="427" t="s">
        <v>1037</v>
      </c>
      <c r="E331" s="426" t="s">
        <v>304</v>
      </c>
      <c r="F331" s="349" t="s">
        <v>583</v>
      </c>
      <c r="G331" s="86" t="s">
        <v>298</v>
      </c>
      <c r="H331" s="86" t="s">
        <v>241</v>
      </c>
      <c r="I331" s="86" t="s">
        <v>795</v>
      </c>
      <c r="J331" s="343">
        <v>40.360000610351598</v>
      </c>
      <c r="K331" s="351">
        <f t="shared" si="28"/>
        <v>201</v>
      </c>
      <c r="L331" s="352">
        <v>201</v>
      </c>
      <c r="M331" s="448" t="str">
        <f>IF(L331="nio","",VLOOKUP(L331,'3-Productie normen'!$B$31:$H$45,3,FALSE))</f>
        <v>5 x per week (40 weken + 1 Zomer refreshbeurt)</v>
      </c>
      <c r="N331" s="353" t="e">
        <f t="shared" si="26"/>
        <v>#DIV/0!</v>
      </c>
      <c r="O331" s="354">
        <f>IF(L331="nio",0,IF(L331&gt;0,VLOOKUP(H331,'3-Productie normen'!A:P,VLOOKUP(L331,'3-Productie normen'!$B$31:$C$45,2,FALSE),FALSE)))/VLOOKUP(B331,'2-Kosten per locatie'!$A$13:$D$36,4,FALSE)</f>
        <v>0</v>
      </c>
      <c r="P331" s="82" t="str">
        <f>VLOOKUP(H331,'3-Productie normen'!A:T,20,FALSE)</f>
        <v>L</v>
      </c>
      <c r="Q331" s="447" t="s">
        <v>943</v>
      </c>
      <c r="S331" s="356">
        <f t="shared" si="27"/>
        <v>8112.3601226806713</v>
      </c>
    </row>
    <row r="332" spans="1:19" ht="14.1" customHeight="1">
      <c r="A332" s="72">
        <f t="shared" si="29"/>
        <v>332</v>
      </c>
      <c r="B332" s="50" t="s">
        <v>1112</v>
      </c>
      <c r="C332" s="50" t="s">
        <v>826</v>
      </c>
      <c r="D332" s="427" t="s">
        <v>1037</v>
      </c>
      <c r="E332" s="426" t="s">
        <v>304</v>
      </c>
      <c r="F332" s="349" t="s">
        <v>584</v>
      </c>
      <c r="G332" s="86" t="s">
        <v>201</v>
      </c>
      <c r="H332" s="432" t="s">
        <v>198</v>
      </c>
      <c r="I332" s="86" t="s">
        <v>780</v>
      </c>
      <c r="J332" s="343">
        <v>2.6199998855590798</v>
      </c>
      <c r="K332" s="351">
        <f t="shared" si="28"/>
        <v>200</v>
      </c>
      <c r="L332" s="352">
        <v>200</v>
      </c>
      <c r="M332" s="448" t="str">
        <f>IF(L332="nio","",VLOOKUP(L332,'3-Productie normen'!$B$31:$H$45,3,FALSE))</f>
        <v>5 x per week (40 weken)</v>
      </c>
      <c r="N332" s="353" t="e">
        <f t="shared" si="26"/>
        <v>#DIV/0!</v>
      </c>
      <c r="O332" s="354">
        <f>IF(L332="nio",0,IF(L332&gt;0,VLOOKUP(H332,'3-Productie normen'!A:P,VLOOKUP(L332,'3-Productie normen'!$B$31:$C$45,2,FALSE),FALSE)))/VLOOKUP(B332,'2-Kosten per locatie'!$A$13:$D$36,4,FALSE)</f>
        <v>0</v>
      </c>
      <c r="P332" s="82" t="str">
        <f>VLOOKUP(H332,'3-Productie normen'!A:T,20,FALSE)</f>
        <v>V</v>
      </c>
      <c r="Q332" s="447" t="s">
        <v>792</v>
      </c>
      <c r="S332" s="356">
        <f t="shared" si="27"/>
        <v>523.99997711181595</v>
      </c>
    </row>
    <row r="333" spans="1:19" ht="14.1" customHeight="1">
      <c r="A333" s="72">
        <f t="shared" si="29"/>
        <v>333</v>
      </c>
      <c r="B333" s="50" t="s">
        <v>807</v>
      </c>
      <c r="C333" s="50" t="s">
        <v>827</v>
      </c>
      <c r="D333" s="427" t="s">
        <v>1033</v>
      </c>
      <c r="E333" s="426" t="s">
        <v>196</v>
      </c>
      <c r="F333" s="349" t="s">
        <v>197</v>
      </c>
      <c r="G333" s="86" t="s">
        <v>199</v>
      </c>
      <c r="H333" s="432" t="s">
        <v>198</v>
      </c>
      <c r="I333" s="86" t="s">
        <v>784</v>
      </c>
      <c r="J333" s="343">
        <v>6.36</v>
      </c>
      <c r="K333" s="351">
        <f t="shared" ref="K333:K362" si="30">L333</f>
        <v>200</v>
      </c>
      <c r="L333" s="352">
        <v>200</v>
      </c>
      <c r="M333" s="448" t="str">
        <f>IF(L333="nio","",VLOOKUP(L333,'3-Productie normen'!$B$31:$H$45,3,FALSE))</f>
        <v>5 x per week (40 weken)</v>
      </c>
      <c r="N333" s="353" t="e">
        <f t="shared" ref="N333:N361" si="31">IF(L333="nio",0,IF(L333&gt;0,L333*J333/O333,0))</f>
        <v>#DIV/0!</v>
      </c>
      <c r="O333" s="354">
        <f>IF(L333="nio",0,IF(L333&gt;0,VLOOKUP(H333,'3-Productie normen'!A:P,VLOOKUP(L333,'3-Productie normen'!$B$31:$C$45,2,FALSE),FALSE)))/VLOOKUP(B333,'2-Kosten per locatie'!$A$13:$D$36,4,FALSE)</f>
        <v>0</v>
      </c>
      <c r="P333" s="82" t="str">
        <f>VLOOKUP(H333,'3-Productie normen'!A:T,20,FALSE)</f>
        <v>V</v>
      </c>
      <c r="Q333" s="447" t="s">
        <v>946</v>
      </c>
      <c r="S333" s="356">
        <f t="shared" ref="S333:S361" si="32">IF(L333="nio",0,K333*J333)</f>
        <v>1272</v>
      </c>
    </row>
    <row r="334" spans="1:19" ht="14.1" customHeight="1">
      <c r="A334" s="72">
        <f t="shared" si="29"/>
        <v>334</v>
      </c>
      <c r="B334" s="50" t="s">
        <v>807</v>
      </c>
      <c r="C334" s="50" t="s">
        <v>827</v>
      </c>
      <c r="D334" s="427" t="s">
        <v>1033</v>
      </c>
      <c r="E334" s="426" t="s">
        <v>196</v>
      </c>
      <c r="F334" s="349" t="s">
        <v>200</v>
      </c>
      <c r="G334" s="86" t="s">
        <v>204</v>
      </c>
      <c r="H334" s="86" t="s">
        <v>203</v>
      </c>
      <c r="I334" s="86" t="s">
        <v>780</v>
      </c>
      <c r="J334" s="343">
        <v>14.53</v>
      </c>
      <c r="K334" s="351">
        <f t="shared" si="30"/>
        <v>201</v>
      </c>
      <c r="L334" s="352">
        <v>201</v>
      </c>
      <c r="M334" s="448" t="str">
        <f>IF(L334="nio","",VLOOKUP(L334,'3-Productie normen'!$B$31:$H$45,3,FALSE))</f>
        <v>5 x per week (40 weken + 1 Zomer refreshbeurt)</v>
      </c>
      <c r="N334" s="353" t="e">
        <f t="shared" si="31"/>
        <v>#DIV/0!</v>
      </c>
      <c r="O334" s="354">
        <f>IF(L334="nio",0,IF(L334&gt;0,VLOOKUP(H334,'3-Productie normen'!A:P,VLOOKUP(L334,'3-Productie normen'!$B$31:$C$45,2,FALSE),FALSE)))/VLOOKUP(B334,'2-Kosten per locatie'!$A$13:$D$36,4,FALSE)</f>
        <v>0</v>
      </c>
      <c r="P334" s="82" t="str">
        <f>VLOOKUP(H334,'3-Productie normen'!A:T,20,FALSE)</f>
        <v>B</v>
      </c>
      <c r="Q334" s="447" t="s">
        <v>792</v>
      </c>
      <c r="S334" s="356">
        <f t="shared" si="32"/>
        <v>2920.5299999999997</v>
      </c>
    </row>
    <row r="335" spans="1:19" ht="14.1" customHeight="1">
      <c r="A335" s="72">
        <f t="shared" si="29"/>
        <v>335</v>
      </c>
      <c r="B335" s="50" t="s">
        <v>807</v>
      </c>
      <c r="C335" s="50" t="s">
        <v>827</v>
      </c>
      <c r="D335" s="427" t="s">
        <v>1033</v>
      </c>
      <c r="E335" s="426" t="s">
        <v>196</v>
      </c>
      <c r="F335" s="349" t="s">
        <v>202</v>
      </c>
      <c r="G335" s="86" t="s">
        <v>201</v>
      </c>
      <c r="H335" s="432" t="s">
        <v>198</v>
      </c>
      <c r="I335" s="86" t="s">
        <v>780</v>
      </c>
      <c r="J335" s="343">
        <v>51.01</v>
      </c>
      <c r="K335" s="351">
        <f t="shared" si="30"/>
        <v>200</v>
      </c>
      <c r="L335" s="352">
        <v>200</v>
      </c>
      <c r="M335" s="448" t="str">
        <f>IF(L335="nio","",VLOOKUP(L335,'3-Productie normen'!$B$31:$H$45,3,FALSE))</f>
        <v>5 x per week (40 weken)</v>
      </c>
      <c r="N335" s="353" t="e">
        <f t="shared" si="31"/>
        <v>#DIV/0!</v>
      </c>
      <c r="O335" s="354">
        <f>IF(L335="nio",0,IF(L335&gt;0,VLOOKUP(H335,'3-Productie normen'!A:P,VLOOKUP(L335,'3-Productie normen'!$B$31:$C$45,2,FALSE),FALSE)))/VLOOKUP(B335,'2-Kosten per locatie'!$A$13:$D$36,4,FALSE)</f>
        <v>0</v>
      </c>
      <c r="P335" s="82" t="str">
        <f>VLOOKUP(H335,'3-Productie normen'!A:T,20,FALSE)</f>
        <v>V</v>
      </c>
      <c r="Q335" s="447" t="s">
        <v>792</v>
      </c>
      <c r="S335" s="356">
        <f t="shared" si="32"/>
        <v>10202</v>
      </c>
    </row>
    <row r="336" spans="1:19" ht="14.1" customHeight="1">
      <c r="A336" s="72">
        <f t="shared" si="29"/>
        <v>336</v>
      </c>
      <c r="B336" s="50" t="s">
        <v>807</v>
      </c>
      <c r="C336" s="50" t="s">
        <v>827</v>
      </c>
      <c r="D336" s="427" t="s">
        <v>1033</v>
      </c>
      <c r="E336" s="426" t="s">
        <v>196</v>
      </c>
      <c r="F336" s="349" t="s">
        <v>202</v>
      </c>
      <c r="G336" s="431" t="s">
        <v>229</v>
      </c>
      <c r="H336" s="432" t="s">
        <v>198</v>
      </c>
      <c r="I336" s="86" t="s">
        <v>780</v>
      </c>
      <c r="J336" s="343">
        <v>151.22</v>
      </c>
      <c r="K336" s="351">
        <f t="shared" si="30"/>
        <v>200</v>
      </c>
      <c r="L336" s="352">
        <v>200</v>
      </c>
      <c r="M336" s="448" t="str">
        <f>IF(L336="nio","",VLOOKUP(L336,'3-Productie normen'!$B$31:$H$45,3,FALSE))</f>
        <v>5 x per week (40 weken)</v>
      </c>
      <c r="N336" s="353" t="e">
        <f t="shared" si="31"/>
        <v>#DIV/0!</v>
      </c>
      <c r="O336" s="354">
        <f>IF(L336="nio",0,IF(L336&gt;0,VLOOKUP(H336,'3-Productie normen'!A:P,VLOOKUP(L336,'3-Productie normen'!$B$31:$C$45,2,FALSE),FALSE)))/VLOOKUP(B336,'2-Kosten per locatie'!$A$13:$D$36,4,FALSE)</f>
        <v>0</v>
      </c>
      <c r="P336" s="82" t="str">
        <f>VLOOKUP(H336,'3-Productie normen'!A:T,20,FALSE)</f>
        <v>V</v>
      </c>
      <c r="Q336" s="447" t="s">
        <v>792</v>
      </c>
      <c r="S336" s="356">
        <f t="shared" si="32"/>
        <v>30244</v>
      </c>
    </row>
    <row r="337" spans="1:19" ht="14.1" customHeight="1">
      <c r="A337" s="72">
        <f t="shared" si="29"/>
        <v>337</v>
      </c>
      <c r="B337" s="50" t="s">
        <v>807</v>
      </c>
      <c r="C337" s="50" t="s">
        <v>827</v>
      </c>
      <c r="D337" s="427" t="s">
        <v>1033</v>
      </c>
      <c r="E337" s="426" t="s">
        <v>196</v>
      </c>
      <c r="F337" s="349" t="s">
        <v>205</v>
      </c>
      <c r="G337" s="86" t="s">
        <v>209</v>
      </c>
      <c r="H337" s="63" t="s">
        <v>1040</v>
      </c>
      <c r="I337" s="86" t="s">
        <v>780</v>
      </c>
      <c r="J337" s="343">
        <v>1.5</v>
      </c>
      <c r="K337" s="351">
        <f t="shared" si="30"/>
        <v>12</v>
      </c>
      <c r="L337" s="352">
        <v>12</v>
      </c>
      <c r="M337" s="448" t="str">
        <f>IF(L337="nio","",VLOOKUP(L337,'3-Productie normen'!$B$31:$H$45,3,FALSE))</f>
        <v>1 x per maand</v>
      </c>
      <c r="N337" s="353" t="e">
        <f t="shared" si="31"/>
        <v>#DIV/0!</v>
      </c>
      <c r="O337" s="354">
        <f>IF(L337="nio",0,IF(L337&gt;0,VLOOKUP(H337,'3-Productie normen'!A:P,VLOOKUP(L337,'3-Productie normen'!$B$31:$C$45,2,FALSE),FALSE)))/VLOOKUP(B337,'2-Kosten per locatie'!$A$13:$D$36,4,FALSE)</f>
        <v>0</v>
      </c>
      <c r="P337" s="82" t="str">
        <f>VLOOKUP(H337,'3-Productie normen'!A:T,20,FALSE)</f>
        <v>V</v>
      </c>
      <c r="Q337" s="447" t="s">
        <v>792</v>
      </c>
      <c r="S337" s="356">
        <f t="shared" si="32"/>
        <v>18</v>
      </c>
    </row>
    <row r="338" spans="1:19" ht="14.1" customHeight="1">
      <c r="A338" s="72">
        <f t="shared" si="29"/>
        <v>338</v>
      </c>
      <c r="B338" s="50" t="s">
        <v>807</v>
      </c>
      <c r="C338" s="50" t="s">
        <v>827</v>
      </c>
      <c r="D338" s="427" t="s">
        <v>1033</v>
      </c>
      <c r="E338" s="426" t="s">
        <v>196</v>
      </c>
      <c r="F338" s="349" t="s">
        <v>207</v>
      </c>
      <c r="G338" s="86" t="s">
        <v>206</v>
      </c>
      <c r="H338" s="65" t="s">
        <v>1053</v>
      </c>
      <c r="I338" s="86" t="s">
        <v>92</v>
      </c>
      <c r="J338" s="343">
        <v>0.34000000357627902</v>
      </c>
      <c r="K338" s="351" t="str">
        <f t="shared" si="30"/>
        <v>nio</v>
      </c>
      <c r="L338" s="352" t="s">
        <v>804</v>
      </c>
      <c r="M338" s="448" t="str">
        <f>IF(L338="nio","",VLOOKUP(L338,'3-Productie normen'!$B$31:$H$45,3,FALSE))</f>
        <v/>
      </c>
      <c r="N338" s="353">
        <f t="shared" si="31"/>
        <v>0</v>
      </c>
      <c r="O338" s="354">
        <f>IF(L338="nio",0,IF(L338&gt;0,VLOOKUP(H338,'3-Productie normen'!A:P,VLOOKUP(L338,'3-Productie normen'!$B$31:$C$45,2,FALSE),FALSE)))/VLOOKUP(B338,'2-Kosten per locatie'!$A$13:$D$36,4,FALSE)</f>
        <v>0</v>
      </c>
      <c r="P338" s="82">
        <f>VLOOKUP(H338,'3-Productie normen'!A:T,20,FALSE)</f>
        <v>0</v>
      </c>
      <c r="Q338" s="447" t="s">
        <v>947</v>
      </c>
      <c r="S338" s="356">
        <f t="shared" si="32"/>
        <v>0</v>
      </c>
    </row>
    <row r="339" spans="1:19" ht="14.1" customHeight="1">
      <c r="A339" s="72">
        <f t="shared" si="29"/>
        <v>339</v>
      </c>
      <c r="B339" s="50" t="s">
        <v>807</v>
      </c>
      <c r="C339" s="50" t="s">
        <v>827</v>
      </c>
      <c r="D339" s="427" t="s">
        <v>1033</v>
      </c>
      <c r="E339" s="426" t="s">
        <v>196</v>
      </c>
      <c r="F339" s="349" t="s">
        <v>208</v>
      </c>
      <c r="G339" s="86" t="s">
        <v>199</v>
      </c>
      <c r="H339" s="432" t="s">
        <v>198</v>
      </c>
      <c r="I339" s="86" t="s">
        <v>784</v>
      </c>
      <c r="J339" s="343">
        <v>5.8800001144409197</v>
      </c>
      <c r="K339" s="351">
        <f t="shared" si="30"/>
        <v>200</v>
      </c>
      <c r="L339" s="352">
        <v>200</v>
      </c>
      <c r="M339" s="448" t="str">
        <f>IF(L339="nio","",VLOOKUP(L339,'3-Productie normen'!$B$31:$H$45,3,FALSE))</f>
        <v>5 x per week (40 weken)</v>
      </c>
      <c r="N339" s="353" t="e">
        <f t="shared" si="31"/>
        <v>#DIV/0!</v>
      </c>
      <c r="O339" s="354">
        <f>IF(L339="nio",0,IF(L339&gt;0,VLOOKUP(H339,'3-Productie normen'!A:P,VLOOKUP(L339,'3-Productie normen'!$B$31:$C$45,2,FALSE),FALSE)))/VLOOKUP(B339,'2-Kosten per locatie'!$A$13:$D$36,4,FALSE)</f>
        <v>0</v>
      </c>
      <c r="P339" s="82" t="str">
        <f>VLOOKUP(H339,'3-Productie normen'!A:T,20,FALSE)</f>
        <v>V</v>
      </c>
      <c r="Q339" s="447" t="s">
        <v>948</v>
      </c>
      <c r="S339" s="356">
        <f t="shared" si="32"/>
        <v>1176.000022888184</v>
      </c>
    </row>
    <row r="340" spans="1:19" ht="14.1" customHeight="1">
      <c r="A340" s="72">
        <f t="shared" si="29"/>
        <v>340</v>
      </c>
      <c r="B340" s="50" t="s">
        <v>807</v>
      </c>
      <c r="C340" s="50" t="s">
        <v>827</v>
      </c>
      <c r="D340" s="427" t="s">
        <v>1033</v>
      </c>
      <c r="E340" s="426" t="s">
        <v>196</v>
      </c>
      <c r="F340" s="349" t="s">
        <v>208</v>
      </c>
      <c r="G340" s="86" t="s">
        <v>199</v>
      </c>
      <c r="H340" s="432" t="s">
        <v>198</v>
      </c>
      <c r="I340" s="86" t="s">
        <v>780</v>
      </c>
      <c r="J340" s="343">
        <v>6.73</v>
      </c>
      <c r="K340" s="351">
        <f t="shared" si="30"/>
        <v>200</v>
      </c>
      <c r="L340" s="352">
        <v>200</v>
      </c>
      <c r="M340" s="448" t="str">
        <f>IF(L340="nio","",VLOOKUP(L340,'3-Productie normen'!$B$31:$H$45,3,FALSE))</f>
        <v>5 x per week (40 weken)</v>
      </c>
      <c r="N340" s="353" t="e">
        <f t="shared" si="31"/>
        <v>#DIV/0!</v>
      </c>
      <c r="O340" s="354">
        <f>IF(L340="nio",0,IF(L340&gt;0,VLOOKUP(H340,'3-Productie normen'!A:P,VLOOKUP(L340,'3-Productie normen'!$B$31:$C$45,2,FALSE),FALSE)))/VLOOKUP(B340,'2-Kosten per locatie'!$A$13:$D$36,4,FALSE)</f>
        <v>0</v>
      </c>
      <c r="P340" s="82" t="str">
        <f>VLOOKUP(H340,'3-Productie normen'!A:T,20,FALSE)</f>
        <v>V</v>
      </c>
      <c r="Q340" s="447" t="s">
        <v>792</v>
      </c>
      <c r="S340" s="356">
        <f t="shared" si="32"/>
        <v>1346</v>
      </c>
    </row>
    <row r="341" spans="1:19" ht="14.1" customHeight="1">
      <c r="A341" s="72">
        <f t="shared" si="29"/>
        <v>341</v>
      </c>
      <c r="B341" s="50" t="s">
        <v>807</v>
      </c>
      <c r="C341" s="50" t="s">
        <v>827</v>
      </c>
      <c r="D341" s="427" t="s">
        <v>1033</v>
      </c>
      <c r="E341" s="426" t="s">
        <v>196</v>
      </c>
      <c r="F341" s="349" t="s">
        <v>585</v>
      </c>
      <c r="G341" s="86" t="s">
        <v>188</v>
      </c>
      <c r="H341" s="81" t="s">
        <v>1047</v>
      </c>
      <c r="I341" s="86" t="s">
        <v>789</v>
      </c>
      <c r="J341" s="343">
        <v>2.23</v>
      </c>
      <c r="K341" s="351">
        <f t="shared" si="30"/>
        <v>40</v>
      </c>
      <c r="L341" s="352">
        <v>40</v>
      </c>
      <c r="M341" s="448" t="str">
        <f>IF(L341="nio","",VLOOKUP(L341,'3-Productie normen'!$B$31:$H$45,3,FALSE))</f>
        <v>1 x per week (40 weken)</v>
      </c>
      <c r="N341" s="353" t="e">
        <f t="shared" si="31"/>
        <v>#DIV/0!</v>
      </c>
      <c r="O341" s="354">
        <f>IF(L341="nio",0,IF(L341&gt;0,VLOOKUP(H341,'3-Productie normen'!A:P,VLOOKUP(L341,'3-Productie normen'!$B$31:$C$45,2,FALSE),FALSE)))/VLOOKUP(B341,'2-Kosten per locatie'!$A$13:$D$36,4,FALSE)</f>
        <v>0</v>
      </c>
      <c r="P341" s="82" t="str">
        <f>VLOOKUP(H341,'3-Productie normen'!A:T,20,FALSE)</f>
        <v>V</v>
      </c>
      <c r="Q341" s="447" t="s">
        <v>792</v>
      </c>
      <c r="S341" s="356">
        <f t="shared" si="32"/>
        <v>89.2</v>
      </c>
    </row>
    <row r="342" spans="1:19" ht="14.1" customHeight="1">
      <c r="A342" s="72">
        <f t="shared" si="29"/>
        <v>342</v>
      </c>
      <c r="B342" s="50" t="s">
        <v>807</v>
      </c>
      <c r="C342" s="50" t="s">
        <v>827</v>
      </c>
      <c r="D342" s="427" t="s">
        <v>1033</v>
      </c>
      <c r="E342" s="426" t="s">
        <v>196</v>
      </c>
      <c r="F342" s="349" t="s">
        <v>210</v>
      </c>
      <c r="G342" s="86" t="s">
        <v>226</v>
      </c>
      <c r="H342" s="86" t="s">
        <v>16</v>
      </c>
      <c r="I342" s="86" t="s">
        <v>781</v>
      </c>
      <c r="J342" s="343">
        <v>5.62</v>
      </c>
      <c r="K342" s="351">
        <f t="shared" si="30"/>
        <v>201</v>
      </c>
      <c r="L342" s="352">
        <v>201</v>
      </c>
      <c r="M342" s="448" t="str">
        <f>IF(L342="nio","",VLOOKUP(L342,'3-Productie normen'!$B$31:$H$45,3,FALSE))</f>
        <v>5 x per week (40 weken + 1 Zomer refreshbeurt)</v>
      </c>
      <c r="N342" s="353" t="e">
        <f t="shared" si="31"/>
        <v>#DIV/0!</v>
      </c>
      <c r="O342" s="354">
        <f>IF(L342="nio",0,IF(L342&gt;0,VLOOKUP(H342,'3-Productie normen'!A:P,VLOOKUP(L342,'3-Productie normen'!$B$31:$C$45,2,FALSE),FALSE)))/VLOOKUP(B342,'2-Kosten per locatie'!$A$13:$D$36,4,FALSE)</f>
        <v>0</v>
      </c>
      <c r="P342" s="82" t="str">
        <f>VLOOKUP(H342,'3-Productie normen'!A:T,20,FALSE)</f>
        <v>S</v>
      </c>
      <c r="Q342" s="447" t="s">
        <v>855</v>
      </c>
      <c r="S342" s="356">
        <f t="shared" si="32"/>
        <v>1129.6200000000001</v>
      </c>
    </row>
    <row r="343" spans="1:19" ht="14.1" customHeight="1">
      <c r="A343" s="72">
        <f t="shared" si="29"/>
        <v>343</v>
      </c>
      <c r="B343" s="50" t="s">
        <v>807</v>
      </c>
      <c r="C343" s="50" t="s">
        <v>827</v>
      </c>
      <c r="D343" s="427" t="s">
        <v>1033</v>
      </c>
      <c r="E343" s="426" t="s">
        <v>196</v>
      </c>
      <c r="F343" s="349" t="s">
        <v>587</v>
      </c>
      <c r="G343" s="86" t="s">
        <v>215</v>
      </c>
      <c r="H343" s="63" t="s">
        <v>1040</v>
      </c>
      <c r="I343" s="86" t="s">
        <v>780</v>
      </c>
      <c r="J343" s="343">
        <v>2.25</v>
      </c>
      <c r="K343" s="351">
        <f t="shared" si="30"/>
        <v>12</v>
      </c>
      <c r="L343" s="352">
        <v>12</v>
      </c>
      <c r="M343" s="448" t="str">
        <f>IF(L343="nio","",VLOOKUP(L343,'3-Productie normen'!$B$31:$H$45,3,FALSE))</f>
        <v>1 x per maand</v>
      </c>
      <c r="N343" s="353" t="e">
        <f t="shared" si="31"/>
        <v>#DIV/0!</v>
      </c>
      <c r="O343" s="354">
        <f>IF(L343="nio",0,IF(L343&gt;0,VLOOKUP(H343,'3-Productie normen'!A:P,VLOOKUP(L343,'3-Productie normen'!$B$31:$C$45,2,FALSE),FALSE)))/VLOOKUP(B343,'2-Kosten per locatie'!$A$13:$D$36,4,FALSE)</f>
        <v>0</v>
      </c>
      <c r="P343" s="82" t="str">
        <f>VLOOKUP(H343,'3-Productie normen'!A:T,20,FALSE)</f>
        <v>V</v>
      </c>
      <c r="Q343" s="447" t="s">
        <v>853</v>
      </c>
      <c r="S343" s="356">
        <f t="shared" si="32"/>
        <v>27</v>
      </c>
    </row>
    <row r="344" spans="1:19" ht="14.1" customHeight="1">
      <c r="A344" s="72">
        <f t="shared" si="29"/>
        <v>344</v>
      </c>
      <c r="B344" s="50" t="s">
        <v>807</v>
      </c>
      <c r="C344" s="50" t="s">
        <v>827</v>
      </c>
      <c r="D344" s="427" t="s">
        <v>1033</v>
      </c>
      <c r="E344" s="426" t="s">
        <v>196</v>
      </c>
      <c r="F344" s="349" t="s">
        <v>211</v>
      </c>
      <c r="G344" s="86" t="s">
        <v>209</v>
      </c>
      <c r="H344" s="63" t="s">
        <v>1040</v>
      </c>
      <c r="I344" s="86" t="s">
        <v>92</v>
      </c>
      <c r="J344" s="343">
        <v>2.0499999999999998</v>
      </c>
      <c r="K344" s="351">
        <f t="shared" si="30"/>
        <v>12</v>
      </c>
      <c r="L344" s="352">
        <v>12</v>
      </c>
      <c r="M344" s="448" t="str">
        <f>IF(L344="nio","",VLOOKUP(L344,'3-Productie normen'!$B$31:$H$45,3,FALSE))</f>
        <v>1 x per maand</v>
      </c>
      <c r="N344" s="353" t="e">
        <f t="shared" si="31"/>
        <v>#DIV/0!</v>
      </c>
      <c r="O344" s="354">
        <f>IF(L344="nio",0,IF(L344&gt;0,VLOOKUP(H344,'3-Productie normen'!A:P,VLOOKUP(L344,'3-Productie normen'!$B$31:$C$45,2,FALSE),FALSE)))/VLOOKUP(B344,'2-Kosten per locatie'!$A$13:$D$36,4,FALSE)</f>
        <v>0</v>
      </c>
      <c r="P344" s="82" t="str">
        <f>VLOOKUP(H344,'3-Productie normen'!A:T,20,FALSE)</f>
        <v>V</v>
      </c>
      <c r="Q344" s="447" t="s">
        <v>792</v>
      </c>
      <c r="S344" s="356">
        <f t="shared" si="32"/>
        <v>24.599999999999998</v>
      </c>
    </row>
    <row r="345" spans="1:19" ht="14.1" customHeight="1">
      <c r="A345" s="72">
        <f t="shared" si="29"/>
        <v>345</v>
      </c>
      <c r="B345" s="50" t="s">
        <v>807</v>
      </c>
      <c r="C345" s="50" t="s">
        <v>827</v>
      </c>
      <c r="D345" s="427" t="s">
        <v>1033</v>
      </c>
      <c r="E345" s="426" t="s">
        <v>196</v>
      </c>
      <c r="F345" s="349" t="s">
        <v>213</v>
      </c>
      <c r="G345" s="86" t="s">
        <v>212</v>
      </c>
      <c r="H345" s="65" t="s">
        <v>1053</v>
      </c>
      <c r="I345" s="86" t="s">
        <v>92</v>
      </c>
      <c r="J345" s="343">
        <v>5.48</v>
      </c>
      <c r="K345" s="351" t="str">
        <f t="shared" si="30"/>
        <v>nio</v>
      </c>
      <c r="L345" s="352" t="s">
        <v>804</v>
      </c>
      <c r="M345" s="448" t="str">
        <f>IF(L345="nio","",VLOOKUP(L345,'3-Productie normen'!$B$31:$H$45,3,FALSE))</f>
        <v/>
      </c>
      <c r="N345" s="353">
        <f t="shared" si="31"/>
        <v>0</v>
      </c>
      <c r="O345" s="354">
        <f>IF(L345="nio",0,IF(L345&gt;0,VLOOKUP(H345,'3-Productie normen'!A:P,VLOOKUP(L345,'3-Productie normen'!$B$31:$C$45,2,FALSE),FALSE)))/VLOOKUP(B345,'2-Kosten per locatie'!$A$13:$D$36,4,FALSE)</f>
        <v>0</v>
      </c>
      <c r="P345" s="82">
        <f>VLOOKUP(H345,'3-Productie normen'!A:T,20,FALSE)</f>
        <v>0</v>
      </c>
      <c r="Q345" s="447" t="s">
        <v>792</v>
      </c>
      <c r="S345" s="356">
        <f t="shared" si="32"/>
        <v>0</v>
      </c>
    </row>
    <row r="346" spans="1:19" ht="14.1" customHeight="1">
      <c r="A346" s="72">
        <f t="shared" si="29"/>
        <v>346</v>
      </c>
      <c r="B346" s="50" t="s">
        <v>807</v>
      </c>
      <c r="C346" s="50" t="s">
        <v>827</v>
      </c>
      <c r="D346" s="427" t="s">
        <v>1033</v>
      </c>
      <c r="E346" s="426" t="s">
        <v>196</v>
      </c>
      <c r="F346" s="349" t="s">
        <v>214</v>
      </c>
      <c r="G346" s="86" t="s">
        <v>242</v>
      </c>
      <c r="H346" s="86" t="s">
        <v>241</v>
      </c>
      <c r="I346" s="86" t="s">
        <v>780</v>
      </c>
      <c r="J346" s="343">
        <v>49.86</v>
      </c>
      <c r="K346" s="351">
        <f t="shared" si="30"/>
        <v>201</v>
      </c>
      <c r="L346" s="352">
        <v>201</v>
      </c>
      <c r="M346" s="448" t="str">
        <f>IF(L346="nio","",VLOOKUP(L346,'3-Productie normen'!$B$31:$H$45,3,FALSE))</f>
        <v>5 x per week (40 weken + 1 Zomer refreshbeurt)</v>
      </c>
      <c r="N346" s="353" t="e">
        <f t="shared" si="31"/>
        <v>#DIV/0!</v>
      </c>
      <c r="O346" s="354">
        <f>IF(L346="nio",0,IF(L346&gt;0,VLOOKUP(H346,'3-Productie normen'!A:P,VLOOKUP(L346,'3-Productie normen'!$B$31:$C$45,2,FALSE),FALSE)))/VLOOKUP(B346,'2-Kosten per locatie'!$A$13:$D$36,4,FALSE)</f>
        <v>0</v>
      </c>
      <c r="P346" s="82" t="str">
        <f>VLOOKUP(H346,'3-Productie normen'!A:T,20,FALSE)</f>
        <v>L</v>
      </c>
      <c r="Q346" s="447" t="s">
        <v>874</v>
      </c>
      <c r="S346" s="356">
        <f t="shared" si="32"/>
        <v>10021.86</v>
      </c>
    </row>
    <row r="347" spans="1:19" ht="14.1" customHeight="1">
      <c r="A347" s="72">
        <f t="shared" si="29"/>
        <v>347</v>
      </c>
      <c r="B347" s="50" t="s">
        <v>807</v>
      </c>
      <c r="C347" s="50" t="s">
        <v>827</v>
      </c>
      <c r="D347" s="427" t="s">
        <v>1033</v>
      </c>
      <c r="E347" s="426" t="s">
        <v>196</v>
      </c>
      <c r="F347" s="349" t="s">
        <v>216</v>
      </c>
      <c r="G347" s="86" t="s">
        <v>242</v>
      </c>
      <c r="H347" s="86" t="s">
        <v>241</v>
      </c>
      <c r="I347" s="86" t="s">
        <v>780</v>
      </c>
      <c r="J347" s="343">
        <v>52.96</v>
      </c>
      <c r="K347" s="351">
        <f t="shared" si="30"/>
        <v>201</v>
      </c>
      <c r="L347" s="352">
        <v>201</v>
      </c>
      <c r="M347" s="448" t="str">
        <f>IF(L347="nio","",VLOOKUP(L347,'3-Productie normen'!$B$31:$H$45,3,FALSE))</f>
        <v>5 x per week (40 weken + 1 Zomer refreshbeurt)</v>
      </c>
      <c r="N347" s="353" t="e">
        <f t="shared" si="31"/>
        <v>#DIV/0!</v>
      </c>
      <c r="O347" s="354">
        <f>IF(L347="nio",0,IF(L347&gt;0,VLOOKUP(H347,'3-Productie normen'!A:P,VLOOKUP(L347,'3-Productie normen'!$B$31:$C$45,2,FALSE),FALSE)))/VLOOKUP(B347,'2-Kosten per locatie'!$A$13:$D$36,4,FALSE)</f>
        <v>0</v>
      </c>
      <c r="P347" s="82" t="str">
        <f>VLOOKUP(H347,'3-Productie normen'!A:T,20,FALSE)</f>
        <v>L</v>
      </c>
      <c r="Q347" s="447" t="s">
        <v>874</v>
      </c>
      <c r="S347" s="356">
        <f t="shared" si="32"/>
        <v>10644.960000000001</v>
      </c>
    </row>
    <row r="348" spans="1:19" ht="14.1" customHeight="1">
      <c r="A348" s="72">
        <f t="shared" si="29"/>
        <v>348</v>
      </c>
      <c r="B348" s="50" t="s">
        <v>807</v>
      </c>
      <c r="C348" s="50" t="s">
        <v>827</v>
      </c>
      <c r="D348" s="427" t="s">
        <v>1033</v>
      </c>
      <c r="E348" s="426" t="s">
        <v>196</v>
      </c>
      <c r="F348" s="349" t="s">
        <v>217</v>
      </c>
      <c r="G348" s="86" t="s">
        <v>242</v>
      </c>
      <c r="H348" s="86" t="s">
        <v>241</v>
      </c>
      <c r="I348" s="86" t="s">
        <v>780</v>
      </c>
      <c r="J348" s="343">
        <v>51.13</v>
      </c>
      <c r="K348" s="351">
        <f t="shared" si="30"/>
        <v>201</v>
      </c>
      <c r="L348" s="352">
        <v>201</v>
      </c>
      <c r="M348" s="448" t="str">
        <f>IF(L348="nio","",VLOOKUP(L348,'3-Productie normen'!$B$31:$H$45,3,FALSE))</f>
        <v>5 x per week (40 weken + 1 Zomer refreshbeurt)</v>
      </c>
      <c r="N348" s="353" t="e">
        <f t="shared" si="31"/>
        <v>#DIV/0!</v>
      </c>
      <c r="O348" s="354">
        <f>IF(L348="nio",0,IF(L348&gt;0,VLOOKUP(H348,'3-Productie normen'!A:P,VLOOKUP(L348,'3-Productie normen'!$B$31:$C$45,2,FALSE),FALSE)))/VLOOKUP(B348,'2-Kosten per locatie'!$A$13:$D$36,4,FALSE)</f>
        <v>0</v>
      </c>
      <c r="P348" s="82" t="str">
        <f>VLOOKUP(H348,'3-Productie normen'!A:T,20,FALSE)</f>
        <v>L</v>
      </c>
      <c r="Q348" s="447" t="s">
        <v>874</v>
      </c>
      <c r="S348" s="356">
        <f t="shared" si="32"/>
        <v>10277.130000000001</v>
      </c>
    </row>
    <row r="349" spans="1:19" ht="14.1" customHeight="1">
      <c r="A349" s="72">
        <f t="shared" si="29"/>
        <v>349</v>
      </c>
      <c r="B349" s="50" t="s">
        <v>807</v>
      </c>
      <c r="C349" s="50" t="s">
        <v>827</v>
      </c>
      <c r="D349" s="427" t="s">
        <v>1033</v>
      </c>
      <c r="E349" s="426" t="s">
        <v>196</v>
      </c>
      <c r="F349" s="349" t="s">
        <v>218</v>
      </c>
      <c r="G349" s="86" t="s">
        <v>226</v>
      </c>
      <c r="H349" s="50" t="s">
        <v>16</v>
      </c>
      <c r="I349" s="86" t="s">
        <v>781</v>
      </c>
      <c r="J349" s="343">
        <v>5.62</v>
      </c>
      <c r="K349" s="351">
        <f t="shared" si="30"/>
        <v>201</v>
      </c>
      <c r="L349" s="352">
        <v>201</v>
      </c>
      <c r="M349" s="448" t="str">
        <f>IF(L349="nio","",VLOOKUP(L349,'3-Productie normen'!$B$31:$H$45,3,FALSE))</f>
        <v>5 x per week (40 weken + 1 Zomer refreshbeurt)</v>
      </c>
      <c r="N349" s="353" t="e">
        <f t="shared" si="31"/>
        <v>#DIV/0!</v>
      </c>
      <c r="O349" s="354">
        <f>IF(L349="nio",0,IF(L349&gt;0,VLOOKUP(H349,'3-Productie normen'!A:P,VLOOKUP(L349,'3-Productie normen'!$B$31:$C$45,2,FALSE),FALSE)))/VLOOKUP(B349,'2-Kosten per locatie'!$A$13:$D$36,4,FALSE)</f>
        <v>0</v>
      </c>
      <c r="P349" s="82" t="str">
        <f>VLOOKUP(H349,'3-Productie normen'!A:T,20,FALSE)</f>
        <v>S</v>
      </c>
      <c r="Q349" s="447" t="s">
        <v>855</v>
      </c>
      <c r="S349" s="356">
        <f t="shared" si="32"/>
        <v>1129.6200000000001</v>
      </c>
    </row>
    <row r="350" spans="1:19" ht="14.1" customHeight="1">
      <c r="A350" s="72">
        <f t="shared" si="29"/>
        <v>350</v>
      </c>
      <c r="B350" s="50" t="s">
        <v>807</v>
      </c>
      <c r="C350" s="50" t="s">
        <v>827</v>
      </c>
      <c r="D350" s="427" t="s">
        <v>1033</v>
      </c>
      <c r="E350" s="426" t="s">
        <v>196</v>
      </c>
      <c r="F350" s="349" t="s">
        <v>219</v>
      </c>
      <c r="G350" s="86" t="s">
        <v>209</v>
      </c>
      <c r="H350" s="63" t="s">
        <v>1040</v>
      </c>
      <c r="I350" s="86" t="s">
        <v>780</v>
      </c>
      <c r="J350" s="343">
        <v>2.27</v>
      </c>
      <c r="K350" s="351">
        <f t="shared" si="30"/>
        <v>12</v>
      </c>
      <c r="L350" s="352">
        <v>12</v>
      </c>
      <c r="M350" s="448" t="str">
        <f>IF(L350="nio","",VLOOKUP(L350,'3-Productie normen'!$B$31:$H$45,3,FALSE))</f>
        <v>1 x per maand</v>
      </c>
      <c r="N350" s="353" t="e">
        <f t="shared" si="31"/>
        <v>#DIV/0!</v>
      </c>
      <c r="O350" s="354">
        <f>IF(L350="nio",0,IF(L350&gt;0,VLOOKUP(H350,'3-Productie normen'!A:P,VLOOKUP(L350,'3-Productie normen'!$B$31:$C$45,2,FALSE),FALSE)))/VLOOKUP(B350,'2-Kosten per locatie'!$A$13:$D$36,4,FALSE)</f>
        <v>0</v>
      </c>
      <c r="P350" s="82" t="str">
        <f>VLOOKUP(H350,'3-Productie normen'!A:T,20,FALSE)</f>
        <v>V</v>
      </c>
      <c r="Q350" s="447" t="s">
        <v>792</v>
      </c>
      <c r="S350" s="356">
        <f t="shared" si="32"/>
        <v>27.240000000000002</v>
      </c>
    </row>
    <row r="351" spans="1:19" ht="14.1" customHeight="1">
      <c r="A351" s="72">
        <f t="shared" si="29"/>
        <v>351</v>
      </c>
      <c r="B351" s="50" t="s">
        <v>807</v>
      </c>
      <c r="C351" s="50" t="s">
        <v>827</v>
      </c>
      <c r="D351" s="427" t="s">
        <v>1033</v>
      </c>
      <c r="E351" s="426" t="s">
        <v>196</v>
      </c>
      <c r="F351" s="349" t="s">
        <v>220</v>
      </c>
      <c r="G351" s="86" t="s">
        <v>199</v>
      </c>
      <c r="H351" s="432" t="s">
        <v>198</v>
      </c>
      <c r="I351" s="86" t="s">
        <v>784</v>
      </c>
      <c r="J351" s="343">
        <v>6.0599999427795401</v>
      </c>
      <c r="K351" s="351">
        <f t="shared" si="30"/>
        <v>200</v>
      </c>
      <c r="L351" s="352">
        <v>200</v>
      </c>
      <c r="M351" s="448" t="str">
        <f>IF(L351="nio","",VLOOKUP(L351,'3-Productie normen'!$B$31:$H$45,3,FALSE))</f>
        <v>5 x per week (40 weken)</v>
      </c>
      <c r="N351" s="353" t="e">
        <f t="shared" si="31"/>
        <v>#DIV/0!</v>
      </c>
      <c r="O351" s="354">
        <f>IF(L351="nio",0,IF(L351&gt;0,VLOOKUP(H351,'3-Productie normen'!A:P,VLOOKUP(L351,'3-Productie normen'!$B$31:$C$45,2,FALSE),FALSE)))/VLOOKUP(B351,'2-Kosten per locatie'!$A$13:$D$36,4,FALSE)</f>
        <v>0</v>
      </c>
      <c r="P351" s="82" t="str">
        <f>VLOOKUP(H351,'3-Productie normen'!A:T,20,FALSE)</f>
        <v>V</v>
      </c>
      <c r="Q351" s="447" t="s">
        <v>946</v>
      </c>
      <c r="S351" s="356">
        <f t="shared" si="32"/>
        <v>1211.999988555908</v>
      </c>
    </row>
    <row r="352" spans="1:19" ht="14.1" customHeight="1">
      <c r="A352" s="72">
        <f t="shared" si="29"/>
        <v>352</v>
      </c>
      <c r="B352" s="50" t="s">
        <v>807</v>
      </c>
      <c r="C352" s="50" t="s">
        <v>827</v>
      </c>
      <c r="D352" s="427" t="s">
        <v>1033</v>
      </c>
      <c r="E352" s="426" t="s">
        <v>196</v>
      </c>
      <c r="F352" s="349" t="s">
        <v>221</v>
      </c>
      <c r="G352" s="86" t="s">
        <v>326</v>
      </c>
      <c r="H352" s="432" t="s">
        <v>198</v>
      </c>
      <c r="I352" s="86" t="s">
        <v>790</v>
      </c>
      <c r="J352" s="343">
        <v>17.209999084472699</v>
      </c>
      <c r="K352" s="351">
        <f t="shared" si="30"/>
        <v>200</v>
      </c>
      <c r="L352" s="352">
        <v>200</v>
      </c>
      <c r="M352" s="448" t="str">
        <f>IF(L352="nio","",VLOOKUP(L352,'3-Productie normen'!$B$31:$H$45,3,FALSE))</f>
        <v>5 x per week (40 weken)</v>
      </c>
      <c r="N352" s="353" t="e">
        <f t="shared" si="31"/>
        <v>#DIV/0!</v>
      </c>
      <c r="O352" s="354">
        <f>IF(L352="nio",0,IF(L352&gt;0,VLOOKUP(H352,'3-Productie normen'!A:P,VLOOKUP(L352,'3-Productie normen'!$B$31:$C$45,2,FALSE),FALSE)))/VLOOKUP(B352,'2-Kosten per locatie'!$A$13:$D$36,4,FALSE)</f>
        <v>0</v>
      </c>
      <c r="P352" s="82" t="str">
        <f>VLOOKUP(H352,'3-Productie normen'!A:T,20,FALSE)</f>
        <v>V</v>
      </c>
      <c r="Q352" s="447" t="s">
        <v>949</v>
      </c>
      <c r="S352" s="356">
        <f t="shared" si="32"/>
        <v>3441.9998168945399</v>
      </c>
    </row>
    <row r="353" spans="1:19" ht="14.1" customHeight="1">
      <c r="A353" s="72">
        <f t="shared" si="29"/>
        <v>353</v>
      </c>
      <c r="B353" s="50" t="s">
        <v>807</v>
      </c>
      <c r="C353" s="50" t="s">
        <v>827</v>
      </c>
      <c r="D353" s="427" t="s">
        <v>1033</v>
      </c>
      <c r="E353" s="426" t="s">
        <v>196</v>
      </c>
      <c r="F353" s="349" t="s">
        <v>221</v>
      </c>
      <c r="G353" s="86" t="s">
        <v>326</v>
      </c>
      <c r="H353" s="432" t="s">
        <v>198</v>
      </c>
      <c r="I353" s="86" t="s">
        <v>780</v>
      </c>
      <c r="J353" s="343">
        <v>39.64</v>
      </c>
      <c r="K353" s="351">
        <f t="shared" si="30"/>
        <v>200</v>
      </c>
      <c r="L353" s="352">
        <v>200</v>
      </c>
      <c r="M353" s="448" t="str">
        <f>IF(L353="nio","",VLOOKUP(L353,'3-Productie normen'!$B$31:$H$45,3,FALSE))</f>
        <v>5 x per week (40 weken)</v>
      </c>
      <c r="N353" s="353" t="e">
        <f t="shared" si="31"/>
        <v>#DIV/0!</v>
      </c>
      <c r="O353" s="354">
        <f>IF(L353="nio",0,IF(L353&gt;0,VLOOKUP(H353,'3-Productie normen'!A:P,VLOOKUP(L353,'3-Productie normen'!$B$31:$C$45,2,FALSE),FALSE)))/VLOOKUP(B353,'2-Kosten per locatie'!$A$13:$D$36,4,FALSE)</f>
        <v>0</v>
      </c>
      <c r="P353" s="82" t="str">
        <f>VLOOKUP(H353,'3-Productie normen'!A:T,20,FALSE)</f>
        <v>V</v>
      </c>
      <c r="Q353" s="447" t="s">
        <v>792</v>
      </c>
      <c r="S353" s="356">
        <f t="shared" si="32"/>
        <v>7928</v>
      </c>
    </row>
    <row r="354" spans="1:19" ht="14.1" customHeight="1">
      <c r="A354" s="72">
        <f t="shared" si="29"/>
        <v>354</v>
      </c>
      <c r="B354" s="50" t="s">
        <v>807</v>
      </c>
      <c r="C354" s="50" t="s">
        <v>827</v>
      </c>
      <c r="D354" s="427" t="s">
        <v>1033</v>
      </c>
      <c r="E354" s="426" t="s">
        <v>196</v>
      </c>
      <c r="F354" s="349" t="s">
        <v>400</v>
      </c>
      <c r="G354" s="86" t="s">
        <v>246</v>
      </c>
      <c r="H354" s="81" t="s">
        <v>1039</v>
      </c>
      <c r="I354" s="86" t="s">
        <v>780</v>
      </c>
      <c r="J354" s="343">
        <v>70.64</v>
      </c>
      <c r="K354" s="351">
        <f t="shared" si="30"/>
        <v>200</v>
      </c>
      <c r="L354" s="352">
        <v>200</v>
      </c>
      <c r="M354" s="448" t="str">
        <f>IF(L354="nio","",VLOOKUP(L354,'3-Productie normen'!$B$31:$H$45,3,FALSE))</f>
        <v>5 x per week (40 weken)</v>
      </c>
      <c r="N354" s="353" t="e">
        <f t="shared" si="31"/>
        <v>#DIV/0!</v>
      </c>
      <c r="O354" s="354">
        <f>IF(L354="nio",0,IF(L354&gt;0,VLOOKUP(H354,'3-Productie normen'!A:P,VLOOKUP(L354,'3-Productie normen'!$B$31:$C$45,2,FALSE),FALSE)))/VLOOKUP(B354,'2-Kosten per locatie'!$A$13:$D$36,4,FALSE)</f>
        <v>0</v>
      </c>
      <c r="P354" s="82" t="str">
        <f>VLOOKUP(H354,'3-Productie normen'!A:T,20,FALSE)</f>
        <v>V</v>
      </c>
      <c r="Q354" s="447" t="s">
        <v>792</v>
      </c>
      <c r="S354" s="356">
        <f t="shared" si="32"/>
        <v>14128</v>
      </c>
    </row>
    <row r="355" spans="1:19" ht="14.1" customHeight="1">
      <c r="A355" s="72">
        <f t="shared" si="29"/>
        <v>355</v>
      </c>
      <c r="B355" s="50" t="s">
        <v>807</v>
      </c>
      <c r="C355" s="50" t="s">
        <v>827</v>
      </c>
      <c r="D355" s="427" t="s">
        <v>1033</v>
      </c>
      <c r="E355" s="426" t="s">
        <v>196</v>
      </c>
      <c r="F355" s="349" t="s">
        <v>586</v>
      </c>
      <c r="G355" s="86" t="s">
        <v>246</v>
      </c>
      <c r="H355" s="81" t="s">
        <v>1039</v>
      </c>
      <c r="I355" s="86" t="s">
        <v>780</v>
      </c>
      <c r="J355" s="343">
        <v>84.96</v>
      </c>
      <c r="K355" s="351">
        <f t="shared" si="30"/>
        <v>200</v>
      </c>
      <c r="L355" s="352">
        <v>200</v>
      </c>
      <c r="M355" s="448" t="str">
        <f>IF(L355="nio","",VLOOKUP(L355,'3-Productie normen'!$B$31:$H$45,3,FALSE))</f>
        <v>5 x per week (40 weken)</v>
      </c>
      <c r="N355" s="353" t="e">
        <f t="shared" si="31"/>
        <v>#DIV/0!</v>
      </c>
      <c r="O355" s="354">
        <f>IF(L355="nio",0,IF(L355&gt;0,VLOOKUP(H355,'3-Productie normen'!A:P,VLOOKUP(L355,'3-Productie normen'!$B$31:$C$45,2,FALSE),FALSE)))/VLOOKUP(B355,'2-Kosten per locatie'!$A$13:$D$36,4,FALSE)</f>
        <v>0</v>
      </c>
      <c r="P355" s="82" t="str">
        <f>VLOOKUP(H355,'3-Productie normen'!A:T,20,FALSE)</f>
        <v>V</v>
      </c>
      <c r="Q355" s="447" t="s">
        <v>792</v>
      </c>
      <c r="S355" s="356">
        <f t="shared" si="32"/>
        <v>16992</v>
      </c>
    </row>
    <row r="356" spans="1:19" ht="14.1" customHeight="1">
      <c r="A356" s="72">
        <f t="shared" si="29"/>
        <v>356</v>
      </c>
      <c r="B356" s="50" t="s">
        <v>807</v>
      </c>
      <c r="C356" s="50" t="s">
        <v>827</v>
      </c>
      <c r="D356" s="427" t="s">
        <v>1033</v>
      </c>
      <c r="E356" s="426" t="s">
        <v>196</v>
      </c>
      <c r="F356" s="349" t="s">
        <v>588</v>
      </c>
      <c r="G356" s="86" t="s">
        <v>248</v>
      </c>
      <c r="H356" s="63" t="s">
        <v>1040</v>
      </c>
      <c r="I356" s="86" t="s">
        <v>780</v>
      </c>
      <c r="J356" s="343">
        <v>5.9400000572204599</v>
      </c>
      <c r="K356" s="351">
        <f t="shared" si="30"/>
        <v>12</v>
      </c>
      <c r="L356" s="352">
        <v>12</v>
      </c>
      <c r="M356" s="448" t="str">
        <f>IF(L356="nio","",VLOOKUP(L356,'3-Productie normen'!$B$31:$H$45,3,FALSE))</f>
        <v>1 x per maand</v>
      </c>
      <c r="N356" s="353" t="e">
        <f t="shared" si="31"/>
        <v>#DIV/0!</v>
      </c>
      <c r="O356" s="354">
        <f>IF(L356="nio",0,IF(L356&gt;0,VLOOKUP(H356,'3-Productie normen'!A:P,VLOOKUP(L356,'3-Productie normen'!$B$31:$C$45,2,FALSE),FALSE)))/VLOOKUP(B356,'2-Kosten per locatie'!$A$13:$D$36,4,FALSE)</f>
        <v>0</v>
      </c>
      <c r="P356" s="82" t="str">
        <f>VLOOKUP(H356,'3-Productie normen'!A:T,20,FALSE)</f>
        <v>V</v>
      </c>
      <c r="Q356" s="447" t="s">
        <v>792</v>
      </c>
      <c r="S356" s="356">
        <f t="shared" si="32"/>
        <v>71.280000686645522</v>
      </c>
    </row>
    <row r="357" spans="1:19" ht="14.1" customHeight="1">
      <c r="A357" s="72">
        <f t="shared" si="29"/>
        <v>357</v>
      </c>
      <c r="B357" s="50" t="s">
        <v>807</v>
      </c>
      <c r="C357" s="50" t="s">
        <v>827</v>
      </c>
      <c r="D357" s="427" t="s">
        <v>1033</v>
      </c>
      <c r="E357" s="426" t="s">
        <v>196</v>
      </c>
      <c r="F357" s="349" t="s">
        <v>589</v>
      </c>
      <c r="G357" s="86" t="s">
        <v>248</v>
      </c>
      <c r="H357" s="63" t="s">
        <v>1040</v>
      </c>
      <c r="I357" s="86" t="s">
        <v>780</v>
      </c>
      <c r="J357" s="343">
        <v>5.9400000572204599</v>
      </c>
      <c r="K357" s="351">
        <f t="shared" si="30"/>
        <v>12</v>
      </c>
      <c r="L357" s="352">
        <v>12</v>
      </c>
      <c r="M357" s="448" t="str">
        <f>IF(L357="nio","",VLOOKUP(L357,'3-Productie normen'!$B$31:$H$45,3,FALSE))</f>
        <v>1 x per maand</v>
      </c>
      <c r="N357" s="353" t="e">
        <f t="shared" si="31"/>
        <v>#DIV/0!</v>
      </c>
      <c r="O357" s="354">
        <f>IF(L357="nio",0,IF(L357&gt;0,VLOOKUP(H357,'3-Productie normen'!A:P,VLOOKUP(L357,'3-Productie normen'!$B$31:$C$45,2,FALSE),FALSE)))/VLOOKUP(B357,'2-Kosten per locatie'!$A$13:$D$36,4,FALSE)</f>
        <v>0</v>
      </c>
      <c r="P357" s="82" t="str">
        <f>VLOOKUP(H357,'3-Productie normen'!A:T,20,FALSE)</f>
        <v>V</v>
      </c>
      <c r="Q357" s="447" t="s">
        <v>792</v>
      </c>
      <c r="S357" s="356">
        <f t="shared" si="32"/>
        <v>71.280000686645522</v>
      </c>
    </row>
    <row r="358" spans="1:19" ht="14.1" customHeight="1">
      <c r="A358" s="72">
        <f t="shared" si="29"/>
        <v>358</v>
      </c>
      <c r="B358" s="50" t="s">
        <v>807</v>
      </c>
      <c r="C358" s="50" t="s">
        <v>827</v>
      </c>
      <c r="D358" s="427" t="s">
        <v>1033</v>
      </c>
      <c r="E358" s="426" t="s">
        <v>196</v>
      </c>
      <c r="F358" s="349" t="s">
        <v>590</v>
      </c>
      <c r="G358" s="86" t="s">
        <v>248</v>
      </c>
      <c r="H358" s="63" t="s">
        <v>1040</v>
      </c>
      <c r="I358" s="86" t="s">
        <v>780</v>
      </c>
      <c r="J358" s="343">
        <v>13.42</v>
      </c>
      <c r="K358" s="351">
        <f t="shared" si="30"/>
        <v>12</v>
      </c>
      <c r="L358" s="352">
        <v>12</v>
      </c>
      <c r="M358" s="448" t="str">
        <f>IF(L358="nio","",VLOOKUP(L358,'3-Productie normen'!$B$31:$H$45,3,FALSE))</f>
        <v>1 x per maand</v>
      </c>
      <c r="N358" s="353" t="e">
        <f t="shared" si="31"/>
        <v>#DIV/0!</v>
      </c>
      <c r="O358" s="354">
        <f>IF(L358="nio",0,IF(L358&gt;0,VLOOKUP(H358,'3-Productie normen'!A:P,VLOOKUP(L358,'3-Productie normen'!$B$31:$C$45,2,FALSE),FALSE)))/VLOOKUP(B358,'2-Kosten per locatie'!$A$13:$D$36,4,FALSE)</f>
        <v>0</v>
      </c>
      <c r="P358" s="82" t="str">
        <f>VLOOKUP(H358,'3-Productie normen'!A:T,20,FALSE)</f>
        <v>V</v>
      </c>
      <c r="Q358" s="447" t="s">
        <v>792</v>
      </c>
      <c r="S358" s="356">
        <f t="shared" si="32"/>
        <v>161.04</v>
      </c>
    </row>
    <row r="359" spans="1:19" ht="14.1" customHeight="1">
      <c r="A359" s="72">
        <f t="shared" si="29"/>
        <v>359</v>
      </c>
      <c r="B359" s="50" t="s">
        <v>807</v>
      </c>
      <c r="C359" s="50" t="s">
        <v>827</v>
      </c>
      <c r="D359" s="427" t="s">
        <v>1033</v>
      </c>
      <c r="E359" s="426" t="s">
        <v>196</v>
      </c>
      <c r="F359" s="349" t="s">
        <v>223</v>
      </c>
      <c r="G359" s="86" t="s">
        <v>199</v>
      </c>
      <c r="H359" s="432" t="s">
        <v>198</v>
      </c>
      <c r="I359" s="86" t="s">
        <v>784</v>
      </c>
      <c r="J359" s="343">
        <v>5.5799999237060502</v>
      </c>
      <c r="K359" s="351">
        <f t="shared" si="30"/>
        <v>200</v>
      </c>
      <c r="L359" s="352">
        <v>200</v>
      </c>
      <c r="M359" s="448" t="str">
        <f>IF(L359="nio","",VLOOKUP(L359,'3-Productie normen'!$B$31:$H$45,3,FALSE))</f>
        <v>5 x per week (40 weken)</v>
      </c>
      <c r="N359" s="353" t="e">
        <f t="shared" si="31"/>
        <v>#DIV/0!</v>
      </c>
      <c r="O359" s="354">
        <f>IF(L359="nio",0,IF(L359&gt;0,VLOOKUP(H359,'3-Productie normen'!A:P,VLOOKUP(L359,'3-Productie normen'!$B$31:$C$45,2,FALSE),FALSE)))/VLOOKUP(B359,'2-Kosten per locatie'!$A$13:$D$36,4,FALSE)</f>
        <v>0</v>
      </c>
      <c r="P359" s="82" t="str">
        <f>VLOOKUP(H359,'3-Productie normen'!A:T,20,FALSE)</f>
        <v>V</v>
      </c>
      <c r="Q359" s="447" t="s">
        <v>946</v>
      </c>
      <c r="S359" s="356">
        <f t="shared" si="32"/>
        <v>1115.99998474121</v>
      </c>
    </row>
    <row r="360" spans="1:19" ht="14.1" customHeight="1">
      <c r="A360" s="72">
        <f t="shared" si="29"/>
        <v>360</v>
      </c>
      <c r="B360" s="50" t="s">
        <v>807</v>
      </c>
      <c r="C360" s="50" t="s">
        <v>827</v>
      </c>
      <c r="D360" s="427" t="s">
        <v>1033</v>
      </c>
      <c r="E360" s="426" t="s">
        <v>196</v>
      </c>
      <c r="F360" s="349" t="s">
        <v>223</v>
      </c>
      <c r="G360" s="86" t="s">
        <v>199</v>
      </c>
      <c r="H360" s="432" t="s">
        <v>198</v>
      </c>
      <c r="I360" s="86" t="s">
        <v>780</v>
      </c>
      <c r="J360" s="343">
        <v>6.86</v>
      </c>
      <c r="K360" s="351">
        <f t="shared" si="30"/>
        <v>200</v>
      </c>
      <c r="L360" s="352">
        <v>200</v>
      </c>
      <c r="M360" s="448" t="str">
        <f>IF(L360="nio","",VLOOKUP(L360,'3-Productie normen'!$B$31:$H$45,3,FALSE))</f>
        <v>5 x per week (40 weken)</v>
      </c>
      <c r="N360" s="353" t="e">
        <f t="shared" si="31"/>
        <v>#DIV/0!</v>
      </c>
      <c r="O360" s="354">
        <f>IF(L360="nio",0,IF(L360&gt;0,VLOOKUP(H360,'3-Productie normen'!A:P,VLOOKUP(L360,'3-Productie normen'!$B$31:$C$45,2,FALSE),FALSE)))/VLOOKUP(B360,'2-Kosten per locatie'!$A$13:$D$36,4,FALSE)</f>
        <v>0</v>
      </c>
      <c r="P360" s="82" t="str">
        <f>VLOOKUP(H360,'3-Productie normen'!A:T,20,FALSE)</f>
        <v>V</v>
      </c>
      <c r="Q360" s="447" t="s">
        <v>792</v>
      </c>
      <c r="S360" s="356">
        <f t="shared" si="32"/>
        <v>1372</v>
      </c>
    </row>
    <row r="361" spans="1:19" ht="14.1" customHeight="1">
      <c r="A361" s="72">
        <f t="shared" si="29"/>
        <v>361</v>
      </c>
      <c r="B361" s="50" t="s">
        <v>807</v>
      </c>
      <c r="C361" s="50" t="s">
        <v>827</v>
      </c>
      <c r="D361" s="427" t="s">
        <v>1033</v>
      </c>
      <c r="E361" s="426" t="s">
        <v>196</v>
      </c>
      <c r="F361" s="349" t="s">
        <v>224</v>
      </c>
      <c r="G361" s="86" t="s">
        <v>209</v>
      </c>
      <c r="H361" s="63" t="s">
        <v>1040</v>
      </c>
      <c r="I361" s="86" t="s">
        <v>92</v>
      </c>
      <c r="J361" s="343">
        <v>2.0499999999999998</v>
      </c>
      <c r="K361" s="351">
        <f t="shared" si="30"/>
        <v>12</v>
      </c>
      <c r="L361" s="352">
        <v>12</v>
      </c>
      <c r="M361" s="448" t="str">
        <f>IF(L361="nio","",VLOOKUP(L361,'3-Productie normen'!$B$31:$H$45,3,FALSE))</f>
        <v>1 x per maand</v>
      </c>
      <c r="N361" s="353" t="e">
        <f t="shared" si="31"/>
        <v>#DIV/0!</v>
      </c>
      <c r="O361" s="354">
        <f>IF(L361="nio",0,IF(L361&gt;0,VLOOKUP(H361,'3-Productie normen'!A:P,VLOOKUP(L361,'3-Productie normen'!$B$31:$C$45,2,FALSE),FALSE)))/VLOOKUP(B361,'2-Kosten per locatie'!$A$13:$D$36,4,FALSE)</f>
        <v>0</v>
      </c>
      <c r="P361" s="82" t="str">
        <f>VLOOKUP(H361,'3-Productie normen'!A:T,20,FALSE)</f>
        <v>V</v>
      </c>
      <c r="Q361" s="447" t="s">
        <v>792</v>
      </c>
      <c r="S361" s="356">
        <f t="shared" si="32"/>
        <v>24.599999999999998</v>
      </c>
    </row>
    <row r="362" spans="1:19" ht="14.1" customHeight="1">
      <c r="A362" s="72">
        <f t="shared" si="29"/>
        <v>362</v>
      </c>
      <c r="B362" s="50" t="s">
        <v>807</v>
      </c>
      <c r="C362" s="50" t="s">
        <v>827</v>
      </c>
      <c r="D362" s="427" t="s">
        <v>1033</v>
      </c>
      <c r="E362" s="426" t="s">
        <v>196</v>
      </c>
      <c r="F362" s="349" t="s">
        <v>225</v>
      </c>
      <c r="G362" s="86" t="s">
        <v>212</v>
      </c>
      <c r="H362" s="65" t="s">
        <v>1053</v>
      </c>
      <c r="I362" s="86" t="s">
        <v>92</v>
      </c>
      <c r="J362" s="343">
        <v>5.41</v>
      </c>
      <c r="K362" s="351" t="str">
        <f t="shared" si="30"/>
        <v>nio</v>
      </c>
      <c r="L362" s="352" t="s">
        <v>804</v>
      </c>
      <c r="M362" s="448" t="str">
        <f>IF(L362="nio","",VLOOKUP(L362,'3-Productie normen'!$B$31:$H$45,3,FALSE))</f>
        <v/>
      </c>
      <c r="N362" s="353">
        <f t="shared" ref="N362:N425" si="33">IF(L362="nio",0,IF(L362&gt;0,L362*J362/O362,0))</f>
        <v>0</v>
      </c>
      <c r="O362" s="354">
        <f>IF(L362="nio",0,IF(L362&gt;0,VLOOKUP(H362,'3-Productie normen'!A:P,VLOOKUP(L362,'3-Productie normen'!$B$31:$C$45,2,FALSE),FALSE)))/VLOOKUP(B362,'2-Kosten per locatie'!$A$13:$D$36,4,FALSE)</f>
        <v>0</v>
      </c>
      <c r="P362" s="82">
        <f>VLOOKUP(H362,'3-Productie normen'!A:T,20,FALSE)</f>
        <v>0</v>
      </c>
      <c r="Q362" s="447" t="s">
        <v>792</v>
      </c>
      <c r="S362" s="356">
        <f t="shared" ref="S362:S425" si="34">IF(L362="nio",0,K362*J362)</f>
        <v>0</v>
      </c>
    </row>
    <row r="363" spans="1:19" ht="14.1" customHeight="1">
      <c r="A363" s="72">
        <f t="shared" si="29"/>
        <v>363</v>
      </c>
      <c r="B363" s="50" t="s">
        <v>807</v>
      </c>
      <c r="C363" s="50" t="s">
        <v>827</v>
      </c>
      <c r="D363" s="427" t="s">
        <v>1033</v>
      </c>
      <c r="E363" s="426" t="s">
        <v>196</v>
      </c>
      <c r="F363" s="349" t="s">
        <v>227</v>
      </c>
      <c r="G363" s="86" t="s">
        <v>226</v>
      </c>
      <c r="H363" s="86" t="s">
        <v>16</v>
      </c>
      <c r="I363" s="86" t="s">
        <v>781</v>
      </c>
      <c r="J363" s="343">
        <v>8.08</v>
      </c>
      <c r="K363" s="351">
        <f t="shared" ref="K363:K426" si="35">L363</f>
        <v>201</v>
      </c>
      <c r="L363" s="352">
        <v>201</v>
      </c>
      <c r="M363" s="448" t="str">
        <f>IF(L363="nio","",VLOOKUP(L363,'3-Productie normen'!$B$31:$H$45,3,FALSE))</f>
        <v>5 x per week (40 weken + 1 Zomer refreshbeurt)</v>
      </c>
      <c r="N363" s="353" t="e">
        <f t="shared" si="33"/>
        <v>#DIV/0!</v>
      </c>
      <c r="O363" s="354">
        <f>IF(L363="nio",0,IF(L363&gt;0,VLOOKUP(H363,'3-Productie normen'!A:P,VLOOKUP(L363,'3-Productie normen'!$B$31:$C$45,2,FALSE),FALSE)))/VLOOKUP(B363,'2-Kosten per locatie'!$A$13:$D$36,4,FALSE)</f>
        <v>0</v>
      </c>
      <c r="P363" s="82" t="str">
        <f>VLOOKUP(H363,'3-Productie normen'!A:T,20,FALSE)</f>
        <v>S</v>
      </c>
      <c r="Q363" s="447" t="s">
        <v>894</v>
      </c>
      <c r="S363" s="356">
        <f t="shared" si="34"/>
        <v>1624.08</v>
      </c>
    </row>
    <row r="364" spans="1:19" ht="14.1" customHeight="1">
      <c r="A364" s="72">
        <f t="shared" si="29"/>
        <v>364</v>
      </c>
      <c r="B364" s="50" t="s">
        <v>807</v>
      </c>
      <c r="C364" s="50" t="s">
        <v>827</v>
      </c>
      <c r="D364" s="427" t="s">
        <v>1033</v>
      </c>
      <c r="E364" s="426" t="s">
        <v>196</v>
      </c>
      <c r="F364" s="349" t="s">
        <v>228</v>
      </c>
      <c r="G364" s="86" t="s">
        <v>242</v>
      </c>
      <c r="H364" s="86" t="s">
        <v>241</v>
      </c>
      <c r="I364" s="86" t="s">
        <v>780</v>
      </c>
      <c r="J364" s="343">
        <v>49.81</v>
      </c>
      <c r="K364" s="351">
        <f t="shared" si="35"/>
        <v>201</v>
      </c>
      <c r="L364" s="352">
        <v>201</v>
      </c>
      <c r="M364" s="448" t="str">
        <f>IF(L364="nio","",VLOOKUP(L364,'3-Productie normen'!$B$31:$H$45,3,FALSE))</f>
        <v>5 x per week (40 weken + 1 Zomer refreshbeurt)</v>
      </c>
      <c r="N364" s="353" t="e">
        <f t="shared" si="33"/>
        <v>#DIV/0!</v>
      </c>
      <c r="O364" s="354">
        <f>IF(L364="nio",0,IF(L364&gt;0,VLOOKUP(H364,'3-Productie normen'!A:P,VLOOKUP(L364,'3-Productie normen'!$B$31:$C$45,2,FALSE),FALSE)))/VLOOKUP(B364,'2-Kosten per locatie'!$A$13:$D$36,4,FALSE)</f>
        <v>0</v>
      </c>
      <c r="P364" s="82" t="str">
        <f>VLOOKUP(H364,'3-Productie normen'!A:T,20,FALSE)</f>
        <v>L</v>
      </c>
      <c r="Q364" s="447" t="s">
        <v>874</v>
      </c>
      <c r="S364" s="356">
        <f t="shared" si="34"/>
        <v>10011.810000000001</v>
      </c>
    </row>
    <row r="365" spans="1:19" ht="14.1" customHeight="1">
      <c r="A365" s="72">
        <f t="shared" si="29"/>
        <v>365</v>
      </c>
      <c r="B365" s="50" t="s">
        <v>807</v>
      </c>
      <c r="C365" s="50" t="s">
        <v>827</v>
      </c>
      <c r="D365" s="427" t="s">
        <v>1033</v>
      </c>
      <c r="E365" s="426" t="s">
        <v>196</v>
      </c>
      <c r="F365" s="349" t="s">
        <v>230</v>
      </c>
      <c r="G365" s="86" t="s">
        <v>242</v>
      </c>
      <c r="H365" s="86" t="s">
        <v>241</v>
      </c>
      <c r="I365" s="86" t="s">
        <v>780</v>
      </c>
      <c r="J365" s="343">
        <v>52.59</v>
      </c>
      <c r="K365" s="351">
        <f t="shared" si="35"/>
        <v>201</v>
      </c>
      <c r="L365" s="352">
        <v>201</v>
      </c>
      <c r="M365" s="448" t="str">
        <f>IF(L365="nio","",VLOOKUP(L365,'3-Productie normen'!$B$31:$H$45,3,FALSE))</f>
        <v>5 x per week (40 weken + 1 Zomer refreshbeurt)</v>
      </c>
      <c r="N365" s="353" t="e">
        <f t="shared" si="33"/>
        <v>#DIV/0!</v>
      </c>
      <c r="O365" s="354">
        <f>IF(L365="nio",0,IF(L365&gt;0,VLOOKUP(H365,'3-Productie normen'!A:P,VLOOKUP(L365,'3-Productie normen'!$B$31:$C$45,2,FALSE),FALSE)))/VLOOKUP(B365,'2-Kosten per locatie'!$A$13:$D$36,4,FALSE)</f>
        <v>0</v>
      </c>
      <c r="P365" s="82" t="str">
        <f>VLOOKUP(H365,'3-Productie normen'!A:T,20,FALSE)</f>
        <v>L</v>
      </c>
      <c r="Q365" s="447" t="s">
        <v>874</v>
      </c>
      <c r="S365" s="356">
        <f t="shared" si="34"/>
        <v>10570.59</v>
      </c>
    </row>
    <row r="366" spans="1:19" ht="14.1" customHeight="1">
      <c r="A366" s="72">
        <f t="shared" si="29"/>
        <v>366</v>
      </c>
      <c r="B366" s="50" t="s">
        <v>807</v>
      </c>
      <c r="C366" s="50" t="s">
        <v>827</v>
      </c>
      <c r="D366" s="427" t="s">
        <v>1033</v>
      </c>
      <c r="E366" s="426" t="s">
        <v>196</v>
      </c>
      <c r="F366" s="349" t="s">
        <v>233</v>
      </c>
      <c r="G366" s="86" t="s">
        <v>242</v>
      </c>
      <c r="H366" s="86" t="s">
        <v>241</v>
      </c>
      <c r="I366" s="86" t="s">
        <v>780</v>
      </c>
      <c r="J366" s="343">
        <v>51.13</v>
      </c>
      <c r="K366" s="351">
        <f t="shared" si="35"/>
        <v>201</v>
      </c>
      <c r="L366" s="352">
        <v>201</v>
      </c>
      <c r="M366" s="448" t="str">
        <f>IF(L366="nio","",VLOOKUP(L366,'3-Productie normen'!$B$31:$H$45,3,FALSE))</f>
        <v>5 x per week (40 weken + 1 Zomer refreshbeurt)</v>
      </c>
      <c r="N366" s="353" t="e">
        <f t="shared" si="33"/>
        <v>#DIV/0!</v>
      </c>
      <c r="O366" s="354">
        <f>IF(L366="nio",0,IF(L366&gt;0,VLOOKUP(H366,'3-Productie normen'!A:P,VLOOKUP(L366,'3-Productie normen'!$B$31:$C$45,2,FALSE),FALSE)))/VLOOKUP(B366,'2-Kosten per locatie'!$A$13:$D$36,4,FALSE)</f>
        <v>0</v>
      </c>
      <c r="P366" s="82" t="str">
        <f>VLOOKUP(H366,'3-Productie normen'!A:T,20,FALSE)</f>
        <v>L</v>
      </c>
      <c r="Q366" s="447" t="s">
        <v>874</v>
      </c>
      <c r="S366" s="356">
        <f t="shared" si="34"/>
        <v>10277.130000000001</v>
      </c>
    </row>
    <row r="367" spans="1:19" ht="14.1" customHeight="1">
      <c r="A367" s="72">
        <f t="shared" si="29"/>
        <v>367</v>
      </c>
      <c r="B367" s="50" t="s">
        <v>807</v>
      </c>
      <c r="C367" s="50" t="s">
        <v>827</v>
      </c>
      <c r="D367" s="427" t="s">
        <v>1033</v>
      </c>
      <c r="E367" s="426" t="s">
        <v>196</v>
      </c>
      <c r="F367" s="349" t="s">
        <v>234</v>
      </c>
      <c r="G367" s="86" t="s">
        <v>226</v>
      </c>
      <c r="H367" s="86" t="s">
        <v>16</v>
      </c>
      <c r="I367" s="86" t="s">
        <v>781</v>
      </c>
      <c r="J367" s="343">
        <v>5.62</v>
      </c>
      <c r="K367" s="351">
        <f t="shared" si="35"/>
        <v>201</v>
      </c>
      <c r="L367" s="352">
        <v>201</v>
      </c>
      <c r="M367" s="448" t="str">
        <f>IF(L367="nio","",VLOOKUP(L367,'3-Productie normen'!$B$31:$H$45,3,FALSE))</f>
        <v>5 x per week (40 weken + 1 Zomer refreshbeurt)</v>
      </c>
      <c r="N367" s="353" t="e">
        <f t="shared" si="33"/>
        <v>#DIV/0!</v>
      </c>
      <c r="O367" s="354">
        <f>IF(L367="nio",0,IF(L367&gt;0,VLOOKUP(H367,'3-Productie normen'!A:P,VLOOKUP(L367,'3-Productie normen'!$B$31:$C$45,2,FALSE),FALSE)))/VLOOKUP(B367,'2-Kosten per locatie'!$A$13:$D$36,4,FALSE)</f>
        <v>0</v>
      </c>
      <c r="P367" s="82" t="str">
        <f>VLOOKUP(H367,'3-Productie normen'!A:T,20,FALSE)</f>
        <v>S</v>
      </c>
      <c r="Q367" s="447" t="s">
        <v>855</v>
      </c>
      <c r="S367" s="356">
        <f t="shared" si="34"/>
        <v>1129.6200000000001</v>
      </c>
    </row>
    <row r="368" spans="1:19" ht="14.1" customHeight="1">
      <c r="A368" s="72">
        <f t="shared" si="29"/>
        <v>368</v>
      </c>
      <c r="B368" s="50" t="s">
        <v>807</v>
      </c>
      <c r="C368" s="50" t="s">
        <v>827</v>
      </c>
      <c r="D368" s="427" t="s">
        <v>1033</v>
      </c>
      <c r="E368" s="426" t="s">
        <v>196</v>
      </c>
      <c r="F368" s="349" t="s">
        <v>236</v>
      </c>
      <c r="G368" s="86" t="s">
        <v>206</v>
      </c>
      <c r="H368" s="65" t="s">
        <v>1053</v>
      </c>
      <c r="I368" s="86" t="s">
        <v>92</v>
      </c>
      <c r="J368" s="343">
        <v>1.0599999427795399</v>
      </c>
      <c r="K368" s="351" t="str">
        <f t="shared" si="35"/>
        <v>nio</v>
      </c>
      <c r="L368" s="352" t="s">
        <v>804</v>
      </c>
      <c r="M368" s="448" t="str">
        <f>IF(L368="nio","",VLOOKUP(L368,'3-Productie normen'!$B$31:$H$45,3,FALSE))</f>
        <v/>
      </c>
      <c r="N368" s="353">
        <f t="shared" si="33"/>
        <v>0</v>
      </c>
      <c r="O368" s="354">
        <f>IF(L368="nio",0,IF(L368&gt;0,VLOOKUP(H368,'3-Productie normen'!A:P,VLOOKUP(L368,'3-Productie normen'!$B$31:$C$45,2,FALSE),FALSE)))/VLOOKUP(B368,'2-Kosten per locatie'!$A$13:$D$36,4,FALSE)</f>
        <v>0</v>
      </c>
      <c r="P368" s="82">
        <f>VLOOKUP(H368,'3-Productie normen'!A:T,20,FALSE)</f>
        <v>0</v>
      </c>
      <c r="Q368" s="447" t="s">
        <v>950</v>
      </c>
      <c r="S368" s="356">
        <f t="shared" si="34"/>
        <v>0</v>
      </c>
    </row>
    <row r="369" spans="1:19" ht="14.1" customHeight="1">
      <c r="A369" s="72">
        <f t="shared" si="29"/>
        <v>369</v>
      </c>
      <c r="B369" s="50" t="s">
        <v>807</v>
      </c>
      <c r="C369" s="50" t="s">
        <v>827</v>
      </c>
      <c r="D369" s="427" t="s">
        <v>1033</v>
      </c>
      <c r="E369" s="426" t="s">
        <v>196</v>
      </c>
      <c r="F369" s="349" t="s">
        <v>237</v>
      </c>
      <c r="G369" s="86" t="s">
        <v>206</v>
      </c>
      <c r="H369" s="65" t="s">
        <v>1053</v>
      </c>
      <c r="I369" s="86" t="s">
        <v>92</v>
      </c>
      <c r="J369" s="343">
        <v>1.0599999427795399</v>
      </c>
      <c r="K369" s="351" t="str">
        <f t="shared" si="35"/>
        <v>nio</v>
      </c>
      <c r="L369" s="352" t="s">
        <v>804</v>
      </c>
      <c r="M369" s="448" t="str">
        <f>IF(L369="nio","",VLOOKUP(L369,'3-Productie normen'!$B$31:$H$45,3,FALSE))</f>
        <v/>
      </c>
      <c r="N369" s="353">
        <f t="shared" si="33"/>
        <v>0</v>
      </c>
      <c r="O369" s="354">
        <f>IF(L369="nio",0,IF(L369&gt;0,VLOOKUP(H369,'3-Productie normen'!A:P,VLOOKUP(L369,'3-Productie normen'!$B$31:$C$45,2,FALSE),FALSE)))/VLOOKUP(B369,'2-Kosten per locatie'!$A$13:$D$36,4,FALSE)</f>
        <v>0</v>
      </c>
      <c r="P369" s="82">
        <f>VLOOKUP(H369,'3-Productie normen'!A:T,20,FALSE)</f>
        <v>0</v>
      </c>
      <c r="Q369" s="447" t="s">
        <v>848</v>
      </c>
      <c r="S369" s="356">
        <f t="shared" si="34"/>
        <v>0</v>
      </c>
    </row>
    <row r="370" spans="1:19" ht="14.1" customHeight="1">
      <c r="A370" s="72">
        <f t="shared" si="29"/>
        <v>370</v>
      </c>
      <c r="B370" s="50" t="s">
        <v>807</v>
      </c>
      <c r="C370" s="50" t="s">
        <v>827</v>
      </c>
      <c r="D370" s="427" t="s">
        <v>1033</v>
      </c>
      <c r="E370" s="426" t="s">
        <v>275</v>
      </c>
      <c r="F370" s="349" t="s">
        <v>276</v>
      </c>
      <c r="G370" s="86" t="s">
        <v>201</v>
      </c>
      <c r="H370" s="432" t="s">
        <v>198</v>
      </c>
      <c r="I370" s="86" t="s">
        <v>780</v>
      </c>
      <c r="J370" s="343">
        <v>12.15</v>
      </c>
      <c r="K370" s="351">
        <f t="shared" si="35"/>
        <v>200</v>
      </c>
      <c r="L370" s="352">
        <v>200</v>
      </c>
      <c r="M370" s="448" t="str">
        <f>IF(L370="nio","",VLOOKUP(L370,'3-Productie normen'!$B$31:$H$45,3,FALSE))</f>
        <v>5 x per week (40 weken)</v>
      </c>
      <c r="N370" s="353" t="e">
        <f t="shared" si="33"/>
        <v>#DIV/0!</v>
      </c>
      <c r="O370" s="354">
        <f>IF(L370="nio",0,IF(L370&gt;0,VLOOKUP(H370,'3-Productie normen'!A:P,VLOOKUP(L370,'3-Productie normen'!$B$31:$C$45,2,FALSE),FALSE)))/VLOOKUP(B370,'2-Kosten per locatie'!$A$13:$D$36,4,FALSE)</f>
        <v>0</v>
      </c>
      <c r="P370" s="82" t="str">
        <f>VLOOKUP(H370,'3-Productie normen'!A:T,20,FALSE)</f>
        <v>V</v>
      </c>
      <c r="Q370" s="447" t="s">
        <v>792</v>
      </c>
      <c r="S370" s="356">
        <f t="shared" si="34"/>
        <v>2430</v>
      </c>
    </row>
    <row r="371" spans="1:19" ht="14.1" customHeight="1">
      <c r="A371" s="72">
        <f t="shared" si="29"/>
        <v>371</v>
      </c>
      <c r="B371" s="50" t="s">
        <v>807</v>
      </c>
      <c r="C371" s="50" t="s">
        <v>827</v>
      </c>
      <c r="D371" s="427" t="s">
        <v>1033</v>
      </c>
      <c r="E371" s="426" t="s">
        <v>196</v>
      </c>
      <c r="F371" s="349" t="s">
        <v>277</v>
      </c>
      <c r="G371" s="86" t="s">
        <v>232</v>
      </c>
      <c r="H371" s="430" t="s">
        <v>1046</v>
      </c>
      <c r="I371" s="86" t="s">
        <v>92</v>
      </c>
      <c r="J371" s="343">
        <v>8.5</v>
      </c>
      <c r="K371" s="351">
        <f t="shared" si="35"/>
        <v>200</v>
      </c>
      <c r="L371" s="352">
        <v>200</v>
      </c>
      <c r="M371" s="448" t="str">
        <f>IF(L371="nio","",VLOOKUP(L371,'3-Productie normen'!$B$31:$H$45,3,FALSE))</f>
        <v>5 x per week (40 weken)</v>
      </c>
      <c r="N371" s="353" t="e">
        <f t="shared" si="33"/>
        <v>#DIV/0!</v>
      </c>
      <c r="O371" s="354">
        <f>IF(L371="nio",0,IF(L371&gt;0,VLOOKUP(H371,'3-Productie normen'!A:P,VLOOKUP(L371,'3-Productie normen'!$B$31:$C$45,2,FALSE),FALSE)))/VLOOKUP(B371,'2-Kosten per locatie'!$A$13:$D$36,4,FALSE)</f>
        <v>0</v>
      </c>
      <c r="P371" s="82" t="str">
        <f>VLOOKUP(H371,'3-Productie normen'!A:T,20,FALSE)</f>
        <v>V</v>
      </c>
      <c r="Q371" s="447" t="s">
        <v>865</v>
      </c>
      <c r="S371" s="356">
        <f t="shared" si="34"/>
        <v>1700</v>
      </c>
    </row>
    <row r="372" spans="1:19" ht="14.1" customHeight="1">
      <c r="A372" s="72">
        <f t="shared" si="29"/>
        <v>372</v>
      </c>
      <c r="B372" s="50" t="s">
        <v>807</v>
      </c>
      <c r="C372" s="50" t="s">
        <v>827</v>
      </c>
      <c r="D372" s="427" t="s">
        <v>1033</v>
      </c>
      <c r="E372" s="426" t="s">
        <v>275</v>
      </c>
      <c r="F372" s="349" t="s">
        <v>278</v>
      </c>
      <c r="G372" s="86" t="s">
        <v>226</v>
      </c>
      <c r="H372" s="86" t="s">
        <v>16</v>
      </c>
      <c r="I372" s="86" t="s">
        <v>781</v>
      </c>
      <c r="J372" s="343">
        <v>8.1</v>
      </c>
      <c r="K372" s="351">
        <f t="shared" si="35"/>
        <v>201</v>
      </c>
      <c r="L372" s="352">
        <v>201</v>
      </c>
      <c r="M372" s="448" t="str">
        <f>IF(L372="nio","",VLOOKUP(L372,'3-Productie normen'!$B$31:$H$45,3,FALSE))</f>
        <v>5 x per week (40 weken + 1 Zomer refreshbeurt)</v>
      </c>
      <c r="N372" s="353" t="e">
        <f t="shared" si="33"/>
        <v>#DIV/0!</v>
      </c>
      <c r="O372" s="354">
        <f>IF(L372="nio",0,IF(L372&gt;0,VLOOKUP(H372,'3-Productie normen'!A:P,VLOOKUP(L372,'3-Productie normen'!$B$31:$C$45,2,FALSE),FALSE)))/VLOOKUP(B372,'2-Kosten per locatie'!$A$13:$D$36,4,FALSE)</f>
        <v>0</v>
      </c>
      <c r="P372" s="82" t="str">
        <f>VLOOKUP(H372,'3-Productie normen'!A:T,20,FALSE)</f>
        <v>S</v>
      </c>
      <c r="Q372" s="447" t="s">
        <v>894</v>
      </c>
      <c r="S372" s="356">
        <f t="shared" si="34"/>
        <v>1628.1</v>
      </c>
    </row>
    <row r="373" spans="1:19" ht="14.1" customHeight="1">
      <c r="A373" s="72">
        <f t="shared" si="29"/>
        <v>373</v>
      </c>
      <c r="B373" s="50" t="s">
        <v>807</v>
      </c>
      <c r="C373" s="50" t="s">
        <v>827</v>
      </c>
      <c r="D373" s="427" t="s">
        <v>1033</v>
      </c>
      <c r="E373" s="426" t="s">
        <v>275</v>
      </c>
      <c r="F373" s="349" t="s">
        <v>280</v>
      </c>
      <c r="G373" s="86" t="s">
        <v>365</v>
      </c>
      <c r="H373" s="432" t="s">
        <v>198</v>
      </c>
      <c r="I373" s="86" t="s">
        <v>780</v>
      </c>
      <c r="J373" s="343">
        <v>84.66</v>
      </c>
      <c r="K373" s="351">
        <f t="shared" si="35"/>
        <v>200</v>
      </c>
      <c r="L373" s="352">
        <v>200</v>
      </c>
      <c r="M373" s="448" t="str">
        <f>IF(L373="nio","",VLOOKUP(L373,'3-Productie normen'!$B$31:$H$45,3,FALSE))</f>
        <v>5 x per week (40 weken)</v>
      </c>
      <c r="N373" s="353" t="e">
        <f t="shared" si="33"/>
        <v>#DIV/0!</v>
      </c>
      <c r="O373" s="354">
        <f>IF(L373="nio",0,IF(L373&gt;0,VLOOKUP(H373,'3-Productie normen'!A:P,VLOOKUP(L373,'3-Productie normen'!$B$31:$C$45,2,FALSE),FALSE)))/VLOOKUP(B373,'2-Kosten per locatie'!$A$13:$D$36,4,FALSE)</f>
        <v>0</v>
      </c>
      <c r="P373" s="82" t="str">
        <f>VLOOKUP(H373,'3-Productie normen'!A:T,20,FALSE)</f>
        <v>V</v>
      </c>
      <c r="Q373" s="447" t="s">
        <v>792</v>
      </c>
      <c r="S373" s="356">
        <f t="shared" si="34"/>
        <v>16932</v>
      </c>
    </row>
    <row r="374" spans="1:19" ht="14.1" customHeight="1">
      <c r="A374" s="72">
        <f t="shared" si="29"/>
        <v>374</v>
      </c>
      <c r="B374" s="50" t="s">
        <v>807</v>
      </c>
      <c r="C374" s="50" t="s">
        <v>827</v>
      </c>
      <c r="D374" s="427" t="s">
        <v>1033</v>
      </c>
      <c r="E374" s="426" t="s">
        <v>275</v>
      </c>
      <c r="F374" s="349" t="s">
        <v>282</v>
      </c>
      <c r="G374" s="86" t="s">
        <v>298</v>
      </c>
      <c r="H374" s="86" t="s">
        <v>241</v>
      </c>
      <c r="I374" s="86" t="s">
        <v>780</v>
      </c>
      <c r="J374" s="343">
        <v>49.88</v>
      </c>
      <c r="K374" s="351">
        <f t="shared" si="35"/>
        <v>201</v>
      </c>
      <c r="L374" s="352">
        <v>201</v>
      </c>
      <c r="M374" s="448" t="str">
        <f>IF(L374="nio","",VLOOKUP(L374,'3-Productie normen'!$B$31:$H$45,3,FALSE))</f>
        <v>5 x per week (40 weken + 1 Zomer refreshbeurt)</v>
      </c>
      <c r="N374" s="353" t="e">
        <f t="shared" si="33"/>
        <v>#DIV/0!</v>
      </c>
      <c r="O374" s="354">
        <f>IF(L374="nio",0,IF(L374&gt;0,VLOOKUP(H374,'3-Productie normen'!A:P,VLOOKUP(L374,'3-Productie normen'!$B$31:$C$45,2,FALSE),FALSE)))/VLOOKUP(B374,'2-Kosten per locatie'!$A$13:$D$36,4,FALSE)</f>
        <v>0</v>
      </c>
      <c r="P374" s="82" t="str">
        <f>VLOOKUP(H374,'3-Productie normen'!A:T,20,FALSE)</f>
        <v>L</v>
      </c>
      <c r="Q374" s="447" t="s">
        <v>875</v>
      </c>
      <c r="S374" s="356">
        <f t="shared" si="34"/>
        <v>10025.880000000001</v>
      </c>
    </row>
    <row r="375" spans="1:19" ht="14.1" customHeight="1">
      <c r="A375" s="72">
        <f t="shared" si="29"/>
        <v>375</v>
      </c>
      <c r="B375" s="50" t="s">
        <v>807</v>
      </c>
      <c r="C375" s="50" t="s">
        <v>827</v>
      </c>
      <c r="D375" s="427" t="s">
        <v>1033</v>
      </c>
      <c r="E375" s="426" t="s">
        <v>275</v>
      </c>
      <c r="F375" s="349" t="s">
        <v>284</v>
      </c>
      <c r="G375" s="86" t="s">
        <v>298</v>
      </c>
      <c r="H375" s="86" t="s">
        <v>241</v>
      </c>
      <c r="I375" s="86" t="s">
        <v>780</v>
      </c>
      <c r="J375" s="343">
        <v>50.61</v>
      </c>
      <c r="K375" s="351">
        <f t="shared" si="35"/>
        <v>201</v>
      </c>
      <c r="L375" s="352">
        <v>201</v>
      </c>
      <c r="M375" s="448" t="str">
        <f>IF(L375="nio","",VLOOKUP(L375,'3-Productie normen'!$B$31:$H$45,3,FALSE))</f>
        <v>5 x per week (40 weken + 1 Zomer refreshbeurt)</v>
      </c>
      <c r="N375" s="353" t="e">
        <f t="shared" si="33"/>
        <v>#DIV/0!</v>
      </c>
      <c r="O375" s="354">
        <f>IF(L375="nio",0,IF(L375&gt;0,VLOOKUP(H375,'3-Productie normen'!A:P,VLOOKUP(L375,'3-Productie normen'!$B$31:$C$45,2,FALSE),FALSE)))/VLOOKUP(B375,'2-Kosten per locatie'!$A$13:$D$36,4,FALSE)</f>
        <v>0</v>
      </c>
      <c r="P375" s="82" t="str">
        <f>VLOOKUP(H375,'3-Productie normen'!A:T,20,FALSE)</f>
        <v>L</v>
      </c>
      <c r="Q375" s="447" t="s">
        <v>875</v>
      </c>
      <c r="S375" s="356">
        <f t="shared" si="34"/>
        <v>10172.61</v>
      </c>
    </row>
    <row r="376" spans="1:19" ht="14.1" customHeight="1">
      <c r="A376" s="72">
        <f t="shared" si="29"/>
        <v>376</v>
      </c>
      <c r="B376" s="50" t="s">
        <v>807</v>
      </c>
      <c r="C376" s="50" t="s">
        <v>827</v>
      </c>
      <c r="D376" s="427" t="s">
        <v>1033</v>
      </c>
      <c r="E376" s="426" t="s">
        <v>275</v>
      </c>
      <c r="F376" s="349" t="s">
        <v>285</v>
      </c>
      <c r="G376" s="86" t="s">
        <v>298</v>
      </c>
      <c r="H376" s="86" t="s">
        <v>241</v>
      </c>
      <c r="I376" s="86" t="s">
        <v>780</v>
      </c>
      <c r="J376" s="343">
        <v>49.919998168945298</v>
      </c>
      <c r="K376" s="351">
        <f t="shared" si="35"/>
        <v>201</v>
      </c>
      <c r="L376" s="352">
        <v>201</v>
      </c>
      <c r="M376" s="448" t="str">
        <f>IF(L376="nio","",VLOOKUP(L376,'3-Productie normen'!$B$31:$H$45,3,FALSE))</f>
        <v>5 x per week (40 weken + 1 Zomer refreshbeurt)</v>
      </c>
      <c r="N376" s="353" t="e">
        <f t="shared" si="33"/>
        <v>#DIV/0!</v>
      </c>
      <c r="O376" s="354">
        <f>IF(L376="nio",0,IF(L376&gt;0,VLOOKUP(H376,'3-Productie normen'!A:P,VLOOKUP(L376,'3-Productie normen'!$B$31:$C$45,2,FALSE),FALSE)))/VLOOKUP(B376,'2-Kosten per locatie'!$A$13:$D$36,4,FALSE)</f>
        <v>0</v>
      </c>
      <c r="P376" s="82" t="str">
        <f>VLOOKUP(H376,'3-Productie normen'!A:T,20,FALSE)</f>
        <v>L</v>
      </c>
      <c r="Q376" s="447" t="s">
        <v>875</v>
      </c>
      <c r="S376" s="356">
        <f t="shared" si="34"/>
        <v>10033.919631958004</v>
      </c>
    </row>
    <row r="377" spans="1:19" ht="14.1" customHeight="1">
      <c r="A377" s="72">
        <f t="shared" si="29"/>
        <v>377</v>
      </c>
      <c r="B377" s="50" t="s">
        <v>807</v>
      </c>
      <c r="C377" s="50" t="s">
        <v>827</v>
      </c>
      <c r="D377" s="427" t="s">
        <v>1033</v>
      </c>
      <c r="E377" s="426" t="s">
        <v>275</v>
      </c>
      <c r="F377" s="349" t="s">
        <v>286</v>
      </c>
      <c r="G377" s="86" t="s">
        <v>226</v>
      </c>
      <c r="H377" s="50" t="s">
        <v>16</v>
      </c>
      <c r="I377" s="86" t="s">
        <v>781</v>
      </c>
      <c r="J377" s="343">
        <v>5.62</v>
      </c>
      <c r="K377" s="351">
        <f t="shared" si="35"/>
        <v>201</v>
      </c>
      <c r="L377" s="352">
        <v>201</v>
      </c>
      <c r="M377" s="448" t="str">
        <f>IF(L377="nio","",VLOOKUP(L377,'3-Productie normen'!$B$31:$H$45,3,FALSE))</f>
        <v>5 x per week (40 weken + 1 Zomer refreshbeurt)</v>
      </c>
      <c r="N377" s="353" t="e">
        <f t="shared" si="33"/>
        <v>#DIV/0!</v>
      </c>
      <c r="O377" s="354">
        <f>IF(L377="nio",0,IF(L377&gt;0,VLOOKUP(H377,'3-Productie normen'!A:P,VLOOKUP(L377,'3-Productie normen'!$B$31:$C$45,2,FALSE),FALSE)))/VLOOKUP(B377,'2-Kosten per locatie'!$A$13:$D$36,4,FALSE)</f>
        <v>0</v>
      </c>
      <c r="P377" s="82" t="str">
        <f>VLOOKUP(H377,'3-Productie normen'!A:T,20,FALSE)</f>
        <v>S</v>
      </c>
      <c r="Q377" s="447" t="s">
        <v>855</v>
      </c>
      <c r="S377" s="356">
        <f t="shared" si="34"/>
        <v>1129.6200000000001</v>
      </c>
    </row>
    <row r="378" spans="1:19" ht="14.1" customHeight="1">
      <c r="A378" s="72">
        <f t="shared" si="29"/>
        <v>378</v>
      </c>
      <c r="B378" s="50" t="s">
        <v>807</v>
      </c>
      <c r="C378" s="50" t="s">
        <v>827</v>
      </c>
      <c r="D378" s="427" t="s">
        <v>1033</v>
      </c>
      <c r="E378" s="426" t="s">
        <v>275</v>
      </c>
      <c r="F378" s="349" t="s">
        <v>287</v>
      </c>
      <c r="G378" s="86" t="s">
        <v>209</v>
      </c>
      <c r="H378" s="63" t="s">
        <v>1040</v>
      </c>
      <c r="I378" s="86" t="s">
        <v>780</v>
      </c>
      <c r="J378" s="343">
        <v>12.24</v>
      </c>
      <c r="K378" s="351">
        <f t="shared" si="35"/>
        <v>12</v>
      </c>
      <c r="L378" s="352">
        <v>12</v>
      </c>
      <c r="M378" s="448" t="str">
        <f>IF(L378="nio","",VLOOKUP(L378,'3-Productie normen'!$B$31:$H$45,3,FALSE))</f>
        <v>1 x per maand</v>
      </c>
      <c r="N378" s="353" t="e">
        <f t="shared" si="33"/>
        <v>#DIV/0!</v>
      </c>
      <c r="O378" s="354">
        <f>IF(L378="nio",0,IF(L378&gt;0,VLOOKUP(H378,'3-Productie normen'!A:P,VLOOKUP(L378,'3-Productie normen'!$B$31:$C$45,2,FALSE),FALSE)))/VLOOKUP(B378,'2-Kosten per locatie'!$A$13:$D$36,4,FALSE)</f>
        <v>0</v>
      </c>
      <c r="P378" s="82" t="str">
        <f>VLOOKUP(H378,'3-Productie normen'!A:T,20,FALSE)</f>
        <v>V</v>
      </c>
      <c r="Q378" s="447" t="s">
        <v>792</v>
      </c>
      <c r="S378" s="356">
        <f t="shared" si="34"/>
        <v>146.88</v>
      </c>
    </row>
    <row r="379" spans="1:19" ht="14.1" customHeight="1">
      <c r="A379" s="72">
        <f t="shared" si="29"/>
        <v>379</v>
      </c>
      <c r="B379" s="50" t="s">
        <v>807</v>
      </c>
      <c r="C379" s="50" t="s">
        <v>827</v>
      </c>
      <c r="D379" s="427" t="s">
        <v>1033</v>
      </c>
      <c r="E379" s="426" t="s">
        <v>275</v>
      </c>
      <c r="F379" s="349" t="s">
        <v>591</v>
      </c>
      <c r="G379" s="86" t="s">
        <v>209</v>
      </c>
      <c r="H379" s="63" t="s">
        <v>1040</v>
      </c>
      <c r="I379" s="86" t="s">
        <v>780</v>
      </c>
      <c r="J379" s="343">
        <v>2.21</v>
      </c>
      <c r="K379" s="351">
        <f t="shared" si="35"/>
        <v>12</v>
      </c>
      <c r="L379" s="352">
        <v>12</v>
      </c>
      <c r="M379" s="448" t="str">
        <f>IF(L379="nio","",VLOOKUP(L379,'3-Productie normen'!$B$31:$H$45,3,FALSE))</f>
        <v>1 x per maand</v>
      </c>
      <c r="N379" s="353" t="e">
        <f t="shared" si="33"/>
        <v>#DIV/0!</v>
      </c>
      <c r="O379" s="354">
        <f>IF(L379="nio",0,IF(L379&gt;0,VLOOKUP(H379,'3-Productie normen'!A:P,VLOOKUP(L379,'3-Productie normen'!$B$31:$C$45,2,FALSE),FALSE)))/VLOOKUP(B379,'2-Kosten per locatie'!$A$13:$D$36,4,FALSE)</f>
        <v>0</v>
      </c>
      <c r="P379" s="82" t="str">
        <f>VLOOKUP(H379,'3-Productie normen'!A:T,20,FALSE)</f>
        <v>V</v>
      </c>
      <c r="Q379" s="447" t="s">
        <v>792</v>
      </c>
      <c r="S379" s="356">
        <f t="shared" si="34"/>
        <v>26.52</v>
      </c>
    </row>
    <row r="380" spans="1:19" ht="14.1" customHeight="1">
      <c r="A380" s="72">
        <f t="shared" si="29"/>
        <v>380</v>
      </c>
      <c r="B380" s="50" t="s">
        <v>807</v>
      </c>
      <c r="C380" s="50" t="s">
        <v>827</v>
      </c>
      <c r="D380" s="427" t="s">
        <v>1033</v>
      </c>
      <c r="E380" s="426" t="s">
        <v>275</v>
      </c>
      <c r="F380" s="349" t="s">
        <v>288</v>
      </c>
      <c r="G380" s="86" t="s">
        <v>384</v>
      </c>
      <c r="H380" s="432" t="s">
        <v>198</v>
      </c>
      <c r="I380" s="86" t="s">
        <v>780</v>
      </c>
      <c r="J380" s="343">
        <v>152.99</v>
      </c>
      <c r="K380" s="351">
        <f t="shared" si="35"/>
        <v>200</v>
      </c>
      <c r="L380" s="352">
        <v>200</v>
      </c>
      <c r="M380" s="448" t="str">
        <f>IF(L380="nio","",VLOOKUP(L380,'3-Productie normen'!$B$31:$H$45,3,FALSE))</f>
        <v>5 x per week (40 weken)</v>
      </c>
      <c r="N380" s="353" t="e">
        <f t="shared" si="33"/>
        <v>#DIV/0!</v>
      </c>
      <c r="O380" s="354">
        <f>IF(L380="nio",0,IF(L380&gt;0,VLOOKUP(H380,'3-Productie normen'!A:P,VLOOKUP(L380,'3-Productie normen'!$B$31:$C$45,2,FALSE),FALSE)))/VLOOKUP(B380,'2-Kosten per locatie'!$A$13:$D$36,4,FALSE)</f>
        <v>0</v>
      </c>
      <c r="P380" s="82" t="str">
        <f>VLOOKUP(H380,'3-Productie normen'!A:T,20,FALSE)</f>
        <v>V</v>
      </c>
      <c r="Q380" s="447" t="s">
        <v>792</v>
      </c>
      <c r="S380" s="356">
        <f t="shared" si="34"/>
        <v>30598</v>
      </c>
    </row>
    <row r="381" spans="1:19" ht="14.1" customHeight="1">
      <c r="A381" s="72">
        <f t="shared" si="29"/>
        <v>381</v>
      </c>
      <c r="B381" s="50" t="s">
        <v>807</v>
      </c>
      <c r="C381" s="50" t="s">
        <v>827</v>
      </c>
      <c r="D381" s="427" t="s">
        <v>1033</v>
      </c>
      <c r="E381" s="426" t="s">
        <v>275</v>
      </c>
      <c r="F381" s="349" t="s">
        <v>289</v>
      </c>
      <c r="G381" s="86" t="s">
        <v>209</v>
      </c>
      <c r="H381" s="63" t="s">
        <v>1040</v>
      </c>
      <c r="I381" s="86" t="s">
        <v>780</v>
      </c>
      <c r="J381" s="343">
        <v>1.43</v>
      </c>
      <c r="K381" s="351">
        <f t="shared" si="35"/>
        <v>12</v>
      </c>
      <c r="L381" s="352">
        <v>12</v>
      </c>
      <c r="M381" s="448" t="str">
        <f>IF(L381="nio","",VLOOKUP(L381,'3-Productie normen'!$B$31:$H$45,3,FALSE))</f>
        <v>1 x per maand</v>
      </c>
      <c r="N381" s="353" t="e">
        <f t="shared" si="33"/>
        <v>#DIV/0!</v>
      </c>
      <c r="O381" s="354">
        <f>IF(L381="nio",0,IF(L381&gt;0,VLOOKUP(H381,'3-Productie normen'!A:P,VLOOKUP(L381,'3-Productie normen'!$B$31:$C$45,2,FALSE),FALSE)))/VLOOKUP(B381,'2-Kosten per locatie'!$A$13:$D$36,4,FALSE)</f>
        <v>0</v>
      </c>
      <c r="P381" s="82" t="str">
        <f>VLOOKUP(H381,'3-Productie normen'!A:T,20,FALSE)</f>
        <v>V</v>
      </c>
      <c r="Q381" s="447" t="s">
        <v>792</v>
      </c>
      <c r="S381" s="356">
        <f t="shared" si="34"/>
        <v>17.16</v>
      </c>
    </row>
    <row r="382" spans="1:19" ht="14.1" customHeight="1">
      <c r="A382" s="72">
        <f t="shared" si="29"/>
        <v>382</v>
      </c>
      <c r="B382" s="50" t="s">
        <v>807</v>
      </c>
      <c r="C382" s="50" t="s">
        <v>827</v>
      </c>
      <c r="D382" s="427" t="s">
        <v>1033</v>
      </c>
      <c r="E382" s="426" t="s">
        <v>275</v>
      </c>
      <c r="F382" s="349" t="s">
        <v>290</v>
      </c>
      <c r="G382" s="86" t="s">
        <v>206</v>
      </c>
      <c r="H382" s="65" t="s">
        <v>1053</v>
      </c>
      <c r="I382" s="86" t="s">
        <v>92</v>
      </c>
      <c r="J382" s="343">
        <v>0.34000000357627902</v>
      </c>
      <c r="K382" s="351" t="str">
        <f t="shared" si="35"/>
        <v>nio</v>
      </c>
      <c r="L382" s="352" t="s">
        <v>804</v>
      </c>
      <c r="M382" s="448" t="str">
        <f>IF(L382="nio","",VLOOKUP(L382,'3-Productie normen'!$B$31:$H$45,3,FALSE))</f>
        <v/>
      </c>
      <c r="N382" s="353">
        <f t="shared" si="33"/>
        <v>0</v>
      </c>
      <c r="O382" s="354">
        <f>IF(L382="nio",0,IF(L382&gt;0,VLOOKUP(H382,'3-Productie normen'!A:P,VLOOKUP(L382,'3-Productie normen'!$B$31:$C$45,2,FALSE),FALSE)))/VLOOKUP(B382,'2-Kosten per locatie'!$A$13:$D$36,4,FALSE)</f>
        <v>0</v>
      </c>
      <c r="P382" s="82">
        <f>VLOOKUP(H382,'3-Productie normen'!A:T,20,FALSE)</f>
        <v>0</v>
      </c>
      <c r="Q382" s="447" t="s">
        <v>885</v>
      </c>
      <c r="S382" s="356">
        <f t="shared" si="34"/>
        <v>0</v>
      </c>
    </row>
    <row r="383" spans="1:19" ht="14.1" customHeight="1">
      <c r="A383" s="72">
        <f t="shared" si="29"/>
        <v>383</v>
      </c>
      <c r="B383" s="50" t="s">
        <v>807</v>
      </c>
      <c r="C383" s="50" t="s">
        <v>827</v>
      </c>
      <c r="D383" s="427" t="s">
        <v>1033</v>
      </c>
      <c r="E383" s="426" t="s">
        <v>275</v>
      </c>
      <c r="F383" s="349" t="s">
        <v>291</v>
      </c>
      <c r="G383" s="86" t="s">
        <v>201</v>
      </c>
      <c r="H383" s="432" t="s">
        <v>198</v>
      </c>
      <c r="I383" s="86" t="s">
        <v>780</v>
      </c>
      <c r="J383" s="343">
        <v>11.9</v>
      </c>
      <c r="K383" s="351">
        <f t="shared" si="35"/>
        <v>200</v>
      </c>
      <c r="L383" s="352">
        <v>200</v>
      </c>
      <c r="M383" s="448" t="str">
        <f>IF(L383="nio","",VLOOKUP(L383,'3-Productie normen'!$B$31:$H$45,3,FALSE))</f>
        <v>5 x per week (40 weken)</v>
      </c>
      <c r="N383" s="353" t="e">
        <f t="shared" si="33"/>
        <v>#DIV/0!</v>
      </c>
      <c r="O383" s="354">
        <f>IF(L383="nio",0,IF(L383&gt;0,VLOOKUP(H383,'3-Productie normen'!A:P,VLOOKUP(L383,'3-Productie normen'!$B$31:$C$45,2,FALSE),FALSE)))/VLOOKUP(B383,'2-Kosten per locatie'!$A$13:$D$36,4,FALSE)</f>
        <v>0</v>
      </c>
      <c r="P383" s="82" t="str">
        <f>VLOOKUP(H383,'3-Productie normen'!A:T,20,FALSE)</f>
        <v>V</v>
      </c>
      <c r="Q383" s="447" t="s">
        <v>792</v>
      </c>
      <c r="S383" s="356">
        <f t="shared" si="34"/>
        <v>2380</v>
      </c>
    </row>
    <row r="384" spans="1:19" ht="14.1" customHeight="1">
      <c r="A384" s="72">
        <f t="shared" si="29"/>
        <v>384</v>
      </c>
      <c r="B384" s="50" t="s">
        <v>807</v>
      </c>
      <c r="C384" s="50" t="s">
        <v>827</v>
      </c>
      <c r="D384" s="427" t="s">
        <v>1033</v>
      </c>
      <c r="E384" s="426" t="s">
        <v>196</v>
      </c>
      <c r="F384" s="349" t="s">
        <v>391</v>
      </c>
      <c r="G384" s="86" t="s">
        <v>232</v>
      </c>
      <c r="H384" s="430" t="s">
        <v>1046</v>
      </c>
      <c r="I384" s="86" t="s">
        <v>92</v>
      </c>
      <c r="J384" s="343">
        <v>8.5</v>
      </c>
      <c r="K384" s="351">
        <f t="shared" si="35"/>
        <v>200</v>
      </c>
      <c r="L384" s="352">
        <v>200</v>
      </c>
      <c r="M384" s="448" t="str">
        <f>IF(L384="nio","",VLOOKUP(L384,'3-Productie normen'!$B$31:$H$45,3,FALSE))</f>
        <v>5 x per week (40 weken)</v>
      </c>
      <c r="N384" s="353" t="e">
        <f t="shared" si="33"/>
        <v>#DIV/0!</v>
      </c>
      <c r="O384" s="354">
        <f>IF(L384="nio",0,IF(L384&gt;0,VLOOKUP(H384,'3-Productie normen'!A:P,VLOOKUP(L384,'3-Productie normen'!$B$31:$C$45,2,FALSE),FALSE)))/VLOOKUP(B384,'2-Kosten per locatie'!$A$13:$D$36,4,FALSE)</f>
        <v>0</v>
      </c>
      <c r="P384" s="82" t="str">
        <f>VLOOKUP(H384,'3-Productie normen'!A:T,20,FALSE)</f>
        <v>V</v>
      </c>
      <c r="Q384" s="447" t="s">
        <v>865</v>
      </c>
      <c r="S384" s="356">
        <f t="shared" si="34"/>
        <v>1700</v>
      </c>
    </row>
    <row r="385" spans="1:19" ht="14.1" customHeight="1">
      <c r="A385" s="72">
        <f t="shared" si="29"/>
        <v>385</v>
      </c>
      <c r="B385" s="50" t="s">
        <v>807</v>
      </c>
      <c r="C385" s="50" t="s">
        <v>827</v>
      </c>
      <c r="D385" s="427" t="s">
        <v>1033</v>
      </c>
      <c r="E385" s="426" t="s">
        <v>275</v>
      </c>
      <c r="F385" s="349" t="s">
        <v>292</v>
      </c>
      <c r="G385" s="86" t="s">
        <v>226</v>
      </c>
      <c r="H385" s="86" t="s">
        <v>16</v>
      </c>
      <c r="I385" s="86" t="s">
        <v>781</v>
      </c>
      <c r="J385" s="343">
        <v>5.62</v>
      </c>
      <c r="K385" s="351">
        <f t="shared" si="35"/>
        <v>201</v>
      </c>
      <c r="L385" s="352">
        <v>201</v>
      </c>
      <c r="M385" s="448" t="str">
        <f>IF(L385="nio","",VLOOKUP(L385,'3-Productie normen'!$B$31:$H$45,3,FALSE))</f>
        <v>5 x per week (40 weken + 1 Zomer refreshbeurt)</v>
      </c>
      <c r="N385" s="353" t="e">
        <f t="shared" si="33"/>
        <v>#DIV/0!</v>
      </c>
      <c r="O385" s="354">
        <f>IF(L385="nio",0,IF(L385&gt;0,VLOOKUP(H385,'3-Productie normen'!A:P,VLOOKUP(L385,'3-Productie normen'!$B$31:$C$45,2,FALSE),FALSE)))/VLOOKUP(B385,'2-Kosten per locatie'!$A$13:$D$36,4,FALSE)</f>
        <v>0</v>
      </c>
      <c r="P385" s="82" t="str">
        <f>VLOOKUP(H385,'3-Productie normen'!A:T,20,FALSE)</f>
        <v>S</v>
      </c>
      <c r="Q385" s="447" t="s">
        <v>855</v>
      </c>
      <c r="S385" s="356">
        <f t="shared" si="34"/>
        <v>1129.6200000000001</v>
      </c>
    </row>
    <row r="386" spans="1:19" ht="14.1" customHeight="1">
      <c r="A386" s="72">
        <f t="shared" si="29"/>
        <v>386</v>
      </c>
      <c r="B386" s="50" t="s">
        <v>807</v>
      </c>
      <c r="C386" s="50" t="s">
        <v>827</v>
      </c>
      <c r="D386" s="427" t="s">
        <v>1033</v>
      </c>
      <c r="E386" s="426" t="s">
        <v>275</v>
      </c>
      <c r="F386" s="349" t="s">
        <v>592</v>
      </c>
      <c r="G386" s="86" t="s">
        <v>215</v>
      </c>
      <c r="H386" s="63" t="s">
        <v>1040</v>
      </c>
      <c r="I386" s="86" t="s">
        <v>780</v>
      </c>
      <c r="J386" s="343">
        <v>2.25</v>
      </c>
      <c r="K386" s="351">
        <f t="shared" si="35"/>
        <v>12</v>
      </c>
      <c r="L386" s="352">
        <v>12</v>
      </c>
      <c r="M386" s="448" t="str">
        <f>IF(L386="nio","",VLOOKUP(L386,'3-Productie normen'!$B$31:$H$45,3,FALSE))</f>
        <v>1 x per maand</v>
      </c>
      <c r="N386" s="353" t="e">
        <f t="shared" si="33"/>
        <v>#DIV/0!</v>
      </c>
      <c r="O386" s="354">
        <f>IF(L386="nio",0,IF(L386&gt;0,VLOOKUP(H386,'3-Productie normen'!A:P,VLOOKUP(L386,'3-Productie normen'!$B$31:$C$45,2,FALSE),FALSE)))/VLOOKUP(B386,'2-Kosten per locatie'!$A$13:$D$36,4,FALSE)</f>
        <v>0</v>
      </c>
      <c r="P386" s="82" t="str">
        <f>VLOOKUP(H386,'3-Productie normen'!A:T,20,FALSE)</f>
        <v>V</v>
      </c>
      <c r="Q386" s="447" t="s">
        <v>853</v>
      </c>
      <c r="S386" s="356">
        <f t="shared" si="34"/>
        <v>27</v>
      </c>
    </row>
    <row r="387" spans="1:19" ht="14.1" customHeight="1">
      <c r="A387" s="72">
        <f t="shared" si="29"/>
        <v>387</v>
      </c>
      <c r="B387" s="50" t="s">
        <v>807</v>
      </c>
      <c r="C387" s="50" t="s">
        <v>827</v>
      </c>
      <c r="D387" s="427" t="s">
        <v>1033</v>
      </c>
      <c r="E387" s="426" t="s">
        <v>275</v>
      </c>
      <c r="F387" s="349" t="s">
        <v>293</v>
      </c>
      <c r="G387" s="86" t="s">
        <v>365</v>
      </c>
      <c r="H387" s="432" t="s">
        <v>198</v>
      </c>
      <c r="I387" s="86" t="s">
        <v>780</v>
      </c>
      <c r="J387" s="343">
        <v>77.139999389648395</v>
      </c>
      <c r="K387" s="351">
        <f t="shared" si="35"/>
        <v>200</v>
      </c>
      <c r="L387" s="352">
        <v>200</v>
      </c>
      <c r="M387" s="448" t="str">
        <f>IF(L387="nio","",VLOOKUP(L387,'3-Productie normen'!$B$31:$H$45,3,FALSE))</f>
        <v>5 x per week (40 weken)</v>
      </c>
      <c r="N387" s="353" t="e">
        <f t="shared" si="33"/>
        <v>#DIV/0!</v>
      </c>
      <c r="O387" s="354">
        <f>IF(L387="nio",0,IF(L387&gt;0,VLOOKUP(H387,'3-Productie normen'!A:P,VLOOKUP(L387,'3-Productie normen'!$B$31:$C$45,2,FALSE),FALSE)))/VLOOKUP(B387,'2-Kosten per locatie'!$A$13:$D$36,4,FALSE)</f>
        <v>0</v>
      </c>
      <c r="P387" s="82" t="str">
        <f>VLOOKUP(H387,'3-Productie normen'!A:T,20,FALSE)</f>
        <v>V</v>
      </c>
      <c r="Q387" s="447" t="s">
        <v>792</v>
      </c>
      <c r="S387" s="356">
        <f t="shared" si="34"/>
        <v>15427.999877929678</v>
      </c>
    </row>
    <row r="388" spans="1:19" ht="14.1" customHeight="1">
      <c r="A388" s="72">
        <f t="shared" si="29"/>
        <v>388</v>
      </c>
      <c r="B388" s="50" t="s">
        <v>807</v>
      </c>
      <c r="C388" s="50" t="s">
        <v>827</v>
      </c>
      <c r="D388" s="427" t="s">
        <v>1033</v>
      </c>
      <c r="E388" s="426" t="s">
        <v>275</v>
      </c>
      <c r="F388" s="349" t="s">
        <v>295</v>
      </c>
      <c r="G388" s="86" t="s">
        <v>242</v>
      </c>
      <c r="H388" s="86" t="s">
        <v>241</v>
      </c>
      <c r="I388" s="86" t="s">
        <v>780</v>
      </c>
      <c r="J388" s="343">
        <v>49.86</v>
      </c>
      <c r="K388" s="351">
        <f t="shared" si="35"/>
        <v>201</v>
      </c>
      <c r="L388" s="352">
        <v>201</v>
      </c>
      <c r="M388" s="448" t="str">
        <f>IF(L388="nio","",VLOOKUP(L388,'3-Productie normen'!$B$31:$H$45,3,FALSE))</f>
        <v>5 x per week (40 weken + 1 Zomer refreshbeurt)</v>
      </c>
      <c r="N388" s="353" t="e">
        <f t="shared" si="33"/>
        <v>#DIV/0!</v>
      </c>
      <c r="O388" s="354">
        <f>IF(L388="nio",0,IF(L388&gt;0,VLOOKUP(H388,'3-Productie normen'!A:P,VLOOKUP(L388,'3-Productie normen'!$B$31:$C$45,2,FALSE),FALSE)))/VLOOKUP(B388,'2-Kosten per locatie'!$A$13:$D$36,4,FALSE)</f>
        <v>0</v>
      </c>
      <c r="P388" s="82" t="str">
        <f>VLOOKUP(H388,'3-Productie normen'!A:T,20,FALSE)</f>
        <v>L</v>
      </c>
      <c r="Q388" s="447" t="s">
        <v>876</v>
      </c>
      <c r="S388" s="356">
        <f t="shared" si="34"/>
        <v>10021.86</v>
      </c>
    </row>
    <row r="389" spans="1:19" ht="14.1" customHeight="1">
      <c r="A389" s="72">
        <f t="shared" si="29"/>
        <v>389</v>
      </c>
      <c r="B389" s="50" t="s">
        <v>807</v>
      </c>
      <c r="C389" s="50" t="s">
        <v>827</v>
      </c>
      <c r="D389" s="427" t="s">
        <v>1033</v>
      </c>
      <c r="E389" s="426" t="s">
        <v>275</v>
      </c>
      <c r="F389" s="349" t="s">
        <v>296</v>
      </c>
      <c r="G389" s="86" t="s">
        <v>242</v>
      </c>
      <c r="H389" s="86" t="s">
        <v>241</v>
      </c>
      <c r="I389" s="86" t="s">
        <v>780</v>
      </c>
      <c r="J389" s="343">
        <v>50.73</v>
      </c>
      <c r="K389" s="351">
        <f t="shared" si="35"/>
        <v>201</v>
      </c>
      <c r="L389" s="352">
        <v>201</v>
      </c>
      <c r="M389" s="448" t="str">
        <f>IF(L389="nio","",VLOOKUP(L389,'3-Productie normen'!$B$31:$H$45,3,FALSE))</f>
        <v>5 x per week (40 weken + 1 Zomer refreshbeurt)</v>
      </c>
      <c r="N389" s="353" t="e">
        <f t="shared" si="33"/>
        <v>#DIV/0!</v>
      </c>
      <c r="O389" s="354">
        <f>IF(L389="nio",0,IF(L389&gt;0,VLOOKUP(H389,'3-Productie normen'!A:P,VLOOKUP(L389,'3-Productie normen'!$B$31:$C$45,2,FALSE),FALSE)))/VLOOKUP(B389,'2-Kosten per locatie'!$A$13:$D$36,4,FALSE)</f>
        <v>0</v>
      </c>
      <c r="P389" s="82" t="str">
        <f>VLOOKUP(H389,'3-Productie normen'!A:T,20,FALSE)</f>
        <v>L</v>
      </c>
      <c r="Q389" s="447" t="s">
        <v>876</v>
      </c>
      <c r="S389" s="356">
        <f t="shared" si="34"/>
        <v>10196.73</v>
      </c>
    </row>
    <row r="390" spans="1:19" ht="14.1" customHeight="1">
      <c r="A390" s="72">
        <f t="shared" si="29"/>
        <v>390</v>
      </c>
      <c r="B390" s="50" t="s">
        <v>807</v>
      </c>
      <c r="C390" s="50" t="s">
        <v>827</v>
      </c>
      <c r="D390" s="427" t="s">
        <v>1033</v>
      </c>
      <c r="E390" s="426" t="s">
        <v>275</v>
      </c>
      <c r="F390" s="349" t="s">
        <v>297</v>
      </c>
      <c r="G390" s="86" t="s">
        <v>242</v>
      </c>
      <c r="H390" s="86" t="s">
        <v>241</v>
      </c>
      <c r="I390" s="86" t="s">
        <v>780</v>
      </c>
      <c r="J390" s="343">
        <v>49.89</v>
      </c>
      <c r="K390" s="351">
        <f t="shared" si="35"/>
        <v>201</v>
      </c>
      <c r="L390" s="352">
        <v>201</v>
      </c>
      <c r="M390" s="448" t="str">
        <f>IF(L390="nio","",VLOOKUP(L390,'3-Productie normen'!$B$31:$H$45,3,FALSE))</f>
        <v>5 x per week (40 weken + 1 Zomer refreshbeurt)</v>
      </c>
      <c r="N390" s="353" t="e">
        <f t="shared" si="33"/>
        <v>#DIV/0!</v>
      </c>
      <c r="O390" s="354">
        <f>IF(L390="nio",0,IF(L390&gt;0,VLOOKUP(H390,'3-Productie normen'!A:P,VLOOKUP(L390,'3-Productie normen'!$B$31:$C$45,2,FALSE),FALSE)))/VLOOKUP(B390,'2-Kosten per locatie'!$A$13:$D$36,4,FALSE)</f>
        <v>0</v>
      </c>
      <c r="P390" s="82" t="str">
        <f>VLOOKUP(H390,'3-Productie normen'!A:T,20,FALSE)</f>
        <v>L</v>
      </c>
      <c r="Q390" s="447" t="s">
        <v>876</v>
      </c>
      <c r="S390" s="356">
        <f t="shared" si="34"/>
        <v>10027.89</v>
      </c>
    </row>
    <row r="391" spans="1:19" ht="14.1" customHeight="1">
      <c r="A391" s="72">
        <f t="shared" si="29"/>
        <v>391</v>
      </c>
      <c r="B391" s="50" t="s">
        <v>807</v>
      </c>
      <c r="C391" s="50" t="s">
        <v>827</v>
      </c>
      <c r="D391" s="427" t="s">
        <v>1033</v>
      </c>
      <c r="E391" s="426" t="s">
        <v>275</v>
      </c>
      <c r="F391" s="349" t="s">
        <v>299</v>
      </c>
      <c r="G391" s="86" t="s">
        <v>226</v>
      </c>
      <c r="H391" s="50" t="s">
        <v>16</v>
      </c>
      <c r="I391" s="86" t="s">
        <v>781</v>
      </c>
      <c r="J391" s="343">
        <v>5.62</v>
      </c>
      <c r="K391" s="351">
        <f t="shared" si="35"/>
        <v>201</v>
      </c>
      <c r="L391" s="352">
        <v>201</v>
      </c>
      <c r="M391" s="448" t="str">
        <f>IF(L391="nio","",VLOOKUP(L391,'3-Productie normen'!$B$31:$H$45,3,FALSE))</f>
        <v>5 x per week (40 weken + 1 Zomer refreshbeurt)</v>
      </c>
      <c r="N391" s="353" t="e">
        <f t="shared" si="33"/>
        <v>#DIV/0!</v>
      </c>
      <c r="O391" s="354">
        <f>IF(L391="nio",0,IF(L391&gt;0,VLOOKUP(H391,'3-Productie normen'!A:P,VLOOKUP(L391,'3-Productie normen'!$B$31:$C$45,2,FALSE),FALSE)))/VLOOKUP(B391,'2-Kosten per locatie'!$A$13:$D$36,4,FALSE)</f>
        <v>0</v>
      </c>
      <c r="P391" s="82" t="str">
        <f>VLOOKUP(H391,'3-Productie normen'!A:T,20,FALSE)</f>
        <v>S</v>
      </c>
      <c r="Q391" s="447" t="s">
        <v>855</v>
      </c>
      <c r="S391" s="356">
        <f t="shared" si="34"/>
        <v>1129.6200000000001</v>
      </c>
    </row>
    <row r="392" spans="1:19" ht="14.1" customHeight="1">
      <c r="A392" s="72">
        <f t="shared" si="29"/>
        <v>392</v>
      </c>
      <c r="B392" s="50" t="s">
        <v>807</v>
      </c>
      <c r="C392" s="50" t="s">
        <v>827</v>
      </c>
      <c r="D392" s="427" t="s">
        <v>1033</v>
      </c>
      <c r="E392" s="426" t="s">
        <v>275</v>
      </c>
      <c r="F392" s="349" t="s">
        <v>300</v>
      </c>
      <c r="G392" s="86" t="s">
        <v>209</v>
      </c>
      <c r="H392" s="63" t="s">
        <v>1040</v>
      </c>
      <c r="I392" s="86" t="s">
        <v>780</v>
      </c>
      <c r="J392" s="343">
        <v>2.2000000000000002</v>
      </c>
      <c r="K392" s="351">
        <f t="shared" si="35"/>
        <v>12</v>
      </c>
      <c r="L392" s="352">
        <v>12</v>
      </c>
      <c r="M392" s="448" t="str">
        <f>IF(L392="nio","",VLOOKUP(L392,'3-Productie normen'!$B$31:$H$45,3,FALSE))</f>
        <v>1 x per maand</v>
      </c>
      <c r="N392" s="353" t="e">
        <f t="shared" si="33"/>
        <v>#DIV/0!</v>
      </c>
      <c r="O392" s="354">
        <f>IF(L392="nio",0,IF(L392&gt;0,VLOOKUP(H392,'3-Productie normen'!A:P,VLOOKUP(L392,'3-Productie normen'!$B$31:$C$45,2,FALSE),FALSE)))/VLOOKUP(B392,'2-Kosten per locatie'!$A$13:$D$36,4,FALSE)</f>
        <v>0</v>
      </c>
      <c r="P392" s="82" t="str">
        <f>VLOOKUP(H392,'3-Productie normen'!A:T,20,FALSE)</f>
        <v>V</v>
      </c>
      <c r="Q392" s="447" t="s">
        <v>792</v>
      </c>
      <c r="S392" s="356">
        <f t="shared" si="34"/>
        <v>26.400000000000002</v>
      </c>
    </row>
    <row r="393" spans="1:19" ht="14.1" customHeight="1">
      <c r="A393" s="72">
        <f t="shared" si="29"/>
        <v>393</v>
      </c>
      <c r="B393" s="50" t="s">
        <v>807</v>
      </c>
      <c r="C393" s="50" t="s">
        <v>827</v>
      </c>
      <c r="D393" s="427" t="s">
        <v>1033</v>
      </c>
      <c r="E393" s="426" t="s">
        <v>275</v>
      </c>
      <c r="F393" s="349" t="s">
        <v>301</v>
      </c>
      <c r="G393" s="86" t="s">
        <v>201</v>
      </c>
      <c r="H393" s="432" t="s">
        <v>198</v>
      </c>
      <c r="I393" s="86" t="s">
        <v>780</v>
      </c>
      <c r="J393" s="343">
        <v>18.309999999999999</v>
      </c>
      <c r="K393" s="351">
        <f t="shared" si="35"/>
        <v>200</v>
      </c>
      <c r="L393" s="352">
        <v>200</v>
      </c>
      <c r="M393" s="448" t="str">
        <f>IF(L393="nio","",VLOOKUP(L393,'3-Productie normen'!$B$31:$H$45,3,FALSE))</f>
        <v>5 x per week (40 weken)</v>
      </c>
      <c r="N393" s="353" t="e">
        <f t="shared" si="33"/>
        <v>#DIV/0!</v>
      </c>
      <c r="O393" s="354">
        <f>IF(L393="nio",0,IF(L393&gt;0,VLOOKUP(H393,'3-Productie normen'!A:P,VLOOKUP(L393,'3-Productie normen'!$B$31:$C$45,2,FALSE),FALSE)))/VLOOKUP(B393,'2-Kosten per locatie'!$A$13:$D$36,4,FALSE)</f>
        <v>0</v>
      </c>
      <c r="P393" s="82" t="str">
        <f>VLOOKUP(H393,'3-Productie normen'!A:T,20,FALSE)</f>
        <v>V</v>
      </c>
      <c r="Q393" s="447" t="s">
        <v>792</v>
      </c>
      <c r="S393" s="356">
        <f t="shared" si="34"/>
        <v>3661.9999999999995</v>
      </c>
    </row>
    <row r="394" spans="1:19" ht="14.1" customHeight="1">
      <c r="A394" s="72">
        <f t="shared" si="29"/>
        <v>394</v>
      </c>
      <c r="B394" s="50" t="s">
        <v>807</v>
      </c>
      <c r="C394" s="50" t="s">
        <v>827</v>
      </c>
      <c r="D394" s="427" t="s">
        <v>1033</v>
      </c>
      <c r="E394" s="426" t="s">
        <v>275</v>
      </c>
      <c r="F394" s="349" t="s">
        <v>593</v>
      </c>
      <c r="G394" s="86" t="s">
        <v>232</v>
      </c>
      <c r="H394" s="430" t="s">
        <v>1046</v>
      </c>
      <c r="I394" s="86" t="s">
        <v>788</v>
      </c>
      <c r="J394" s="343">
        <v>7.56</v>
      </c>
      <c r="K394" s="351">
        <f t="shared" si="35"/>
        <v>200</v>
      </c>
      <c r="L394" s="352">
        <v>200</v>
      </c>
      <c r="M394" s="448" t="str">
        <f>IF(L394="nio","",VLOOKUP(L394,'3-Productie normen'!$B$31:$H$45,3,FALSE))</f>
        <v>5 x per week (40 weken)</v>
      </c>
      <c r="N394" s="353" t="e">
        <f t="shared" si="33"/>
        <v>#DIV/0!</v>
      </c>
      <c r="O394" s="354">
        <f>IF(L394="nio",0,IF(L394&gt;0,VLOOKUP(H394,'3-Productie normen'!A:P,VLOOKUP(L394,'3-Productie normen'!$B$31:$C$45,2,FALSE),FALSE)))/VLOOKUP(B394,'2-Kosten per locatie'!$A$13:$D$36,4,FALSE)</f>
        <v>0</v>
      </c>
      <c r="P394" s="82" t="str">
        <f>VLOOKUP(H394,'3-Productie normen'!A:T,20,FALSE)</f>
        <v>V</v>
      </c>
      <c r="Q394" s="447" t="s">
        <v>792</v>
      </c>
      <c r="S394" s="356">
        <f t="shared" si="34"/>
        <v>1512</v>
      </c>
    </row>
    <row r="395" spans="1:19" ht="14.1" customHeight="1">
      <c r="A395" s="72">
        <f t="shared" ref="A395:A458" si="36">A394+1</f>
        <v>395</v>
      </c>
      <c r="B395" s="50" t="s">
        <v>807</v>
      </c>
      <c r="C395" s="50" t="s">
        <v>827</v>
      </c>
      <c r="D395" s="427" t="s">
        <v>1033</v>
      </c>
      <c r="E395" s="426" t="s">
        <v>275</v>
      </c>
      <c r="F395" s="349" t="s">
        <v>302</v>
      </c>
      <c r="G395" s="86" t="s">
        <v>222</v>
      </c>
      <c r="H395" s="86" t="s">
        <v>16</v>
      </c>
      <c r="I395" s="86" t="s">
        <v>781</v>
      </c>
      <c r="J395" s="343">
        <v>5.28</v>
      </c>
      <c r="K395" s="351">
        <f t="shared" si="35"/>
        <v>201</v>
      </c>
      <c r="L395" s="352">
        <v>201</v>
      </c>
      <c r="M395" s="448" t="str">
        <f>IF(L395="nio","",VLOOKUP(L395,'3-Productie normen'!$B$31:$H$45,3,FALSE))</f>
        <v>5 x per week (40 weken + 1 Zomer refreshbeurt)</v>
      </c>
      <c r="N395" s="353" t="e">
        <f t="shared" si="33"/>
        <v>#DIV/0!</v>
      </c>
      <c r="O395" s="354">
        <f>IF(L395="nio",0,IF(L395&gt;0,VLOOKUP(H395,'3-Productie normen'!A:P,VLOOKUP(L395,'3-Productie normen'!$B$31:$C$45,2,FALSE),FALSE)))/VLOOKUP(B395,'2-Kosten per locatie'!$A$13:$D$36,4,FALSE)</f>
        <v>0</v>
      </c>
      <c r="P395" s="82" t="str">
        <f>VLOOKUP(H395,'3-Productie normen'!A:T,20,FALSE)</f>
        <v>S</v>
      </c>
      <c r="Q395" s="447" t="s">
        <v>951</v>
      </c>
      <c r="S395" s="356">
        <f t="shared" si="34"/>
        <v>1061.28</v>
      </c>
    </row>
    <row r="396" spans="1:19" ht="14.1" customHeight="1">
      <c r="A396" s="72">
        <f t="shared" si="36"/>
        <v>396</v>
      </c>
      <c r="B396" s="50" t="s">
        <v>807</v>
      </c>
      <c r="C396" s="50" t="s">
        <v>827</v>
      </c>
      <c r="D396" s="427" t="s">
        <v>1033</v>
      </c>
      <c r="E396" s="426" t="s">
        <v>275</v>
      </c>
      <c r="F396" s="349" t="s">
        <v>303</v>
      </c>
      <c r="G396" s="86" t="s">
        <v>388</v>
      </c>
      <c r="H396" s="86" t="s">
        <v>203</v>
      </c>
      <c r="I396" s="86" t="s">
        <v>180</v>
      </c>
      <c r="J396" s="343">
        <v>21.069999694824201</v>
      </c>
      <c r="K396" s="351">
        <f t="shared" si="35"/>
        <v>120</v>
      </c>
      <c r="L396" s="352">
        <v>120</v>
      </c>
      <c r="M396" s="448" t="str">
        <f>IF(L396="nio","",VLOOKUP(L396,'3-Productie normen'!$B$31:$H$45,3,FALSE))</f>
        <v>3 x per week (40 weken)</v>
      </c>
      <c r="N396" s="353" t="e">
        <f t="shared" si="33"/>
        <v>#DIV/0!</v>
      </c>
      <c r="O396" s="354">
        <f>IF(L396="nio",0,IF(L396&gt;0,VLOOKUP(H396,'3-Productie normen'!A:P,VLOOKUP(L396,'3-Productie normen'!$B$31:$C$45,2,FALSE),FALSE)))/VLOOKUP(B396,'2-Kosten per locatie'!$A$13:$D$36,4,FALSE)</f>
        <v>0</v>
      </c>
      <c r="P396" s="82" t="str">
        <f>VLOOKUP(H396,'3-Productie normen'!A:T,20,FALSE)</f>
        <v>B</v>
      </c>
      <c r="Q396" s="447" t="s">
        <v>792</v>
      </c>
      <c r="S396" s="356">
        <f t="shared" si="34"/>
        <v>2528.399963378904</v>
      </c>
    </row>
    <row r="397" spans="1:19" ht="14.1" customHeight="1">
      <c r="A397" s="72">
        <f t="shared" si="36"/>
        <v>397</v>
      </c>
      <c r="B397" s="50" t="s">
        <v>807</v>
      </c>
      <c r="C397" s="50" t="s">
        <v>827</v>
      </c>
      <c r="D397" s="427" t="s">
        <v>1033</v>
      </c>
      <c r="E397" s="426" t="s">
        <v>275</v>
      </c>
      <c r="F397" s="349" t="s">
        <v>421</v>
      </c>
      <c r="G397" s="86" t="s">
        <v>201</v>
      </c>
      <c r="H397" s="432" t="s">
        <v>198</v>
      </c>
      <c r="I397" s="86" t="s">
        <v>780</v>
      </c>
      <c r="J397" s="343">
        <v>6.09</v>
      </c>
      <c r="K397" s="351">
        <f t="shared" si="35"/>
        <v>200</v>
      </c>
      <c r="L397" s="352">
        <v>200</v>
      </c>
      <c r="M397" s="448" t="str">
        <f>IF(L397="nio","",VLOOKUP(L397,'3-Productie normen'!$B$31:$H$45,3,FALSE))</f>
        <v>5 x per week (40 weken)</v>
      </c>
      <c r="N397" s="353" t="e">
        <f t="shared" si="33"/>
        <v>#DIV/0!</v>
      </c>
      <c r="O397" s="354">
        <f>IF(L397="nio",0,IF(L397&gt;0,VLOOKUP(H397,'3-Productie normen'!A:P,VLOOKUP(L397,'3-Productie normen'!$B$31:$C$45,2,FALSE),FALSE)))/VLOOKUP(B397,'2-Kosten per locatie'!$A$13:$D$36,4,FALSE)</f>
        <v>0</v>
      </c>
      <c r="P397" s="82" t="str">
        <f>VLOOKUP(H397,'3-Productie normen'!A:T,20,FALSE)</f>
        <v>V</v>
      </c>
      <c r="Q397" s="447" t="s">
        <v>792</v>
      </c>
      <c r="S397" s="356">
        <f t="shared" si="34"/>
        <v>1218</v>
      </c>
    </row>
    <row r="398" spans="1:19" ht="14.1" customHeight="1">
      <c r="A398" s="72">
        <f t="shared" si="36"/>
        <v>398</v>
      </c>
      <c r="B398" s="50" t="s">
        <v>807</v>
      </c>
      <c r="C398" s="50" t="s">
        <v>827</v>
      </c>
      <c r="D398" s="427" t="s">
        <v>1033</v>
      </c>
      <c r="E398" s="426" t="s">
        <v>275</v>
      </c>
      <c r="F398" s="349" t="s">
        <v>422</v>
      </c>
      <c r="G398" s="86" t="s">
        <v>209</v>
      </c>
      <c r="H398" s="63" t="s">
        <v>1040</v>
      </c>
      <c r="I398" s="86" t="s">
        <v>780</v>
      </c>
      <c r="J398" s="343">
        <v>7.3299999237060502</v>
      </c>
      <c r="K398" s="351">
        <f t="shared" si="35"/>
        <v>12</v>
      </c>
      <c r="L398" s="352">
        <v>12</v>
      </c>
      <c r="M398" s="448" t="str">
        <f>IF(L398="nio","",VLOOKUP(L398,'3-Productie normen'!$B$31:$H$45,3,FALSE))</f>
        <v>1 x per maand</v>
      </c>
      <c r="N398" s="353" t="e">
        <f t="shared" si="33"/>
        <v>#DIV/0!</v>
      </c>
      <c r="O398" s="354">
        <f>IF(L398="nio",0,IF(L398&gt;0,VLOOKUP(H398,'3-Productie normen'!A:P,VLOOKUP(L398,'3-Productie normen'!$B$31:$C$45,2,FALSE),FALSE)))/VLOOKUP(B398,'2-Kosten per locatie'!$A$13:$D$36,4,FALSE)</f>
        <v>0</v>
      </c>
      <c r="P398" s="82" t="str">
        <f>VLOOKUP(H398,'3-Productie normen'!A:T,20,FALSE)</f>
        <v>V</v>
      </c>
      <c r="Q398" s="447" t="s">
        <v>792</v>
      </c>
      <c r="S398" s="356">
        <f t="shared" si="34"/>
        <v>87.959999084472599</v>
      </c>
    </row>
    <row r="399" spans="1:19" ht="14.1" customHeight="1">
      <c r="A399" s="72">
        <f t="shared" si="36"/>
        <v>399</v>
      </c>
      <c r="B399" s="50" t="s">
        <v>807</v>
      </c>
      <c r="C399" s="50" t="s">
        <v>827</v>
      </c>
      <c r="D399" s="427" t="s">
        <v>1033</v>
      </c>
      <c r="E399" s="426" t="s">
        <v>275</v>
      </c>
      <c r="F399" s="349" t="s">
        <v>423</v>
      </c>
      <c r="G399" s="86" t="s">
        <v>279</v>
      </c>
      <c r="H399" s="50" t="s">
        <v>203</v>
      </c>
      <c r="I399" s="86" t="s">
        <v>780</v>
      </c>
      <c r="J399" s="343">
        <v>38.72</v>
      </c>
      <c r="K399" s="351">
        <f t="shared" si="35"/>
        <v>201</v>
      </c>
      <c r="L399" s="352">
        <v>201</v>
      </c>
      <c r="M399" s="448" t="str">
        <f>IF(L399="nio","",VLOOKUP(L399,'3-Productie normen'!$B$31:$H$45,3,FALSE))</f>
        <v>5 x per week (40 weken + 1 Zomer refreshbeurt)</v>
      </c>
      <c r="N399" s="353" t="e">
        <f t="shared" si="33"/>
        <v>#DIV/0!</v>
      </c>
      <c r="O399" s="354">
        <f>IF(L399="nio",0,IF(L399&gt;0,VLOOKUP(H399,'3-Productie normen'!A:P,VLOOKUP(L399,'3-Productie normen'!$B$31:$C$45,2,FALSE),FALSE)))/VLOOKUP(B399,'2-Kosten per locatie'!$A$13:$D$36,4,FALSE)</f>
        <v>0</v>
      </c>
      <c r="P399" s="82" t="str">
        <f>VLOOKUP(H399,'3-Productie normen'!A:T,20,FALSE)</f>
        <v>B</v>
      </c>
      <c r="Q399" s="447" t="s">
        <v>792</v>
      </c>
      <c r="S399" s="356">
        <f t="shared" si="34"/>
        <v>7782.7199999999993</v>
      </c>
    </row>
    <row r="400" spans="1:19" ht="14.1" customHeight="1">
      <c r="A400" s="72">
        <f t="shared" si="36"/>
        <v>400</v>
      </c>
      <c r="B400" s="50" t="s">
        <v>807</v>
      </c>
      <c r="C400" s="50" t="s">
        <v>827</v>
      </c>
      <c r="D400" s="427" t="s">
        <v>1033</v>
      </c>
      <c r="E400" s="426" t="s">
        <v>275</v>
      </c>
      <c r="F400" s="349" t="s">
        <v>424</v>
      </c>
      <c r="G400" s="86" t="s">
        <v>209</v>
      </c>
      <c r="H400" s="63" t="s">
        <v>1040</v>
      </c>
      <c r="I400" s="86" t="s">
        <v>780</v>
      </c>
      <c r="J400" s="343">
        <v>7.93</v>
      </c>
      <c r="K400" s="351">
        <f t="shared" si="35"/>
        <v>12</v>
      </c>
      <c r="L400" s="352">
        <v>12</v>
      </c>
      <c r="M400" s="448" t="str">
        <f>IF(L400="nio","",VLOOKUP(L400,'3-Productie normen'!$B$31:$H$45,3,FALSE))</f>
        <v>1 x per maand</v>
      </c>
      <c r="N400" s="353" t="e">
        <f t="shared" si="33"/>
        <v>#DIV/0!</v>
      </c>
      <c r="O400" s="354">
        <f>IF(L400="nio",0,IF(L400&gt;0,VLOOKUP(H400,'3-Productie normen'!A:P,VLOOKUP(L400,'3-Productie normen'!$B$31:$C$45,2,FALSE),FALSE)))/VLOOKUP(B400,'2-Kosten per locatie'!$A$13:$D$36,4,FALSE)</f>
        <v>0</v>
      </c>
      <c r="P400" s="82" t="str">
        <f>VLOOKUP(H400,'3-Productie normen'!A:T,20,FALSE)</f>
        <v>V</v>
      </c>
      <c r="Q400" s="447" t="s">
        <v>792</v>
      </c>
      <c r="S400" s="356">
        <f t="shared" si="34"/>
        <v>95.16</v>
      </c>
    </row>
    <row r="401" spans="1:19" ht="14.1" customHeight="1">
      <c r="A401" s="72">
        <f t="shared" si="36"/>
        <v>401</v>
      </c>
      <c r="B401" s="50" t="s">
        <v>807</v>
      </c>
      <c r="C401" s="50" t="s">
        <v>827</v>
      </c>
      <c r="D401" s="427" t="s">
        <v>1033</v>
      </c>
      <c r="E401" s="426" t="s">
        <v>275</v>
      </c>
      <c r="F401" s="349" t="s">
        <v>425</v>
      </c>
      <c r="G401" s="86" t="s">
        <v>311</v>
      </c>
      <c r="H401" s="86" t="s">
        <v>203</v>
      </c>
      <c r="I401" s="86" t="s">
        <v>780</v>
      </c>
      <c r="J401" s="343">
        <v>15.14</v>
      </c>
      <c r="K401" s="351">
        <f t="shared" si="35"/>
        <v>120</v>
      </c>
      <c r="L401" s="352">
        <v>120</v>
      </c>
      <c r="M401" s="448" t="str">
        <f>IF(L401="nio","",VLOOKUP(L401,'3-Productie normen'!$B$31:$H$45,3,FALSE))</f>
        <v>3 x per week (40 weken)</v>
      </c>
      <c r="N401" s="353" t="e">
        <f t="shared" si="33"/>
        <v>#DIV/0!</v>
      </c>
      <c r="O401" s="354">
        <f>IF(L401="nio",0,IF(L401&gt;0,VLOOKUP(H401,'3-Productie normen'!A:P,VLOOKUP(L401,'3-Productie normen'!$B$31:$C$45,2,FALSE),FALSE)))/VLOOKUP(B401,'2-Kosten per locatie'!$A$13:$D$36,4,FALSE)</f>
        <v>0</v>
      </c>
      <c r="P401" s="82" t="str">
        <f>VLOOKUP(H401,'3-Productie normen'!A:T,20,FALSE)</f>
        <v>B</v>
      </c>
      <c r="Q401" s="447" t="s">
        <v>792</v>
      </c>
      <c r="S401" s="356">
        <f t="shared" si="34"/>
        <v>1816.8000000000002</v>
      </c>
    </row>
    <row r="402" spans="1:19" ht="14.1" customHeight="1">
      <c r="A402" s="72">
        <f t="shared" si="36"/>
        <v>402</v>
      </c>
      <c r="B402" s="50" t="s">
        <v>807</v>
      </c>
      <c r="C402" s="50" t="s">
        <v>827</v>
      </c>
      <c r="D402" s="427" t="s">
        <v>1033</v>
      </c>
      <c r="E402" s="426" t="s">
        <v>275</v>
      </c>
      <c r="F402" s="349" t="s">
        <v>426</v>
      </c>
      <c r="G402" s="86" t="s">
        <v>222</v>
      </c>
      <c r="H402" s="86" t="s">
        <v>16</v>
      </c>
      <c r="I402" s="86" t="s">
        <v>781</v>
      </c>
      <c r="J402" s="343">
        <v>4.0700001716613796</v>
      </c>
      <c r="K402" s="351">
        <f t="shared" si="35"/>
        <v>201</v>
      </c>
      <c r="L402" s="352">
        <v>201</v>
      </c>
      <c r="M402" s="448" t="str">
        <f>IF(L402="nio","",VLOOKUP(L402,'3-Productie normen'!$B$31:$H$45,3,FALSE))</f>
        <v>5 x per week (40 weken + 1 Zomer refreshbeurt)</v>
      </c>
      <c r="N402" s="353" t="e">
        <f t="shared" si="33"/>
        <v>#DIV/0!</v>
      </c>
      <c r="O402" s="354">
        <f>IF(L402="nio",0,IF(L402&gt;0,VLOOKUP(H402,'3-Productie normen'!A:P,VLOOKUP(L402,'3-Productie normen'!$B$31:$C$45,2,FALSE),FALSE)))/VLOOKUP(B402,'2-Kosten per locatie'!$A$13:$D$36,4,FALSE)</f>
        <v>0</v>
      </c>
      <c r="P402" s="82" t="str">
        <f>VLOOKUP(H402,'3-Productie normen'!A:T,20,FALSE)</f>
        <v>S</v>
      </c>
      <c r="Q402" s="447" t="s">
        <v>952</v>
      </c>
      <c r="S402" s="356">
        <f t="shared" si="34"/>
        <v>818.07003450393734</v>
      </c>
    </row>
    <row r="403" spans="1:19" ht="14.1" customHeight="1">
      <c r="A403" s="72">
        <f t="shared" si="36"/>
        <v>403</v>
      </c>
      <c r="B403" s="50" t="s">
        <v>807</v>
      </c>
      <c r="C403" s="50" t="s">
        <v>827</v>
      </c>
      <c r="D403" s="427" t="s">
        <v>1033</v>
      </c>
      <c r="E403" s="426" t="s">
        <v>304</v>
      </c>
      <c r="F403" s="349" t="s">
        <v>305</v>
      </c>
      <c r="G403" s="86" t="s">
        <v>201</v>
      </c>
      <c r="H403" s="432" t="s">
        <v>198</v>
      </c>
      <c r="I403" s="86" t="s">
        <v>780</v>
      </c>
      <c r="J403" s="343">
        <v>5.86</v>
      </c>
      <c r="K403" s="351">
        <f t="shared" si="35"/>
        <v>200</v>
      </c>
      <c r="L403" s="352">
        <v>200</v>
      </c>
      <c r="M403" s="448" t="str">
        <f>IF(L403="nio","",VLOOKUP(L403,'3-Productie normen'!$B$31:$H$45,3,FALSE))</f>
        <v>5 x per week (40 weken)</v>
      </c>
      <c r="N403" s="353" t="e">
        <f t="shared" si="33"/>
        <v>#DIV/0!</v>
      </c>
      <c r="O403" s="354">
        <f>IF(L403="nio",0,IF(L403&gt;0,VLOOKUP(H403,'3-Productie normen'!A:P,VLOOKUP(L403,'3-Productie normen'!$B$31:$C$45,2,FALSE),FALSE)))/VLOOKUP(B403,'2-Kosten per locatie'!$A$13:$D$36,4,FALSE)</f>
        <v>0</v>
      </c>
      <c r="P403" s="82" t="str">
        <f>VLOOKUP(H403,'3-Productie normen'!A:T,20,FALSE)</f>
        <v>V</v>
      </c>
      <c r="Q403" s="447" t="s">
        <v>792</v>
      </c>
      <c r="S403" s="356">
        <f t="shared" si="34"/>
        <v>1172</v>
      </c>
    </row>
    <row r="404" spans="1:19" ht="14.1" customHeight="1">
      <c r="A404" s="72">
        <f t="shared" si="36"/>
        <v>404</v>
      </c>
      <c r="B404" s="50" t="s">
        <v>807</v>
      </c>
      <c r="C404" s="50" t="s">
        <v>827</v>
      </c>
      <c r="D404" s="427" t="s">
        <v>1033</v>
      </c>
      <c r="E404" s="426" t="s">
        <v>275</v>
      </c>
      <c r="F404" s="349" t="s">
        <v>306</v>
      </c>
      <c r="G404" s="86" t="s">
        <v>232</v>
      </c>
      <c r="H404" s="430" t="s">
        <v>1046</v>
      </c>
      <c r="I404" s="86" t="s">
        <v>92</v>
      </c>
      <c r="J404" s="343">
        <v>8.4799995422363299</v>
      </c>
      <c r="K404" s="351">
        <f t="shared" si="35"/>
        <v>200</v>
      </c>
      <c r="L404" s="352">
        <v>200</v>
      </c>
      <c r="M404" s="448" t="str">
        <f>IF(L404="nio","",VLOOKUP(L404,'3-Productie normen'!$B$31:$H$45,3,FALSE))</f>
        <v>5 x per week (40 weken)</v>
      </c>
      <c r="N404" s="353" t="e">
        <f t="shared" si="33"/>
        <v>#DIV/0!</v>
      </c>
      <c r="O404" s="354">
        <f>IF(L404="nio",0,IF(L404&gt;0,VLOOKUP(H404,'3-Productie normen'!A:P,VLOOKUP(L404,'3-Productie normen'!$B$31:$C$45,2,FALSE),FALSE)))/VLOOKUP(B404,'2-Kosten per locatie'!$A$13:$D$36,4,FALSE)</f>
        <v>0</v>
      </c>
      <c r="P404" s="82" t="str">
        <f>VLOOKUP(H404,'3-Productie normen'!A:T,20,FALSE)</f>
        <v>V</v>
      </c>
      <c r="Q404" s="447" t="s">
        <v>865</v>
      </c>
      <c r="S404" s="356">
        <f t="shared" si="34"/>
        <v>1695.9999084472661</v>
      </c>
    </row>
    <row r="405" spans="1:19" ht="14.1" customHeight="1">
      <c r="A405" s="72">
        <f t="shared" si="36"/>
        <v>405</v>
      </c>
      <c r="B405" s="50" t="s">
        <v>807</v>
      </c>
      <c r="C405" s="50" t="s">
        <v>827</v>
      </c>
      <c r="D405" s="427" t="s">
        <v>1033</v>
      </c>
      <c r="E405" s="426" t="s">
        <v>304</v>
      </c>
      <c r="F405" s="349" t="s">
        <v>307</v>
      </c>
      <c r="G405" s="86" t="s">
        <v>365</v>
      </c>
      <c r="H405" s="432" t="s">
        <v>198</v>
      </c>
      <c r="I405" s="86" t="s">
        <v>780</v>
      </c>
      <c r="J405" s="343">
        <v>90.76</v>
      </c>
      <c r="K405" s="351">
        <f t="shared" si="35"/>
        <v>200</v>
      </c>
      <c r="L405" s="352">
        <v>200</v>
      </c>
      <c r="M405" s="448" t="str">
        <f>IF(L405="nio","",VLOOKUP(L405,'3-Productie normen'!$B$31:$H$45,3,FALSE))</f>
        <v>5 x per week (40 weken)</v>
      </c>
      <c r="N405" s="353" t="e">
        <f t="shared" si="33"/>
        <v>#DIV/0!</v>
      </c>
      <c r="O405" s="354">
        <f>IF(L405="nio",0,IF(L405&gt;0,VLOOKUP(H405,'3-Productie normen'!A:P,VLOOKUP(L405,'3-Productie normen'!$B$31:$C$45,2,FALSE),FALSE)))/VLOOKUP(B405,'2-Kosten per locatie'!$A$13:$D$36,4,FALSE)</f>
        <v>0</v>
      </c>
      <c r="P405" s="82" t="str">
        <f>VLOOKUP(H405,'3-Productie normen'!A:T,20,FALSE)</f>
        <v>V</v>
      </c>
      <c r="Q405" s="447" t="s">
        <v>792</v>
      </c>
      <c r="S405" s="356">
        <f t="shared" si="34"/>
        <v>18152</v>
      </c>
    </row>
    <row r="406" spans="1:19" ht="14.1" customHeight="1">
      <c r="A406" s="72">
        <f t="shared" si="36"/>
        <v>406</v>
      </c>
      <c r="B406" s="50" t="s">
        <v>807</v>
      </c>
      <c r="C406" s="50" t="s">
        <v>827</v>
      </c>
      <c r="D406" s="427" t="s">
        <v>1033</v>
      </c>
      <c r="E406" s="426" t="s">
        <v>304</v>
      </c>
      <c r="F406" s="349" t="s">
        <v>308</v>
      </c>
      <c r="G406" s="86" t="s">
        <v>226</v>
      </c>
      <c r="H406" s="86" t="s">
        <v>16</v>
      </c>
      <c r="I406" s="86" t="s">
        <v>781</v>
      </c>
      <c r="J406" s="343">
        <v>8.1</v>
      </c>
      <c r="K406" s="351">
        <f t="shared" si="35"/>
        <v>201</v>
      </c>
      <c r="L406" s="352">
        <v>201</v>
      </c>
      <c r="M406" s="448" t="str">
        <f>IF(L406="nio","",VLOOKUP(L406,'3-Productie normen'!$B$31:$H$45,3,FALSE))</f>
        <v>5 x per week (40 weken + 1 Zomer refreshbeurt)</v>
      </c>
      <c r="N406" s="353" t="e">
        <f t="shared" si="33"/>
        <v>#DIV/0!</v>
      </c>
      <c r="O406" s="354">
        <f>IF(L406="nio",0,IF(L406&gt;0,VLOOKUP(H406,'3-Productie normen'!A:P,VLOOKUP(L406,'3-Productie normen'!$B$31:$C$45,2,FALSE),FALSE)))/VLOOKUP(B406,'2-Kosten per locatie'!$A$13:$D$36,4,FALSE)</f>
        <v>0</v>
      </c>
      <c r="P406" s="82" t="str">
        <f>VLOOKUP(H406,'3-Productie normen'!A:T,20,FALSE)</f>
        <v>S</v>
      </c>
      <c r="Q406" s="447" t="s">
        <v>894</v>
      </c>
      <c r="S406" s="356">
        <f t="shared" si="34"/>
        <v>1628.1</v>
      </c>
    </row>
    <row r="407" spans="1:19" ht="14.1" customHeight="1">
      <c r="A407" s="72">
        <f t="shared" si="36"/>
        <v>407</v>
      </c>
      <c r="B407" s="50" t="s">
        <v>807</v>
      </c>
      <c r="C407" s="50" t="s">
        <v>827</v>
      </c>
      <c r="D407" s="427" t="s">
        <v>1033</v>
      </c>
      <c r="E407" s="426" t="s">
        <v>304</v>
      </c>
      <c r="F407" s="349" t="s">
        <v>310</v>
      </c>
      <c r="G407" s="86" t="s">
        <v>298</v>
      </c>
      <c r="H407" s="86" t="s">
        <v>241</v>
      </c>
      <c r="I407" s="86" t="s">
        <v>780</v>
      </c>
      <c r="J407" s="343">
        <v>49.88</v>
      </c>
      <c r="K407" s="351">
        <f t="shared" si="35"/>
        <v>201</v>
      </c>
      <c r="L407" s="352">
        <v>201</v>
      </c>
      <c r="M407" s="448" t="str">
        <f>IF(L407="nio","",VLOOKUP(L407,'3-Productie normen'!$B$31:$H$45,3,FALSE))</f>
        <v>5 x per week (40 weken + 1 Zomer refreshbeurt)</v>
      </c>
      <c r="N407" s="353" t="e">
        <f t="shared" si="33"/>
        <v>#DIV/0!</v>
      </c>
      <c r="O407" s="354">
        <f>IF(L407="nio",0,IF(L407&gt;0,VLOOKUP(H407,'3-Productie normen'!A:P,VLOOKUP(L407,'3-Productie normen'!$B$31:$C$45,2,FALSE),FALSE)))/VLOOKUP(B407,'2-Kosten per locatie'!$A$13:$D$36,4,FALSE)</f>
        <v>0</v>
      </c>
      <c r="P407" s="82" t="str">
        <f>VLOOKUP(H407,'3-Productie normen'!A:T,20,FALSE)</f>
        <v>L</v>
      </c>
      <c r="Q407" s="447" t="s">
        <v>879</v>
      </c>
      <c r="S407" s="356">
        <f t="shared" si="34"/>
        <v>10025.880000000001</v>
      </c>
    </row>
    <row r="408" spans="1:19" ht="14.1" customHeight="1">
      <c r="A408" s="72">
        <f t="shared" si="36"/>
        <v>408</v>
      </c>
      <c r="B408" s="50" t="s">
        <v>807</v>
      </c>
      <c r="C408" s="50" t="s">
        <v>827</v>
      </c>
      <c r="D408" s="427" t="s">
        <v>1033</v>
      </c>
      <c r="E408" s="426" t="s">
        <v>304</v>
      </c>
      <c r="F408" s="349" t="s">
        <v>312</v>
      </c>
      <c r="G408" s="86" t="s">
        <v>298</v>
      </c>
      <c r="H408" s="86" t="s">
        <v>241</v>
      </c>
      <c r="I408" s="86" t="s">
        <v>780</v>
      </c>
      <c r="J408" s="343">
        <v>50.61</v>
      </c>
      <c r="K408" s="351">
        <f t="shared" si="35"/>
        <v>201</v>
      </c>
      <c r="L408" s="352">
        <v>201</v>
      </c>
      <c r="M408" s="448" t="str">
        <f>IF(L408="nio","",VLOOKUP(L408,'3-Productie normen'!$B$31:$H$45,3,FALSE))</f>
        <v>5 x per week (40 weken + 1 Zomer refreshbeurt)</v>
      </c>
      <c r="N408" s="353" t="e">
        <f t="shared" si="33"/>
        <v>#DIV/0!</v>
      </c>
      <c r="O408" s="354">
        <f>IF(L408="nio",0,IF(L408&gt;0,VLOOKUP(H408,'3-Productie normen'!A:P,VLOOKUP(L408,'3-Productie normen'!$B$31:$C$45,2,FALSE),FALSE)))/VLOOKUP(B408,'2-Kosten per locatie'!$A$13:$D$36,4,FALSE)</f>
        <v>0</v>
      </c>
      <c r="P408" s="82" t="str">
        <f>VLOOKUP(H408,'3-Productie normen'!A:T,20,FALSE)</f>
        <v>L</v>
      </c>
      <c r="Q408" s="447" t="s">
        <v>879</v>
      </c>
      <c r="S408" s="356">
        <f t="shared" si="34"/>
        <v>10172.61</v>
      </c>
    </row>
    <row r="409" spans="1:19" ht="14.1" customHeight="1">
      <c r="A409" s="72">
        <f t="shared" si="36"/>
        <v>409</v>
      </c>
      <c r="B409" s="50" t="s">
        <v>807</v>
      </c>
      <c r="C409" s="50" t="s">
        <v>827</v>
      </c>
      <c r="D409" s="427" t="s">
        <v>1033</v>
      </c>
      <c r="E409" s="426" t="s">
        <v>304</v>
      </c>
      <c r="F409" s="349" t="s">
        <v>313</v>
      </c>
      <c r="G409" s="86" t="s">
        <v>298</v>
      </c>
      <c r="H409" s="86" t="s">
        <v>241</v>
      </c>
      <c r="I409" s="86" t="s">
        <v>780</v>
      </c>
      <c r="J409" s="343">
        <v>49.92</v>
      </c>
      <c r="K409" s="351">
        <f t="shared" si="35"/>
        <v>201</v>
      </c>
      <c r="L409" s="352">
        <v>201</v>
      </c>
      <c r="M409" s="448" t="str">
        <f>IF(L409="nio","",VLOOKUP(L409,'3-Productie normen'!$B$31:$H$45,3,FALSE))</f>
        <v>5 x per week (40 weken + 1 Zomer refreshbeurt)</v>
      </c>
      <c r="N409" s="353" t="e">
        <f t="shared" si="33"/>
        <v>#DIV/0!</v>
      </c>
      <c r="O409" s="354">
        <f>IF(L409="nio",0,IF(L409&gt;0,VLOOKUP(H409,'3-Productie normen'!A:P,VLOOKUP(L409,'3-Productie normen'!$B$31:$C$45,2,FALSE),FALSE)))/VLOOKUP(B409,'2-Kosten per locatie'!$A$13:$D$36,4,FALSE)</f>
        <v>0</v>
      </c>
      <c r="P409" s="82" t="str">
        <f>VLOOKUP(H409,'3-Productie normen'!A:T,20,FALSE)</f>
        <v>L</v>
      </c>
      <c r="Q409" s="447" t="s">
        <v>879</v>
      </c>
      <c r="S409" s="356">
        <f t="shared" si="34"/>
        <v>10033.92</v>
      </c>
    </row>
    <row r="410" spans="1:19" ht="14.1" customHeight="1">
      <c r="A410" s="72">
        <f t="shared" si="36"/>
        <v>410</v>
      </c>
      <c r="B410" s="50" t="s">
        <v>807</v>
      </c>
      <c r="C410" s="50" t="s">
        <v>827</v>
      </c>
      <c r="D410" s="427" t="s">
        <v>1033</v>
      </c>
      <c r="E410" s="426" t="s">
        <v>304</v>
      </c>
      <c r="F410" s="349" t="s">
        <v>314</v>
      </c>
      <c r="G410" s="86" t="s">
        <v>226</v>
      </c>
      <c r="H410" s="86" t="s">
        <v>16</v>
      </c>
      <c r="I410" s="86" t="s">
        <v>781</v>
      </c>
      <c r="J410" s="343">
        <v>8.1</v>
      </c>
      <c r="K410" s="351">
        <f t="shared" si="35"/>
        <v>201</v>
      </c>
      <c r="L410" s="352">
        <v>201</v>
      </c>
      <c r="M410" s="448" t="str">
        <f>IF(L410="nio","",VLOOKUP(L410,'3-Productie normen'!$B$31:$H$45,3,FALSE))</f>
        <v>5 x per week (40 weken + 1 Zomer refreshbeurt)</v>
      </c>
      <c r="N410" s="353" t="e">
        <f t="shared" si="33"/>
        <v>#DIV/0!</v>
      </c>
      <c r="O410" s="354">
        <f>IF(L410="nio",0,IF(L410&gt;0,VLOOKUP(H410,'3-Productie normen'!A:P,VLOOKUP(L410,'3-Productie normen'!$B$31:$C$45,2,FALSE),FALSE)))/VLOOKUP(B410,'2-Kosten per locatie'!$A$13:$D$36,4,FALSE)</f>
        <v>0</v>
      </c>
      <c r="P410" s="82" t="str">
        <f>VLOOKUP(H410,'3-Productie normen'!A:T,20,FALSE)</f>
        <v>S</v>
      </c>
      <c r="Q410" s="447" t="s">
        <v>894</v>
      </c>
      <c r="S410" s="356">
        <f t="shared" si="34"/>
        <v>1628.1</v>
      </c>
    </row>
    <row r="411" spans="1:19" ht="14.1" customHeight="1">
      <c r="A411" s="72">
        <f t="shared" si="36"/>
        <v>411</v>
      </c>
      <c r="B411" s="50" t="s">
        <v>807</v>
      </c>
      <c r="C411" s="50" t="s">
        <v>827</v>
      </c>
      <c r="D411" s="427" t="s">
        <v>1033</v>
      </c>
      <c r="E411" s="426" t="s">
        <v>304</v>
      </c>
      <c r="F411" s="349" t="s">
        <v>315</v>
      </c>
      <c r="G411" s="86" t="s">
        <v>384</v>
      </c>
      <c r="H411" s="432" t="s">
        <v>198</v>
      </c>
      <c r="I411" s="86" t="s">
        <v>780</v>
      </c>
      <c r="J411" s="343">
        <v>132.330001831055</v>
      </c>
      <c r="K411" s="351">
        <f t="shared" si="35"/>
        <v>200</v>
      </c>
      <c r="L411" s="352">
        <v>200</v>
      </c>
      <c r="M411" s="448" t="str">
        <f>IF(L411="nio","",VLOOKUP(L411,'3-Productie normen'!$B$31:$H$45,3,FALSE))</f>
        <v>5 x per week (40 weken)</v>
      </c>
      <c r="N411" s="353" t="e">
        <f t="shared" si="33"/>
        <v>#DIV/0!</v>
      </c>
      <c r="O411" s="354">
        <f>IF(L411="nio",0,IF(L411&gt;0,VLOOKUP(H411,'3-Productie normen'!A:P,VLOOKUP(L411,'3-Productie normen'!$B$31:$C$45,2,FALSE),FALSE)))/VLOOKUP(B411,'2-Kosten per locatie'!$A$13:$D$36,4,FALSE)</f>
        <v>0</v>
      </c>
      <c r="P411" s="82" t="str">
        <f>VLOOKUP(H411,'3-Productie normen'!A:T,20,FALSE)</f>
        <v>V</v>
      </c>
      <c r="Q411" s="447" t="s">
        <v>792</v>
      </c>
      <c r="S411" s="356">
        <f t="shared" si="34"/>
        <v>26466.000366210999</v>
      </c>
    </row>
    <row r="412" spans="1:19" ht="14.1" customHeight="1">
      <c r="A412" s="72">
        <f t="shared" si="36"/>
        <v>412</v>
      </c>
      <c r="B412" s="50" t="s">
        <v>807</v>
      </c>
      <c r="C412" s="50" t="s">
        <v>827</v>
      </c>
      <c r="D412" s="427" t="s">
        <v>1033</v>
      </c>
      <c r="E412" s="426" t="s">
        <v>275</v>
      </c>
      <c r="F412" s="349" t="s">
        <v>594</v>
      </c>
      <c r="G412" s="86" t="s">
        <v>232</v>
      </c>
      <c r="H412" s="430" t="s">
        <v>1046</v>
      </c>
      <c r="I412" s="86" t="s">
        <v>788</v>
      </c>
      <c r="J412" s="343">
        <v>6.71</v>
      </c>
      <c r="K412" s="351">
        <f t="shared" si="35"/>
        <v>200</v>
      </c>
      <c r="L412" s="352">
        <v>200</v>
      </c>
      <c r="M412" s="448" t="str">
        <f>IF(L412="nio","",VLOOKUP(L412,'3-Productie normen'!$B$31:$H$45,3,FALSE))</f>
        <v>5 x per week (40 weken)</v>
      </c>
      <c r="N412" s="353" t="e">
        <f t="shared" si="33"/>
        <v>#DIV/0!</v>
      </c>
      <c r="O412" s="354">
        <f>IF(L412="nio",0,IF(L412&gt;0,VLOOKUP(H412,'3-Productie normen'!A:P,VLOOKUP(L412,'3-Productie normen'!$B$31:$C$45,2,FALSE),FALSE)))/VLOOKUP(B412,'2-Kosten per locatie'!$A$13:$D$36,4,FALSE)</f>
        <v>0</v>
      </c>
      <c r="P412" s="82" t="str">
        <f>VLOOKUP(H412,'3-Productie normen'!A:T,20,FALSE)</f>
        <v>V</v>
      </c>
      <c r="Q412" s="447" t="s">
        <v>792</v>
      </c>
      <c r="S412" s="356">
        <f t="shared" si="34"/>
        <v>1342</v>
      </c>
    </row>
    <row r="413" spans="1:19" ht="14.1" customHeight="1">
      <c r="A413" s="72">
        <f t="shared" si="36"/>
        <v>413</v>
      </c>
      <c r="B413" s="50" t="s">
        <v>807</v>
      </c>
      <c r="C413" s="50" t="s">
        <v>827</v>
      </c>
      <c r="D413" s="427" t="s">
        <v>1033</v>
      </c>
      <c r="E413" s="426" t="s">
        <v>304</v>
      </c>
      <c r="F413" s="349" t="s">
        <v>316</v>
      </c>
      <c r="G413" s="86" t="s">
        <v>206</v>
      </c>
      <c r="H413" s="65" t="s">
        <v>1053</v>
      </c>
      <c r="I413" s="86" t="s">
        <v>780</v>
      </c>
      <c r="J413" s="343">
        <v>6.24</v>
      </c>
      <c r="K413" s="351" t="str">
        <f t="shared" si="35"/>
        <v>nio</v>
      </c>
      <c r="L413" s="352" t="s">
        <v>804</v>
      </c>
      <c r="M413" s="448" t="str">
        <f>IF(L413="nio","",VLOOKUP(L413,'3-Productie normen'!$B$31:$H$45,3,FALSE))</f>
        <v/>
      </c>
      <c r="N413" s="353">
        <f t="shared" si="33"/>
        <v>0</v>
      </c>
      <c r="O413" s="354">
        <f>IF(L413="nio",0,IF(L413&gt;0,VLOOKUP(H413,'3-Productie normen'!A:P,VLOOKUP(L413,'3-Productie normen'!$B$31:$C$45,2,FALSE),FALSE)))/VLOOKUP(B413,'2-Kosten per locatie'!$A$13:$D$36,4,FALSE)</f>
        <v>0</v>
      </c>
      <c r="P413" s="82">
        <f>VLOOKUP(H413,'3-Productie normen'!A:T,20,FALSE)</f>
        <v>0</v>
      </c>
      <c r="Q413" s="447" t="s">
        <v>871</v>
      </c>
      <c r="S413" s="356">
        <f t="shared" si="34"/>
        <v>0</v>
      </c>
    </row>
    <row r="414" spans="1:19" ht="14.1" customHeight="1">
      <c r="A414" s="72">
        <f t="shared" si="36"/>
        <v>414</v>
      </c>
      <c r="B414" s="50" t="s">
        <v>807</v>
      </c>
      <c r="C414" s="50" t="s">
        <v>827</v>
      </c>
      <c r="D414" s="427" t="s">
        <v>1033</v>
      </c>
      <c r="E414" s="426" t="s">
        <v>304</v>
      </c>
      <c r="F414" s="349" t="s">
        <v>317</v>
      </c>
      <c r="G414" s="86" t="s">
        <v>328</v>
      </c>
      <c r="H414" s="86" t="s">
        <v>241</v>
      </c>
      <c r="I414" s="86" t="s">
        <v>780</v>
      </c>
      <c r="J414" s="343">
        <v>9.51</v>
      </c>
      <c r="K414" s="351">
        <f t="shared" si="35"/>
        <v>201</v>
      </c>
      <c r="L414" s="352">
        <v>201</v>
      </c>
      <c r="M414" s="448" t="str">
        <f>IF(L414="nio","",VLOOKUP(L414,'3-Productie normen'!$B$31:$H$45,3,FALSE))</f>
        <v>5 x per week (40 weken + 1 Zomer refreshbeurt)</v>
      </c>
      <c r="N414" s="353" t="e">
        <f t="shared" si="33"/>
        <v>#DIV/0!</v>
      </c>
      <c r="O414" s="354">
        <f>IF(L414="nio",0,IF(L414&gt;0,VLOOKUP(H414,'3-Productie normen'!A:P,VLOOKUP(L414,'3-Productie normen'!$B$31:$C$45,2,FALSE),FALSE)))/VLOOKUP(B414,'2-Kosten per locatie'!$A$13:$D$36,4,FALSE)</f>
        <v>0</v>
      </c>
      <c r="P414" s="82" t="str">
        <f>VLOOKUP(H414,'3-Productie normen'!A:T,20,FALSE)</f>
        <v>L</v>
      </c>
      <c r="Q414" s="447" t="s">
        <v>792</v>
      </c>
      <c r="S414" s="356">
        <f t="shared" si="34"/>
        <v>1911.51</v>
      </c>
    </row>
    <row r="415" spans="1:19" ht="14.1" customHeight="1">
      <c r="A415" s="72">
        <f t="shared" si="36"/>
        <v>415</v>
      </c>
      <c r="B415" s="50" t="s">
        <v>807</v>
      </c>
      <c r="C415" s="50" t="s">
        <v>827</v>
      </c>
      <c r="D415" s="427" t="s">
        <v>1033</v>
      </c>
      <c r="E415" s="426" t="s">
        <v>304</v>
      </c>
      <c r="F415" s="349" t="s">
        <v>318</v>
      </c>
      <c r="G415" s="86" t="s">
        <v>281</v>
      </c>
      <c r="H415" s="86" t="s">
        <v>203</v>
      </c>
      <c r="I415" s="86" t="s">
        <v>780</v>
      </c>
      <c r="J415" s="343">
        <v>17.5</v>
      </c>
      <c r="K415" s="351">
        <f t="shared" si="35"/>
        <v>120</v>
      </c>
      <c r="L415" s="352">
        <v>120</v>
      </c>
      <c r="M415" s="448" t="str">
        <f>IF(L415="nio","",VLOOKUP(L415,'3-Productie normen'!$B$31:$H$45,3,FALSE))</f>
        <v>3 x per week (40 weken)</v>
      </c>
      <c r="N415" s="353" t="e">
        <f t="shared" si="33"/>
        <v>#DIV/0!</v>
      </c>
      <c r="O415" s="354">
        <f>IF(L415="nio",0,IF(L415&gt;0,VLOOKUP(H415,'3-Productie normen'!A:P,VLOOKUP(L415,'3-Productie normen'!$B$31:$C$45,2,FALSE),FALSE)))/VLOOKUP(B415,'2-Kosten per locatie'!$A$13:$D$36,4,FALSE)</f>
        <v>0</v>
      </c>
      <c r="P415" s="82" t="str">
        <f>VLOOKUP(H415,'3-Productie normen'!A:T,20,FALSE)</f>
        <v>B</v>
      </c>
      <c r="Q415" s="447" t="s">
        <v>792</v>
      </c>
      <c r="S415" s="356">
        <f t="shared" si="34"/>
        <v>2100</v>
      </c>
    </row>
    <row r="416" spans="1:19" ht="14.1" customHeight="1">
      <c r="A416" s="72">
        <f t="shared" si="36"/>
        <v>416</v>
      </c>
      <c r="B416" s="50" t="s">
        <v>807</v>
      </c>
      <c r="C416" s="50" t="s">
        <v>827</v>
      </c>
      <c r="D416" s="427" t="s">
        <v>1033</v>
      </c>
      <c r="E416" s="426" t="s">
        <v>304</v>
      </c>
      <c r="F416" s="349" t="s">
        <v>319</v>
      </c>
      <c r="G416" s="86" t="s">
        <v>406</v>
      </c>
      <c r="H416" s="50" t="s">
        <v>203</v>
      </c>
      <c r="I416" s="86" t="s">
        <v>780</v>
      </c>
      <c r="J416" s="343">
        <v>10.3699998855591</v>
      </c>
      <c r="K416" s="351">
        <f t="shared" si="35"/>
        <v>120</v>
      </c>
      <c r="L416" s="352">
        <v>120</v>
      </c>
      <c r="M416" s="448" t="str">
        <f>IF(L416="nio","",VLOOKUP(L416,'3-Productie normen'!$B$31:$H$45,3,FALSE))</f>
        <v>3 x per week (40 weken)</v>
      </c>
      <c r="N416" s="353" t="e">
        <f t="shared" si="33"/>
        <v>#DIV/0!</v>
      </c>
      <c r="O416" s="354">
        <f>IF(L416="nio",0,IF(L416&gt;0,VLOOKUP(H416,'3-Productie normen'!A:P,VLOOKUP(L416,'3-Productie normen'!$B$31:$C$45,2,FALSE),FALSE)))/VLOOKUP(B416,'2-Kosten per locatie'!$A$13:$D$36,4,FALSE)</f>
        <v>0</v>
      </c>
      <c r="P416" s="82" t="str">
        <f>VLOOKUP(H416,'3-Productie normen'!A:T,20,FALSE)</f>
        <v>B</v>
      </c>
      <c r="Q416" s="447" t="s">
        <v>792</v>
      </c>
      <c r="S416" s="356">
        <f t="shared" si="34"/>
        <v>1244.3999862670919</v>
      </c>
    </row>
    <row r="417" spans="1:19" ht="14.1" customHeight="1">
      <c r="A417" s="72">
        <f t="shared" si="36"/>
        <v>417</v>
      </c>
      <c r="B417" s="50" t="s">
        <v>807</v>
      </c>
      <c r="C417" s="50" t="s">
        <v>827</v>
      </c>
      <c r="D417" s="427" t="s">
        <v>1033</v>
      </c>
      <c r="E417" s="426" t="s">
        <v>304</v>
      </c>
      <c r="F417" s="349" t="s">
        <v>595</v>
      </c>
      <c r="G417" s="86" t="s">
        <v>209</v>
      </c>
      <c r="H417" s="63" t="s">
        <v>1040</v>
      </c>
      <c r="I417" s="86" t="s">
        <v>780</v>
      </c>
      <c r="J417" s="343">
        <v>2.2000000000000002</v>
      </c>
      <c r="K417" s="351">
        <f t="shared" si="35"/>
        <v>12</v>
      </c>
      <c r="L417" s="352">
        <v>12</v>
      </c>
      <c r="M417" s="448" t="str">
        <f>IF(L417="nio","",VLOOKUP(L417,'3-Productie normen'!$B$31:$H$45,3,FALSE))</f>
        <v>1 x per maand</v>
      </c>
      <c r="N417" s="353" t="e">
        <f t="shared" si="33"/>
        <v>#DIV/0!</v>
      </c>
      <c r="O417" s="354">
        <f>IF(L417="nio",0,IF(L417&gt;0,VLOOKUP(H417,'3-Productie normen'!A:P,VLOOKUP(L417,'3-Productie normen'!$B$31:$C$45,2,FALSE),FALSE)))/VLOOKUP(B417,'2-Kosten per locatie'!$A$13:$D$36,4,FALSE)</f>
        <v>0</v>
      </c>
      <c r="P417" s="82" t="str">
        <f>VLOOKUP(H417,'3-Productie normen'!A:T,20,FALSE)</f>
        <v>V</v>
      </c>
      <c r="Q417" s="447" t="s">
        <v>792</v>
      </c>
      <c r="S417" s="356">
        <f t="shared" si="34"/>
        <v>26.400000000000002</v>
      </c>
    </row>
    <row r="418" spans="1:19" ht="14.1" customHeight="1">
      <c r="A418" s="72">
        <f t="shared" si="36"/>
        <v>418</v>
      </c>
      <c r="B418" s="50" t="s">
        <v>807</v>
      </c>
      <c r="C418" s="50" t="s">
        <v>827</v>
      </c>
      <c r="D418" s="427" t="s">
        <v>1033</v>
      </c>
      <c r="E418" s="426" t="s">
        <v>304</v>
      </c>
      <c r="F418" s="349" t="s">
        <v>320</v>
      </c>
      <c r="G418" s="86" t="s">
        <v>206</v>
      </c>
      <c r="H418" s="65" t="s">
        <v>1053</v>
      </c>
      <c r="I418" s="86" t="s">
        <v>92</v>
      </c>
      <c r="J418" s="343">
        <v>0.39</v>
      </c>
      <c r="K418" s="351" t="str">
        <f t="shared" si="35"/>
        <v>nio</v>
      </c>
      <c r="L418" s="352" t="s">
        <v>804</v>
      </c>
      <c r="M418" s="448" t="str">
        <f>IF(L418="nio","",VLOOKUP(L418,'3-Productie normen'!$B$31:$H$45,3,FALSE))</f>
        <v/>
      </c>
      <c r="N418" s="353">
        <f t="shared" si="33"/>
        <v>0</v>
      </c>
      <c r="O418" s="354">
        <f>IF(L418="nio",0,IF(L418&gt;0,VLOOKUP(H418,'3-Productie normen'!A:P,VLOOKUP(L418,'3-Productie normen'!$B$31:$C$45,2,FALSE),FALSE)))/VLOOKUP(B418,'2-Kosten per locatie'!$A$13:$D$36,4,FALSE)</f>
        <v>0</v>
      </c>
      <c r="P418" s="82">
        <f>VLOOKUP(H418,'3-Productie normen'!A:T,20,FALSE)</f>
        <v>0</v>
      </c>
      <c r="Q418" s="447" t="s">
        <v>852</v>
      </c>
      <c r="S418" s="356">
        <f t="shared" si="34"/>
        <v>0</v>
      </c>
    </row>
    <row r="419" spans="1:19" ht="14.1" customHeight="1">
      <c r="A419" s="72">
        <f t="shared" si="36"/>
        <v>419</v>
      </c>
      <c r="B419" s="50" t="s">
        <v>807</v>
      </c>
      <c r="C419" s="50" t="s">
        <v>827</v>
      </c>
      <c r="D419" s="427" t="s">
        <v>1033</v>
      </c>
      <c r="E419" s="426" t="s">
        <v>304</v>
      </c>
      <c r="F419" s="349" t="s">
        <v>321</v>
      </c>
      <c r="G419" s="86" t="s">
        <v>201</v>
      </c>
      <c r="H419" s="432" t="s">
        <v>198</v>
      </c>
      <c r="I419" s="86" t="s">
        <v>780</v>
      </c>
      <c r="J419" s="343">
        <v>11.9700002670288</v>
      </c>
      <c r="K419" s="351">
        <f t="shared" si="35"/>
        <v>200</v>
      </c>
      <c r="L419" s="352">
        <v>200</v>
      </c>
      <c r="M419" s="448" t="str">
        <f>IF(L419="nio","",VLOOKUP(L419,'3-Productie normen'!$B$31:$H$45,3,FALSE))</f>
        <v>5 x per week (40 weken)</v>
      </c>
      <c r="N419" s="353" t="e">
        <f t="shared" si="33"/>
        <v>#DIV/0!</v>
      </c>
      <c r="O419" s="354">
        <f>IF(L419="nio",0,IF(L419&gt;0,VLOOKUP(H419,'3-Productie normen'!A:P,VLOOKUP(L419,'3-Productie normen'!$B$31:$C$45,2,FALSE),FALSE)))/VLOOKUP(B419,'2-Kosten per locatie'!$A$13:$D$36,4,FALSE)</f>
        <v>0</v>
      </c>
      <c r="P419" s="82" t="str">
        <f>VLOOKUP(H419,'3-Productie normen'!A:T,20,FALSE)</f>
        <v>V</v>
      </c>
      <c r="Q419" s="447" t="s">
        <v>953</v>
      </c>
      <c r="S419" s="356">
        <f t="shared" si="34"/>
        <v>2394.0000534057599</v>
      </c>
    </row>
    <row r="420" spans="1:19" ht="14.1" customHeight="1">
      <c r="A420" s="72">
        <f t="shared" si="36"/>
        <v>420</v>
      </c>
      <c r="B420" s="50" t="s">
        <v>807</v>
      </c>
      <c r="C420" s="50" t="s">
        <v>827</v>
      </c>
      <c r="D420" s="427" t="s">
        <v>1033</v>
      </c>
      <c r="E420" s="426" t="s">
        <v>275</v>
      </c>
      <c r="F420" s="349" t="s">
        <v>596</v>
      </c>
      <c r="G420" s="86" t="s">
        <v>232</v>
      </c>
      <c r="H420" s="430" t="s">
        <v>1046</v>
      </c>
      <c r="I420" s="86" t="s">
        <v>92</v>
      </c>
      <c r="J420" s="343">
        <v>8.4799995422363299</v>
      </c>
      <c r="K420" s="351">
        <f t="shared" si="35"/>
        <v>200</v>
      </c>
      <c r="L420" s="352">
        <v>200</v>
      </c>
      <c r="M420" s="448" t="str">
        <f>IF(L420="nio","",VLOOKUP(L420,'3-Productie normen'!$B$31:$H$45,3,FALSE))</f>
        <v>5 x per week (40 weken)</v>
      </c>
      <c r="N420" s="353" t="e">
        <f t="shared" si="33"/>
        <v>#DIV/0!</v>
      </c>
      <c r="O420" s="354">
        <f>IF(L420="nio",0,IF(L420&gt;0,VLOOKUP(H420,'3-Productie normen'!A:P,VLOOKUP(L420,'3-Productie normen'!$B$31:$C$45,2,FALSE),FALSE)))/VLOOKUP(B420,'2-Kosten per locatie'!$A$13:$D$36,4,FALSE)</f>
        <v>0</v>
      </c>
      <c r="P420" s="82" t="str">
        <f>VLOOKUP(H420,'3-Productie normen'!A:T,20,FALSE)</f>
        <v>V</v>
      </c>
      <c r="Q420" s="447" t="s">
        <v>865</v>
      </c>
      <c r="S420" s="356">
        <f t="shared" si="34"/>
        <v>1695.9999084472661</v>
      </c>
    </row>
    <row r="421" spans="1:19" ht="14.1" customHeight="1">
      <c r="A421" s="72">
        <f t="shared" si="36"/>
        <v>421</v>
      </c>
      <c r="B421" s="50" t="s">
        <v>807</v>
      </c>
      <c r="C421" s="50" t="s">
        <v>827</v>
      </c>
      <c r="D421" s="427" t="s">
        <v>1033</v>
      </c>
      <c r="E421" s="426" t="s">
        <v>304</v>
      </c>
      <c r="F421" s="349" t="s">
        <v>322</v>
      </c>
      <c r="G421" s="86" t="s">
        <v>226</v>
      </c>
      <c r="H421" s="86" t="s">
        <v>16</v>
      </c>
      <c r="I421" s="86" t="s">
        <v>781</v>
      </c>
      <c r="J421" s="343">
        <v>8.1</v>
      </c>
      <c r="K421" s="351">
        <f t="shared" si="35"/>
        <v>201</v>
      </c>
      <c r="L421" s="352">
        <v>201</v>
      </c>
      <c r="M421" s="448" t="str">
        <f>IF(L421="nio","",VLOOKUP(L421,'3-Productie normen'!$B$31:$H$45,3,FALSE))</f>
        <v>5 x per week (40 weken + 1 Zomer refreshbeurt)</v>
      </c>
      <c r="N421" s="353" t="e">
        <f t="shared" si="33"/>
        <v>#DIV/0!</v>
      </c>
      <c r="O421" s="354">
        <f>IF(L421="nio",0,IF(L421&gt;0,VLOOKUP(H421,'3-Productie normen'!A:P,VLOOKUP(L421,'3-Productie normen'!$B$31:$C$45,2,FALSE),FALSE)))/VLOOKUP(B421,'2-Kosten per locatie'!$A$13:$D$36,4,FALSE)</f>
        <v>0</v>
      </c>
      <c r="P421" s="82" t="str">
        <f>VLOOKUP(H421,'3-Productie normen'!A:T,20,FALSE)</f>
        <v>S</v>
      </c>
      <c r="Q421" s="447" t="s">
        <v>894</v>
      </c>
      <c r="S421" s="356">
        <f t="shared" si="34"/>
        <v>1628.1</v>
      </c>
    </row>
    <row r="422" spans="1:19" ht="14.1" customHeight="1">
      <c r="A422" s="72">
        <f t="shared" si="36"/>
        <v>422</v>
      </c>
      <c r="B422" s="50" t="s">
        <v>807</v>
      </c>
      <c r="C422" s="50" t="s">
        <v>827</v>
      </c>
      <c r="D422" s="427" t="s">
        <v>1033</v>
      </c>
      <c r="E422" s="426" t="s">
        <v>304</v>
      </c>
      <c r="F422" s="349" t="s">
        <v>323</v>
      </c>
      <c r="G422" s="86" t="s">
        <v>365</v>
      </c>
      <c r="H422" s="432" t="s">
        <v>198</v>
      </c>
      <c r="I422" s="86" t="s">
        <v>780</v>
      </c>
      <c r="J422" s="343">
        <v>84.53</v>
      </c>
      <c r="K422" s="351">
        <f t="shared" si="35"/>
        <v>200</v>
      </c>
      <c r="L422" s="352">
        <v>200</v>
      </c>
      <c r="M422" s="448" t="str">
        <f>IF(L422="nio","",VLOOKUP(L422,'3-Productie normen'!$B$31:$H$45,3,FALSE))</f>
        <v>5 x per week (40 weken)</v>
      </c>
      <c r="N422" s="353" t="e">
        <f t="shared" si="33"/>
        <v>#DIV/0!</v>
      </c>
      <c r="O422" s="354">
        <f>IF(L422="nio",0,IF(L422&gt;0,VLOOKUP(H422,'3-Productie normen'!A:P,VLOOKUP(L422,'3-Productie normen'!$B$31:$C$45,2,FALSE),FALSE)))/VLOOKUP(B422,'2-Kosten per locatie'!$A$13:$D$36,4,FALSE)</f>
        <v>0</v>
      </c>
      <c r="P422" s="82" t="str">
        <f>VLOOKUP(H422,'3-Productie normen'!A:T,20,FALSE)</f>
        <v>V</v>
      </c>
      <c r="Q422" s="447" t="s">
        <v>792</v>
      </c>
      <c r="S422" s="356">
        <f t="shared" si="34"/>
        <v>16906</v>
      </c>
    </row>
    <row r="423" spans="1:19" ht="14.1" customHeight="1">
      <c r="A423" s="72">
        <f t="shared" si="36"/>
        <v>423</v>
      </c>
      <c r="B423" s="50" t="s">
        <v>807</v>
      </c>
      <c r="C423" s="50" t="s">
        <v>827</v>
      </c>
      <c r="D423" s="427" t="s">
        <v>1033</v>
      </c>
      <c r="E423" s="426" t="s">
        <v>304</v>
      </c>
      <c r="F423" s="349" t="s">
        <v>324</v>
      </c>
      <c r="G423" s="86" t="s">
        <v>298</v>
      </c>
      <c r="H423" s="86" t="s">
        <v>241</v>
      </c>
      <c r="I423" s="86" t="s">
        <v>780</v>
      </c>
      <c r="J423" s="343">
        <v>49.860000610351598</v>
      </c>
      <c r="K423" s="351">
        <f t="shared" si="35"/>
        <v>201</v>
      </c>
      <c r="L423" s="352">
        <v>201</v>
      </c>
      <c r="M423" s="448" t="str">
        <f>IF(L423="nio","",VLOOKUP(L423,'3-Productie normen'!$B$31:$H$45,3,FALSE))</f>
        <v>5 x per week (40 weken + 1 Zomer refreshbeurt)</v>
      </c>
      <c r="N423" s="353" t="e">
        <f t="shared" si="33"/>
        <v>#DIV/0!</v>
      </c>
      <c r="O423" s="354">
        <f>IF(L423="nio",0,IF(L423&gt;0,VLOOKUP(H423,'3-Productie normen'!A:P,VLOOKUP(L423,'3-Productie normen'!$B$31:$C$45,2,FALSE),FALSE)))/VLOOKUP(B423,'2-Kosten per locatie'!$A$13:$D$36,4,FALSE)</f>
        <v>0</v>
      </c>
      <c r="P423" s="82" t="str">
        <f>VLOOKUP(H423,'3-Productie normen'!A:T,20,FALSE)</f>
        <v>L</v>
      </c>
      <c r="Q423" s="447" t="s">
        <v>881</v>
      </c>
      <c r="S423" s="356">
        <f t="shared" si="34"/>
        <v>10021.860122680671</v>
      </c>
    </row>
    <row r="424" spans="1:19" ht="14.1" customHeight="1">
      <c r="A424" s="72">
        <f t="shared" si="36"/>
        <v>424</v>
      </c>
      <c r="B424" s="50" t="s">
        <v>807</v>
      </c>
      <c r="C424" s="50" t="s">
        <v>827</v>
      </c>
      <c r="D424" s="427" t="s">
        <v>1033</v>
      </c>
      <c r="E424" s="426" t="s">
        <v>304</v>
      </c>
      <c r="F424" s="349" t="s">
        <v>325</v>
      </c>
      <c r="G424" s="86" t="s">
        <v>298</v>
      </c>
      <c r="H424" s="86" t="s">
        <v>241</v>
      </c>
      <c r="I424" s="86" t="s">
        <v>780</v>
      </c>
      <c r="J424" s="343">
        <v>50.73</v>
      </c>
      <c r="K424" s="351">
        <f t="shared" si="35"/>
        <v>201</v>
      </c>
      <c r="L424" s="352">
        <v>201</v>
      </c>
      <c r="M424" s="448" t="str">
        <f>IF(L424="nio","",VLOOKUP(L424,'3-Productie normen'!$B$31:$H$45,3,FALSE))</f>
        <v>5 x per week (40 weken + 1 Zomer refreshbeurt)</v>
      </c>
      <c r="N424" s="353" t="e">
        <f t="shared" si="33"/>
        <v>#DIV/0!</v>
      </c>
      <c r="O424" s="354">
        <f>IF(L424="nio",0,IF(L424&gt;0,VLOOKUP(H424,'3-Productie normen'!A:P,VLOOKUP(L424,'3-Productie normen'!$B$31:$C$45,2,FALSE),FALSE)))/VLOOKUP(B424,'2-Kosten per locatie'!$A$13:$D$36,4,FALSE)</f>
        <v>0</v>
      </c>
      <c r="P424" s="82" t="str">
        <f>VLOOKUP(H424,'3-Productie normen'!A:T,20,FALSE)</f>
        <v>L</v>
      </c>
      <c r="Q424" s="447" t="s">
        <v>881</v>
      </c>
      <c r="S424" s="356">
        <f t="shared" si="34"/>
        <v>10196.73</v>
      </c>
    </row>
    <row r="425" spans="1:19" ht="14.1" customHeight="1">
      <c r="A425" s="72">
        <f t="shared" si="36"/>
        <v>425</v>
      </c>
      <c r="B425" s="50" t="s">
        <v>807</v>
      </c>
      <c r="C425" s="50" t="s">
        <v>827</v>
      </c>
      <c r="D425" s="427" t="s">
        <v>1033</v>
      </c>
      <c r="E425" s="426" t="s">
        <v>304</v>
      </c>
      <c r="F425" s="349" t="s">
        <v>597</v>
      </c>
      <c r="G425" s="86" t="s">
        <v>298</v>
      </c>
      <c r="H425" s="86" t="s">
        <v>241</v>
      </c>
      <c r="I425" s="86" t="s">
        <v>780</v>
      </c>
      <c r="J425" s="343">
        <v>49.89</v>
      </c>
      <c r="K425" s="351">
        <f t="shared" si="35"/>
        <v>201</v>
      </c>
      <c r="L425" s="352">
        <v>201</v>
      </c>
      <c r="M425" s="448" t="str">
        <f>IF(L425="nio","",VLOOKUP(L425,'3-Productie normen'!$B$31:$H$45,3,FALSE))</f>
        <v>5 x per week (40 weken + 1 Zomer refreshbeurt)</v>
      </c>
      <c r="N425" s="353" t="e">
        <f t="shared" si="33"/>
        <v>#DIV/0!</v>
      </c>
      <c r="O425" s="354">
        <f>IF(L425="nio",0,IF(L425&gt;0,VLOOKUP(H425,'3-Productie normen'!A:P,VLOOKUP(L425,'3-Productie normen'!$B$31:$C$45,2,FALSE),FALSE)))/VLOOKUP(B425,'2-Kosten per locatie'!$A$13:$D$36,4,FALSE)</f>
        <v>0</v>
      </c>
      <c r="P425" s="82" t="str">
        <f>VLOOKUP(H425,'3-Productie normen'!A:T,20,FALSE)</f>
        <v>L</v>
      </c>
      <c r="Q425" s="447" t="s">
        <v>881</v>
      </c>
      <c r="S425" s="356">
        <f t="shared" si="34"/>
        <v>10027.89</v>
      </c>
    </row>
    <row r="426" spans="1:19" ht="14.1" customHeight="1">
      <c r="A426" s="72">
        <f t="shared" si="36"/>
        <v>426</v>
      </c>
      <c r="B426" s="50" t="s">
        <v>807</v>
      </c>
      <c r="C426" s="50" t="s">
        <v>827</v>
      </c>
      <c r="D426" s="427" t="s">
        <v>1033</v>
      </c>
      <c r="E426" s="426" t="s">
        <v>304</v>
      </c>
      <c r="F426" s="349" t="s">
        <v>598</v>
      </c>
      <c r="G426" s="86" t="s">
        <v>226</v>
      </c>
      <c r="H426" s="50" t="s">
        <v>16</v>
      </c>
      <c r="I426" s="86" t="s">
        <v>781</v>
      </c>
      <c r="J426" s="343">
        <v>8.1</v>
      </c>
      <c r="K426" s="351">
        <f t="shared" si="35"/>
        <v>201</v>
      </c>
      <c r="L426" s="352">
        <v>201</v>
      </c>
      <c r="M426" s="448" t="str">
        <f>IF(L426="nio","",VLOOKUP(L426,'3-Productie normen'!$B$31:$H$45,3,FALSE))</f>
        <v>5 x per week (40 weken + 1 Zomer refreshbeurt)</v>
      </c>
      <c r="N426" s="353" t="e">
        <f t="shared" ref="N426:N430" si="37">IF(L426="nio",0,IF(L426&gt;0,L426*J426/O426,0))</f>
        <v>#DIV/0!</v>
      </c>
      <c r="O426" s="354">
        <f>IF(L426="nio",0,IF(L426&gt;0,VLOOKUP(H426,'3-Productie normen'!A:P,VLOOKUP(L426,'3-Productie normen'!$B$31:$C$45,2,FALSE),FALSE)))/VLOOKUP(B426,'2-Kosten per locatie'!$A$13:$D$36,4,FALSE)</f>
        <v>0</v>
      </c>
      <c r="P426" s="82" t="str">
        <f>VLOOKUP(H426,'3-Productie normen'!A:T,20,FALSE)</f>
        <v>S</v>
      </c>
      <c r="Q426" s="447" t="s">
        <v>894</v>
      </c>
      <c r="S426" s="356">
        <f t="shared" ref="S426:S430" si="38">IF(L426="nio",0,K426*J426)</f>
        <v>1628.1</v>
      </c>
    </row>
    <row r="427" spans="1:19" ht="14.1" customHeight="1">
      <c r="A427" s="72">
        <f t="shared" si="36"/>
        <v>427</v>
      </c>
      <c r="B427" s="50" t="s">
        <v>807</v>
      </c>
      <c r="C427" s="50" t="s">
        <v>827</v>
      </c>
      <c r="D427" s="427" t="s">
        <v>1033</v>
      </c>
      <c r="E427" s="426" t="s">
        <v>304</v>
      </c>
      <c r="F427" s="349" t="s">
        <v>599</v>
      </c>
      <c r="G427" s="86" t="s">
        <v>209</v>
      </c>
      <c r="H427" s="63" t="s">
        <v>1040</v>
      </c>
      <c r="I427" s="86" t="s">
        <v>780</v>
      </c>
      <c r="J427" s="343">
        <v>4.5199999999999996</v>
      </c>
      <c r="K427" s="351">
        <f t="shared" ref="K427:K430" si="39">L427</f>
        <v>12</v>
      </c>
      <c r="L427" s="352">
        <v>12</v>
      </c>
      <c r="M427" s="448" t="str">
        <f>IF(L427="nio","",VLOOKUP(L427,'3-Productie normen'!$B$31:$H$45,3,FALSE))</f>
        <v>1 x per maand</v>
      </c>
      <c r="N427" s="353" t="e">
        <f t="shared" si="37"/>
        <v>#DIV/0!</v>
      </c>
      <c r="O427" s="354">
        <f>IF(L427="nio",0,IF(L427&gt;0,VLOOKUP(H427,'3-Productie normen'!A:P,VLOOKUP(L427,'3-Productie normen'!$B$31:$C$45,2,FALSE),FALSE)))/VLOOKUP(B427,'2-Kosten per locatie'!$A$13:$D$36,4,FALSE)</f>
        <v>0</v>
      </c>
      <c r="P427" s="82" t="str">
        <f>VLOOKUP(H427,'3-Productie normen'!A:T,20,FALSE)</f>
        <v>V</v>
      </c>
      <c r="Q427" s="447" t="s">
        <v>792</v>
      </c>
      <c r="S427" s="356">
        <f t="shared" si="38"/>
        <v>54.239999999999995</v>
      </c>
    </row>
    <row r="428" spans="1:19" ht="14.1" customHeight="1">
      <c r="A428" s="72">
        <f t="shared" si="36"/>
        <v>428</v>
      </c>
      <c r="B428" s="50" t="s">
        <v>807</v>
      </c>
      <c r="C428" s="50" t="s">
        <v>827</v>
      </c>
      <c r="D428" s="427" t="s">
        <v>1033</v>
      </c>
      <c r="E428" s="426" t="s">
        <v>304</v>
      </c>
      <c r="F428" s="349" t="s">
        <v>600</v>
      </c>
      <c r="G428" s="86" t="s">
        <v>298</v>
      </c>
      <c r="H428" s="86" t="s">
        <v>241</v>
      </c>
      <c r="I428" s="86" t="s">
        <v>780</v>
      </c>
      <c r="J428" s="343">
        <v>50.1</v>
      </c>
      <c r="K428" s="351">
        <f t="shared" si="39"/>
        <v>201</v>
      </c>
      <c r="L428" s="352">
        <v>201</v>
      </c>
      <c r="M428" s="448" t="str">
        <f>IF(L428="nio","",VLOOKUP(L428,'3-Productie normen'!$B$31:$H$45,3,FALSE))</f>
        <v>5 x per week (40 weken + 1 Zomer refreshbeurt)</v>
      </c>
      <c r="N428" s="353" t="e">
        <f t="shared" si="37"/>
        <v>#DIV/0!</v>
      </c>
      <c r="O428" s="354">
        <f>IF(L428="nio",0,IF(L428&gt;0,VLOOKUP(H428,'3-Productie normen'!A:P,VLOOKUP(L428,'3-Productie normen'!$B$31:$C$45,2,FALSE),FALSE)))/VLOOKUP(B428,'2-Kosten per locatie'!$A$13:$D$36,4,FALSE)</f>
        <v>0</v>
      </c>
      <c r="P428" s="82" t="str">
        <f>VLOOKUP(H428,'3-Productie normen'!A:T,20,FALSE)</f>
        <v>L</v>
      </c>
      <c r="Q428" s="447" t="s">
        <v>880</v>
      </c>
      <c r="S428" s="356">
        <f t="shared" si="38"/>
        <v>10070.1</v>
      </c>
    </row>
    <row r="429" spans="1:19" ht="14.1" customHeight="1">
      <c r="A429" s="72">
        <f t="shared" si="36"/>
        <v>429</v>
      </c>
      <c r="B429" s="50" t="s">
        <v>807</v>
      </c>
      <c r="C429" s="50" t="s">
        <v>827</v>
      </c>
      <c r="D429" s="427" t="s">
        <v>1033</v>
      </c>
      <c r="E429" s="426" t="s">
        <v>304</v>
      </c>
      <c r="F429" s="349" t="s">
        <v>601</v>
      </c>
      <c r="G429" s="86" t="s">
        <v>298</v>
      </c>
      <c r="H429" s="86" t="s">
        <v>241</v>
      </c>
      <c r="I429" s="86" t="s">
        <v>780</v>
      </c>
      <c r="J429" s="343">
        <v>50.099998474121101</v>
      </c>
      <c r="K429" s="351">
        <f t="shared" si="39"/>
        <v>201</v>
      </c>
      <c r="L429" s="352">
        <v>201</v>
      </c>
      <c r="M429" s="448" t="str">
        <f>IF(L429="nio","",VLOOKUP(L429,'3-Productie normen'!$B$31:$H$45,3,FALSE))</f>
        <v>5 x per week (40 weken + 1 Zomer refreshbeurt)</v>
      </c>
      <c r="N429" s="353" t="e">
        <f t="shared" si="37"/>
        <v>#DIV/0!</v>
      </c>
      <c r="O429" s="354">
        <f>IF(L429="nio",0,IF(L429&gt;0,VLOOKUP(H429,'3-Productie normen'!A:P,VLOOKUP(L429,'3-Productie normen'!$B$31:$C$45,2,FALSE),FALSE)))/VLOOKUP(B429,'2-Kosten per locatie'!$A$13:$D$36,4,FALSE)</f>
        <v>0</v>
      </c>
      <c r="P429" s="82" t="str">
        <f>VLOOKUP(H429,'3-Productie normen'!A:T,20,FALSE)</f>
        <v>L</v>
      </c>
      <c r="Q429" s="447" t="s">
        <v>880</v>
      </c>
      <c r="S429" s="356">
        <f t="shared" si="38"/>
        <v>10070.099693298342</v>
      </c>
    </row>
    <row r="430" spans="1:19" ht="14.1" customHeight="1">
      <c r="A430" s="72">
        <f t="shared" si="36"/>
        <v>430</v>
      </c>
      <c r="B430" s="50" t="s">
        <v>807</v>
      </c>
      <c r="C430" s="50" t="s">
        <v>827</v>
      </c>
      <c r="D430" s="427" t="s">
        <v>1033</v>
      </c>
      <c r="E430" s="426" t="s">
        <v>304</v>
      </c>
      <c r="F430" s="349" t="s">
        <v>602</v>
      </c>
      <c r="G430" s="86" t="s">
        <v>215</v>
      </c>
      <c r="H430" s="63" t="s">
        <v>1040</v>
      </c>
      <c r="I430" s="86" t="s">
        <v>780</v>
      </c>
      <c r="J430" s="343">
        <v>4.59</v>
      </c>
      <c r="K430" s="351">
        <f t="shared" si="39"/>
        <v>12</v>
      </c>
      <c r="L430" s="352">
        <v>12</v>
      </c>
      <c r="M430" s="448" t="str">
        <f>IF(L430="nio","",VLOOKUP(L430,'3-Productie normen'!$B$31:$H$45,3,FALSE))</f>
        <v>1 x per maand</v>
      </c>
      <c r="N430" s="353" t="e">
        <f t="shared" si="37"/>
        <v>#DIV/0!</v>
      </c>
      <c r="O430" s="354">
        <f>IF(L430="nio",0,IF(L430&gt;0,VLOOKUP(H430,'3-Productie normen'!A:P,VLOOKUP(L430,'3-Productie normen'!$B$31:$C$45,2,FALSE),FALSE)))/VLOOKUP(B430,'2-Kosten per locatie'!$A$13:$D$36,4,FALSE)</f>
        <v>0</v>
      </c>
      <c r="P430" s="82" t="str">
        <f>VLOOKUP(H430,'3-Productie normen'!A:T,20,FALSE)</f>
        <v>V</v>
      </c>
      <c r="Q430" s="447" t="s">
        <v>853</v>
      </c>
      <c r="S430" s="356">
        <f t="shared" si="38"/>
        <v>55.08</v>
      </c>
    </row>
    <row r="431" spans="1:19" ht="14.1" customHeight="1">
      <c r="A431" s="72">
        <f t="shared" si="36"/>
        <v>431</v>
      </c>
      <c r="B431" s="50" t="s">
        <v>808</v>
      </c>
      <c r="C431" s="50" t="s">
        <v>828</v>
      </c>
      <c r="D431" s="427" t="s">
        <v>1033</v>
      </c>
      <c r="E431" s="426" t="s">
        <v>605</v>
      </c>
      <c r="F431" s="349" t="s">
        <v>606</v>
      </c>
      <c r="G431" s="86" t="s">
        <v>93</v>
      </c>
      <c r="H431" s="65" t="s">
        <v>1053</v>
      </c>
      <c r="I431" s="86" t="s">
        <v>92</v>
      </c>
      <c r="J431" s="343">
        <v>5.82</v>
      </c>
      <c r="K431" s="351" t="str">
        <f t="shared" ref="K431:K492" si="40">L431</f>
        <v>nio</v>
      </c>
      <c r="L431" s="352" t="s">
        <v>804</v>
      </c>
      <c r="M431" s="448" t="str">
        <f>IF(L431="nio","",VLOOKUP(L431,'3-Productie normen'!$B$31:$H$45,3,FALSE))</f>
        <v/>
      </c>
      <c r="N431" s="353">
        <f t="shared" ref="N431:N491" si="41">IF(L431="nio",0,IF(L431&gt;0,L431*J431/O431,0))</f>
        <v>0</v>
      </c>
      <c r="O431" s="354">
        <f>IF(L431="nio",0,IF(L431&gt;0,VLOOKUP(H431,'3-Productie normen'!A:P,VLOOKUP(L431,'3-Productie normen'!$B$31:$C$45,2,FALSE),FALSE)))/VLOOKUP(B431,'2-Kosten per locatie'!$A$13:$D$36,4,FALSE)</f>
        <v>0</v>
      </c>
      <c r="P431" s="82">
        <f>VLOOKUP(H431,'3-Productie normen'!A:T,20,FALSE)</f>
        <v>0</v>
      </c>
      <c r="Q431" s="447" t="s">
        <v>792</v>
      </c>
      <c r="S431" s="356">
        <f t="shared" ref="S431:S491" si="42">IF(L431="nio",0,K431*J431)</f>
        <v>0</v>
      </c>
    </row>
    <row r="432" spans="1:19" ht="14.1" customHeight="1">
      <c r="A432" s="72">
        <f t="shared" si="36"/>
        <v>432</v>
      </c>
      <c r="B432" s="50" t="s">
        <v>808</v>
      </c>
      <c r="C432" s="50" t="s">
        <v>828</v>
      </c>
      <c r="D432" s="427" t="s">
        <v>1033</v>
      </c>
      <c r="E432" s="426" t="s">
        <v>196</v>
      </c>
      <c r="F432" s="349" t="s">
        <v>197</v>
      </c>
      <c r="G432" s="86" t="s">
        <v>199</v>
      </c>
      <c r="H432" s="432" t="s">
        <v>198</v>
      </c>
      <c r="I432" s="86" t="s">
        <v>779</v>
      </c>
      <c r="J432" s="343">
        <v>3.34</v>
      </c>
      <c r="K432" s="351">
        <f t="shared" si="40"/>
        <v>200</v>
      </c>
      <c r="L432" s="352">
        <v>200</v>
      </c>
      <c r="M432" s="448" t="str">
        <f>IF(L432="nio","",VLOOKUP(L432,'3-Productie normen'!$B$31:$H$45,3,FALSE))</f>
        <v>5 x per week (40 weken)</v>
      </c>
      <c r="N432" s="353" t="e">
        <f t="shared" si="41"/>
        <v>#DIV/0!</v>
      </c>
      <c r="O432" s="354">
        <f>IF(L432="nio",0,IF(L432&gt;0,VLOOKUP(H432,'3-Productie normen'!A:P,VLOOKUP(L432,'3-Productie normen'!$B$31:$C$45,2,FALSE),FALSE)))/VLOOKUP(B432,'2-Kosten per locatie'!$A$13:$D$36,4,FALSE)</f>
        <v>0</v>
      </c>
      <c r="P432" s="82" t="str">
        <f>VLOOKUP(H432,'3-Productie normen'!A:T,20,FALSE)</f>
        <v>V</v>
      </c>
      <c r="Q432" s="447" t="s">
        <v>873</v>
      </c>
      <c r="S432" s="356">
        <f t="shared" si="42"/>
        <v>668</v>
      </c>
    </row>
    <row r="433" spans="1:19" ht="14.1" customHeight="1">
      <c r="A433" s="72">
        <f t="shared" si="36"/>
        <v>433</v>
      </c>
      <c r="B433" s="50" t="s">
        <v>808</v>
      </c>
      <c r="C433" s="50" t="s">
        <v>828</v>
      </c>
      <c r="D433" s="427" t="s">
        <v>1033</v>
      </c>
      <c r="E433" s="426" t="s">
        <v>196</v>
      </c>
      <c r="F433" s="349" t="s">
        <v>197</v>
      </c>
      <c r="G433" s="86" t="s">
        <v>199</v>
      </c>
      <c r="H433" s="432" t="s">
        <v>198</v>
      </c>
      <c r="I433" s="86" t="s">
        <v>780</v>
      </c>
      <c r="J433" s="343">
        <v>17.87</v>
      </c>
      <c r="K433" s="351">
        <f t="shared" si="40"/>
        <v>200</v>
      </c>
      <c r="L433" s="352">
        <v>200</v>
      </c>
      <c r="M433" s="448" t="str">
        <f>IF(L433="nio","",VLOOKUP(L433,'3-Productie normen'!$B$31:$H$45,3,FALSE))</f>
        <v>5 x per week (40 weken)</v>
      </c>
      <c r="N433" s="353" t="e">
        <f t="shared" si="41"/>
        <v>#DIV/0!</v>
      </c>
      <c r="O433" s="354">
        <f>IF(L433="nio",0,IF(L433&gt;0,VLOOKUP(H433,'3-Productie normen'!A:P,VLOOKUP(L433,'3-Productie normen'!$B$31:$C$45,2,FALSE),FALSE)))/VLOOKUP(B433,'2-Kosten per locatie'!$A$13:$D$36,4,FALSE)</f>
        <v>0</v>
      </c>
      <c r="P433" s="82" t="str">
        <f>VLOOKUP(H433,'3-Productie normen'!A:T,20,FALSE)</f>
        <v>V</v>
      </c>
      <c r="Q433" s="447" t="s">
        <v>792</v>
      </c>
      <c r="S433" s="356">
        <f t="shared" si="42"/>
        <v>3574</v>
      </c>
    </row>
    <row r="434" spans="1:19" ht="14.1" customHeight="1">
      <c r="A434" s="72">
        <f t="shared" si="36"/>
        <v>434</v>
      </c>
      <c r="B434" s="50" t="s">
        <v>808</v>
      </c>
      <c r="C434" s="50" t="s">
        <v>828</v>
      </c>
      <c r="D434" s="427" t="s">
        <v>1033</v>
      </c>
      <c r="E434" s="426" t="s">
        <v>196</v>
      </c>
      <c r="F434" s="349" t="s">
        <v>200</v>
      </c>
      <c r="G434" s="86" t="s">
        <v>212</v>
      </c>
      <c r="H434" s="65" t="s">
        <v>1053</v>
      </c>
      <c r="I434" s="86" t="s">
        <v>786</v>
      </c>
      <c r="J434" s="343">
        <v>3.52</v>
      </c>
      <c r="K434" s="351" t="str">
        <f t="shared" si="40"/>
        <v>nio</v>
      </c>
      <c r="L434" s="352" t="s">
        <v>804</v>
      </c>
      <c r="M434" s="448" t="str">
        <f>IF(L434="nio","",VLOOKUP(L434,'3-Productie normen'!$B$31:$H$45,3,FALSE))</f>
        <v/>
      </c>
      <c r="N434" s="353">
        <f t="shared" si="41"/>
        <v>0</v>
      </c>
      <c r="O434" s="354">
        <f>IF(L434="nio",0,IF(L434&gt;0,VLOOKUP(H434,'3-Productie normen'!A:P,VLOOKUP(L434,'3-Productie normen'!$B$31:$C$45,2,FALSE),FALSE)))/VLOOKUP(B434,'2-Kosten per locatie'!$A$13:$D$36,4,FALSE)</f>
        <v>0</v>
      </c>
      <c r="P434" s="82">
        <f>VLOOKUP(H434,'3-Productie normen'!A:T,20,FALSE)</f>
        <v>0</v>
      </c>
      <c r="Q434" s="447" t="s">
        <v>792</v>
      </c>
      <c r="S434" s="356">
        <f t="shared" si="42"/>
        <v>0</v>
      </c>
    </row>
    <row r="435" spans="1:19" ht="14.1" customHeight="1">
      <c r="A435" s="72">
        <f t="shared" si="36"/>
        <v>435</v>
      </c>
      <c r="B435" s="50" t="s">
        <v>808</v>
      </c>
      <c r="C435" s="50" t="s">
        <v>828</v>
      </c>
      <c r="D435" s="427" t="s">
        <v>1033</v>
      </c>
      <c r="E435" s="426" t="s">
        <v>196</v>
      </c>
      <c r="F435" s="349" t="s">
        <v>202</v>
      </c>
      <c r="G435" s="86" t="s">
        <v>212</v>
      </c>
      <c r="H435" s="65" t="s">
        <v>1053</v>
      </c>
      <c r="I435" s="86" t="s">
        <v>786</v>
      </c>
      <c r="J435" s="343">
        <v>16.2</v>
      </c>
      <c r="K435" s="351" t="str">
        <f t="shared" si="40"/>
        <v>nio</v>
      </c>
      <c r="L435" s="352" t="s">
        <v>804</v>
      </c>
      <c r="M435" s="448" t="str">
        <f>IF(L435="nio","",VLOOKUP(L435,'3-Productie normen'!$B$31:$H$45,3,FALSE))</f>
        <v/>
      </c>
      <c r="N435" s="353">
        <f t="shared" si="41"/>
        <v>0</v>
      </c>
      <c r="O435" s="354">
        <f>IF(L435="nio",0,IF(L435&gt;0,VLOOKUP(H435,'3-Productie normen'!A:P,VLOOKUP(L435,'3-Productie normen'!$B$31:$C$45,2,FALSE),FALSE)))/VLOOKUP(B435,'2-Kosten per locatie'!$A$13:$D$36,4,FALSE)</f>
        <v>0</v>
      </c>
      <c r="P435" s="82">
        <f>VLOOKUP(H435,'3-Productie normen'!A:T,20,FALSE)</f>
        <v>0</v>
      </c>
      <c r="Q435" s="447" t="s">
        <v>792</v>
      </c>
      <c r="S435" s="356">
        <f t="shared" si="42"/>
        <v>0</v>
      </c>
    </row>
    <row r="436" spans="1:19" ht="14.1" customHeight="1">
      <c r="A436" s="72">
        <f t="shared" si="36"/>
        <v>436</v>
      </c>
      <c r="B436" s="50" t="s">
        <v>808</v>
      </c>
      <c r="C436" s="50" t="s">
        <v>828</v>
      </c>
      <c r="D436" s="427" t="s">
        <v>1033</v>
      </c>
      <c r="E436" s="426" t="s">
        <v>196</v>
      </c>
      <c r="F436" s="349" t="s">
        <v>205</v>
      </c>
      <c r="G436" s="86" t="s">
        <v>226</v>
      </c>
      <c r="H436" s="86" t="s">
        <v>16</v>
      </c>
      <c r="I436" s="86" t="s">
        <v>785</v>
      </c>
      <c r="J436" s="343">
        <v>8.1300000000000008</v>
      </c>
      <c r="K436" s="351">
        <f t="shared" si="40"/>
        <v>201</v>
      </c>
      <c r="L436" s="352">
        <v>201</v>
      </c>
      <c r="M436" s="448" t="str">
        <f>IF(L436="nio","",VLOOKUP(L436,'3-Productie normen'!$B$31:$H$45,3,FALSE))</f>
        <v>5 x per week (40 weken + 1 Zomer refreshbeurt)</v>
      </c>
      <c r="N436" s="353" t="e">
        <f t="shared" si="41"/>
        <v>#DIV/0!</v>
      </c>
      <c r="O436" s="354">
        <f>IF(L436="nio",0,IF(L436&gt;0,VLOOKUP(H436,'3-Productie normen'!A:P,VLOOKUP(L436,'3-Productie normen'!$B$31:$C$45,2,FALSE),FALSE)))/VLOOKUP(B436,'2-Kosten per locatie'!$A$13:$D$36,4,FALSE)</f>
        <v>0</v>
      </c>
      <c r="P436" s="82" t="str">
        <f>VLOOKUP(H436,'3-Productie normen'!A:T,20,FALSE)</f>
        <v>S</v>
      </c>
      <c r="Q436" s="447" t="s">
        <v>955</v>
      </c>
      <c r="S436" s="356">
        <f t="shared" si="42"/>
        <v>1634.13</v>
      </c>
    </row>
    <row r="437" spans="1:19" ht="14.1" customHeight="1">
      <c r="A437" s="72">
        <f t="shared" si="36"/>
        <v>437</v>
      </c>
      <c r="B437" s="50" t="s">
        <v>808</v>
      </c>
      <c r="C437" s="50" t="s">
        <v>828</v>
      </c>
      <c r="D437" s="427" t="s">
        <v>1033</v>
      </c>
      <c r="E437" s="426" t="s">
        <v>196</v>
      </c>
      <c r="F437" s="349" t="s">
        <v>207</v>
      </c>
      <c r="G437" s="86" t="s">
        <v>201</v>
      </c>
      <c r="H437" s="432" t="s">
        <v>198</v>
      </c>
      <c r="I437" s="86" t="s">
        <v>779</v>
      </c>
      <c r="J437" s="343">
        <v>6</v>
      </c>
      <c r="K437" s="351">
        <f t="shared" si="40"/>
        <v>200</v>
      </c>
      <c r="L437" s="352">
        <v>200</v>
      </c>
      <c r="M437" s="448" t="str">
        <f>IF(L437="nio","",VLOOKUP(L437,'3-Productie normen'!$B$31:$H$45,3,FALSE))</f>
        <v>5 x per week (40 weken)</v>
      </c>
      <c r="N437" s="353" t="e">
        <f t="shared" si="41"/>
        <v>#DIV/0!</v>
      </c>
      <c r="O437" s="354">
        <f>IF(L437="nio",0,IF(L437&gt;0,VLOOKUP(H437,'3-Productie normen'!A:P,VLOOKUP(L437,'3-Productie normen'!$B$31:$C$45,2,FALSE),FALSE)))/VLOOKUP(B437,'2-Kosten per locatie'!$A$13:$D$36,4,FALSE)</f>
        <v>0</v>
      </c>
      <c r="P437" s="82" t="str">
        <f>VLOOKUP(H437,'3-Productie normen'!A:T,20,FALSE)</f>
        <v>V</v>
      </c>
      <c r="Q437" s="447" t="s">
        <v>873</v>
      </c>
      <c r="S437" s="356">
        <f t="shared" si="42"/>
        <v>1200</v>
      </c>
    </row>
    <row r="438" spans="1:19" ht="14.1" customHeight="1">
      <c r="A438" s="72">
        <f t="shared" si="36"/>
        <v>438</v>
      </c>
      <c r="B438" s="50" t="s">
        <v>808</v>
      </c>
      <c r="C438" s="50" t="s">
        <v>828</v>
      </c>
      <c r="D438" s="427" t="s">
        <v>1033</v>
      </c>
      <c r="E438" s="426" t="s">
        <v>196</v>
      </c>
      <c r="F438" s="349" t="s">
        <v>207</v>
      </c>
      <c r="G438" s="86" t="s">
        <v>201</v>
      </c>
      <c r="H438" s="432" t="s">
        <v>198</v>
      </c>
      <c r="I438" s="86" t="s">
        <v>780</v>
      </c>
      <c r="J438" s="343">
        <v>44.57</v>
      </c>
      <c r="K438" s="351">
        <f t="shared" si="40"/>
        <v>200</v>
      </c>
      <c r="L438" s="352">
        <v>200</v>
      </c>
      <c r="M438" s="448" t="str">
        <f>IF(L438="nio","",VLOOKUP(L438,'3-Productie normen'!$B$31:$H$45,3,FALSE))</f>
        <v>5 x per week (40 weken)</v>
      </c>
      <c r="N438" s="353" t="e">
        <f t="shared" si="41"/>
        <v>#DIV/0!</v>
      </c>
      <c r="O438" s="354">
        <f>IF(L438="nio",0,IF(L438&gt;0,VLOOKUP(H438,'3-Productie normen'!A:P,VLOOKUP(L438,'3-Productie normen'!$B$31:$C$45,2,FALSE),FALSE)))/VLOOKUP(B438,'2-Kosten per locatie'!$A$13:$D$36,4,FALSE)</f>
        <v>0</v>
      </c>
      <c r="P438" s="82" t="str">
        <f>VLOOKUP(H438,'3-Productie normen'!A:T,20,FALSE)</f>
        <v>V</v>
      </c>
      <c r="Q438" s="447" t="s">
        <v>792</v>
      </c>
      <c r="S438" s="356">
        <f t="shared" si="42"/>
        <v>8914</v>
      </c>
    </row>
    <row r="439" spans="1:19" ht="14.1" customHeight="1">
      <c r="A439" s="72">
        <f t="shared" si="36"/>
        <v>439</v>
      </c>
      <c r="B439" s="50" t="s">
        <v>808</v>
      </c>
      <c r="C439" s="50" t="s">
        <v>828</v>
      </c>
      <c r="D439" s="427" t="s">
        <v>1033</v>
      </c>
      <c r="E439" s="426" t="s">
        <v>196</v>
      </c>
      <c r="F439" s="349" t="s">
        <v>208</v>
      </c>
      <c r="G439" s="86" t="s">
        <v>298</v>
      </c>
      <c r="H439" s="86" t="s">
        <v>241</v>
      </c>
      <c r="I439" s="86" t="s">
        <v>780</v>
      </c>
      <c r="J439" s="343">
        <v>56.67</v>
      </c>
      <c r="K439" s="351">
        <f t="shared" si="40"/>
        <v>201</v>
      </c>
      <c r="L439" s="352">
        <v>201</v>
      </c>
      <c r="M439" s="448" t="str">
        <f>IF(L439="nio","",VLOOKUP(L439,'3-Productie normen'!$B$31:$H$45,3,FALSE))</f>
        <v>5 x per week (40 weken + 1 Zomer refreshbeurt)</v>
      </c>
      <c r="N439" s="353" t="e">
        <f t="shared" si="41"/>
        <v>#DIV/0!</v>
      </c>
      <c r="O439" s="354">
        <f>IF(L439="nio",0,IF(L439&gt;0,VLOOKUP(H439,'3-Productie normen'!A:P,VLOOKUP(L439,'3-Productie normen'!$B$31:$C$45,2,FALSE),FALSE)))/VLOOKUP(B439,'2-Kosten per locatie'!$A$13:$D$36,4,FALSE)</f>
        <v>0</v>
      </c>
      <c r="P439" s="82" t="str">
        <f>VLOOKUP(H439,'3-Productie normen'!A:T,20,FALSE)</f>
        <v>L</v>
      </c>
      <c r="Q439" s="447" t="s">
        <v>879</v>
      </c>
      <c r="S439" s="356">
        <f t="shared" si="42"/>
        <v>11390.67</v>
      </c>
    </row>
    <row r="440" spans="1:19" ht="14.1" customHeight="1">
      <c r="A440" s="72">
        <f t="shared" si="36"/>
        <v>440</v>
      </c>
      <c r="B440" s="50" t="s">
        <v>808</v>
      </c>
      <c r="C440" s="50" t="s">
        <v>828</v>
      </c>
      <c r="D440" s="427" t="s">
        <v>1033</v>
      </c>
      <c r="E440" s="426" t="s">
        <v>196</v>
      </c>
      <c r="F440" s="349" t="s">
        <v>210</v>
      </c>
      <c r="G440" s="86" t="s">
        <v>298</v>
      </c>
      <c r="H440" s="86" t="s">
        <v>241</v>
      </c>
      <c r="I440" s="86" t="s">
        <v>780</v>
      </c>
      <c r="J440" s="343">
        <v>56.68</v>
      </c>
      <c r="K440" s="351">
        <f t="shared" si="40"/>
        <v>201</v>
      </c>
      <c r="L440" s="352">
        <v>201</v>
      </c>
      <c r="M440" s="448" t="str">
        <f>IF(L440="nio","",VLOOKUP(L440,'3-Productie normen'!$B$31:$H$45,3,FALSE))</f>
        <v>5 x per week (40 weken + 1 Zomer refreshbeurt)</v>
      </c>
      <c r="N440" s="353" t="e">
        <f t="shared" si="41"/>
        <v>#DIV/0!</v>
      </c>
      <c r="O440" s="354">
        <f>IF(L440="nio",0,IF(L440&gt;0,VLOOKUP(H440,'3-Productie normen'!A:P,VLOOKUP(L440,'3-Productie normen'!$B$31:$C$45,2,FALSE),FALSE)))/VLOOKUP(B440,'2-Kosten per locatie'!$A$13:$D$36,4,FALSE)</f>
        <v>0</v>
      </c>
      <c r="P440" s="82" t="str">
        <f>VLOOKUP(H440,'3-Productie normen'!A:T,20,FALSE)</f>
        <v>L</v>
      </c>
      <c r="Q440" s="447" t="s">
        <v>875</v>
      </c>
      <c r="S440" s="356">
        <f t="shared" si="42"/>
        <v>11392.68</v>
      </c>
    </row>
    <row r="441" spans="1:19" ht="14.1" customHeight="1">
      <c r="A441" s="72">
        <f t="shared" si="36"/>
        <v>441</v>
      </c>
      <c r="B441" s="50" t="s">
        <v>808</v>
      </c>
      <c r="C441" s="50" t="s">
        <v>828</v>
      </c>
      <c r="D441" s="427" t="s">
        <v>1033</v>
      </c>
      <c r="E441" s="426" t="s">
        <v>196</v>
      </c>
      <c r="F441" s="349" t="s">
        <v>211</v>
      </c>
      <c r="G441" s="86" t="s">
        <v>298</v>
      </c>
      <c r="H441" s="86" t="s">
        <v>241</v>
      </c>
      <c r="I441" s="86" t="s">
        <v>780</v>
      </c>
      <c r="J441" s="343">
        <v>56.82</v>
      </c>
      <c r="K441" s="351">
        <f t="shared" si="40"/>
        <v>201</v>
      </c>
      <c r="L441" s="352">
        <v>201</v>
      </c>
      <c r="M441" s="448" t="str">
        <f>IF(L441="nio","",VLOOKUP(L441,'3-Productie normen'!$B$31:$H$45,3,FALSE))</f>
        <v>5 x per week (40 weken + 1 Zomer refreshbeurt)</v>
      </c>
      <c r="N441" s="353" t="e">
        <f t="shared" si="41"/>
        <v>#DIV/0!</v>
      </c>
      <c r="O441" s="354">
        <f>IF(L441="nio",0,IF(L441&gt;0,VLOOKUP(H441,'3-Productie normen'!A:P,VLOOKUP(L441,'3-Productie normen'!$B$31:$C$45,2,FALSE),FALSE)))/VLOOKUP(B441,'2-Kosten per locatie'!$A$13:$D$36,4,FALSE)</f>
        <v>0</v>
      </c>
      <c r="P441" s="82" t="str">
        <f>VLOOKUP(H441,'3-Productie normen'!A:T,20,FALSE)</f>
        <v>L</v>
      </c>
      <c r="Q441" s="447" t="s">
        <v>956</v>
      </c>
      <c r="S441" s="356">
        <f t="shared" si="42"/>
        <v>11420.82</v>
      </c>
    </row>
    <row r="442" spans="1:19" ht="14.1" customHeight="1">
      <c r="A442" s="72">
        <f t="shared" si="36"/>
        <v>442</v>
      </c>
      <c r="B442" s="50" t="s">
        <v>808</v>
      </c>
      <c r="C442" s="50" t="s">
        <v>828</v>
      </c>
      <c r="D442" s="427" t="s">
        <v>1033</v>
      </c>
      <c r="E442" s="426" t="s">
        <v>196</v>
      </c>
      <c r="F442" s="349" t="s">
        <v>213</v>
      </c>
      <c r="G442" s="86" t="s">
        <v>607</v>
      </c>
      <c r="H442" s="50" t="s">
        <v>16</v>
      </c>
      <c r="I442" s="86" t="s">
        <v>785</v>
      </c>
      <c r="J442" s="343">
        <v>10.62</v>
      </c>
      <c r="K442" s="351">
        <f t="shared" si="40"/>
        <v>201</v>
      </c>
      <c r="L442" s="352">
        <v>201</v>
      </c>
      <c r="M442" s="448" t="str">
        <f>IF(L442="nio","",VLOOKUP(L442,'3-Productie normen'!$B$31:$H$45,3,FALSE))</f>
        <v>5 x per week (40 weken + 1 Zomer refreshbeurt)</v>
      </c>
      <c r="N442" s="353" t="e">
        <f t="shared" si="41"/>
        <v>#DIV/0!</v>
      </c>
      <c r="O442" s="354">
        <f>IF(L442="nio",0,IF(L442&gt;0,VLOOKUP(H442,'3-Productie normen'!A:P,VLOOKUP(L442,'3-Productie normen'!$B$31:$C$45,2,FALSE),FALSE)))/VLOOKUP(B442,'2-Kosten per locatie'!$A$13:$D$36,4,FALSE)</f>
        <v>0</v>
      </c>
      <c r="P442" s="82" t="str">
        <f>VLOOKUP(H442,'3-Productie normen'!A:T,20,FALSE)</f>
        <v>S</v>
      </c>
      <c r="Q442" s="447" t="s">
        <v>912</v>
      </c>
      <c r="S442" s="356">
        <f t="shared" si="42"/>
        <v>2134.62</v>
      </c>
    </row>
    <row r="443" spans="1:19" ht="14.1" customHeight="1">
      <c r="A443" s="72">
        <f t="shared" si="36"/>
        <v>443</v>
      </c>
      <c r="B443" s="50" t="s">
        <v>808</v>
      </c>
      <c r="C443" s="50" t="s">
        <v>828</v>
      </c>
      <c r="D443" s="427" t="s">
        <v>1033</v>
      </c>
      <c r="E443" s="426" t="s">
        <v>196</v>
      </c>
      <c r="F443" s="349" t="s">
        <v>214</v>
      </c>
      <c r="G443" s="86" t="s">
        <v>209</v>
      </c>
      <c r="H443" s="63" t="s">
        <v>1040</v>
      </c>
      <c r="I443" s="86" t="s">
        <v>91</v>
      </c>
      <c r="J443" s="343">
        <v>1.41</v>
      </c>
      <c r="K443" s="351">
        <f t="shared" si="40"/>
        <v>12</v>
      </c>
      <c r="L443" s="352">
        <v>12</v>
      </c>
      <c r="M443" s="448" t="str">
        <f>IF(L443="nio","",VLOOKUP(L443,'3-Productie normen'!$B$31:$H$45,3,FALSE))</f>
        <v>1 x per maand</v>
      </c>
      <c r="N443" s="353" t="e">
        <f t="shared" si="41"/>
        <v>#DIV/0!</v>
      </c>
      <c r="O443" s="354">
        <f>IF(L443="nio",0,IF(L443&gt;0,VLOOKUP(H443,'3-Productie normen'!A:P,VLOOKUP(L443,'3-Productie normen'!$B$31:$C$45,2,FALSE),FALSE)))/VLOOKUP(B443,'2-Kosten per locatie'!$A$13:$D$36,4,FALSE)</f>
        <v>0</v>
      </c>
      <c r="P443" s="82" t="str">
        <f>VLOOKUP(H443,'3-Productie normen'!A:T,20,FALSE)</f>
        <v>V</v>
      </c>
      <c r="Q443" s="447" t="s">
        <v>792</v>
      </c>
      <c r="S443" s="356">
        <f t="shared" si="42"/>
        <v>16.919999999999998</v>
      </c>
    </row>
    <row r="444" spans="1:19" ht="14.1" customHeight="1">
      <c r="A444" s="72">
        <f t="shared" si="36"/>
        <v>444</v>
      </c>
      <c r="B444" s="50" t="s">
        <v>808</v>
      </c>
      <c r="C444" s="50" t="s">
        <v>828</v>
      </c>
      <c r="D444" s="427" t="s">
        <v>1033</v>
      </c>
      <c r="E444" s="426" t="s">
        <v>196</v>
      </c>
      <c r="F444" s="349" t="s">
        <v>216</v>
      </c>
      <c r="G444" s="86" t="s">
        <v>201</v>
      </c>
      <c r="H444" s="432" t="s">
        <v>198</v>
      </c>
      <c r="I444" s="86" t="s">
        <v>780</v>
      </c>
      <c r="J444" s="343">
        <v>14.75</v>
      </c>
      <c r="K444" s="351">
        <f t="shared" si="40"/>
        <v>200</v>
      </c>
      <c r="L444" s="352">
        <v>200</v>
      </c>
      <c r="M444" s="448" t="str">
        <f>IF(L444="nio","",VLOOKUP(L444,'3-Productie normen'!$B$31:$H$45,3,FALSE))</f>
        <v>5 x per week (40 weken)</v>
      </c>
      <c r="N444" s="353" t="e">
        <f t="shared" si="41"/>
        <v>#DIV/0!</v>
      </c>
      <c r="O444" s="354">
        <f>IF(L444="nio",0,IF(L444&gt;0,VLOOKUP(H444,'3-Productie normen'!A:P,VLOOKUP(L444,'3-Productie normen'!$B$31:$C$45,2,FALSE),FALSE)))/VLOOKUP(B444,'2-Kosten per locatie'!$A$13:$D$36,4,FALSE)</f>
        <v>0</v>
      </c>
      <c r="P444" s="82" t="str">
        <f>VLOOKUP(H444,'3-Productie normen'!A:T,20,FALSE)</f>
        <v>V</v>
      </c>
      <c r="Q444" s="447" t="s">
        <v>792</v>
      </c>
      <c r="S444" s="356">
        <f t="shared" si="42"/>
        <v>2950</v>
      </c>
    </row>
    <row r="445" spans="1:19" ht="14.1" customHeight="1">
      <c r="A445" s="72">
        <f t="shared" si="36"/>
        <v>445</v>
      </c>
      <c r="B445" s="50" t="s">
        <v>808</v>
      </c>
      <c r="C445" s="50" t="s">
        <v>828</v>
      </c>
      <c r="D445" s="427" t="s">
        <v>1033</v>
      </c>
      <c r="E445" s="426" t="s">
        <v>196</v>
      </c>
      <c r="F445" s="349" t="s">
        <v>217</v>
      </c>
      <c r="G445" s="86" t="s">
        <v>242</v>
      </c>
      <c r="H445" s="86" t="s">
        <v>241</v>
      </c>
      <c r="I445" s="86" t="s">
        <v>780</v>
      </c>
      <c r="J445" s="343">
        <v>61.46</v>
      </c>
      <c r="K445" s="351">
        <f t="shared" si="40"/>
        <v>201</v>
      </c>
      <c r="L445" s="352">
        <v>201</v>
      </c>
      <c r="M445" s="448" t="str">
        <f>IF(L445="nio","",VLOOKUP(L445,'3-Productie normen'!$B$31:$H$45,3,FALSE))</f>
        <v>5 x per week (40 weken + 1 Zomer refreshbeurt)</v>
      </c>
      <c r="N445" s="353" t="e">
        <f t="shared" si="41"/>
        <v>#DIV/0!</v>
      </c>
      <c r="O445" s="354">
        <f>IF(L445="nio",0,IF(L445&gt;0,VLOOKUP(H445,'3-Productie normen'!A:P,VLOOKUP(L445,'3-Productie normen'!$B$31:$C$45,2,FALSE),FALSE)))/VLOOKUP(B445,'2-Kosten per locatie'!$A$13:$D$36,4,FALSE)</f>
        <v>0</v>
      </c>
      <c r="P445" s="82" t="str">
        <f>VLOOKUP(H445,'3-Productie normen'!A:T,20,FALSE)</f>
        <v>L</v>
      </c>
      <c r="Q445" s="447" t="s">
        <v>874</v>
      </c>
      <c r="S445" s="356">
        <f t="shared" si="42"/>
        <v>12353.460000000001</v>
      </c>
    </row>
    <row r="446" spans="1:19" ht="14.1" customHeight="1">
      <c r="A446" s="72">
        <f t="shared" si="36"/>
        <v>446</v>
      </c>
      <c r="B446" s="50" t="s">
        <v>808</v>
      </c>
      <c r="C446" s="50" t="s">
        <v>828</v>
      </c>
      <c r="D446" s="427" t="s">
        <v>1033</v>
      </c>
      <c r="E446" s="426" t="s">
        <v>196</v>
      </c>
      <c r="F446" s="349" t="s">
        <v>217</v>
      </c>
      <c r="G446" s="86" t="s">
        <v>359</v>
      </c>
      <c r="H446" s="86" t="s">
        <v>241</v>
      </c>
      <c r="I446" s="86" t="s">
        <v>180</v>
      </c>
      <c r="J446" s="343">
        <v>8</v>
      </c>
      <c r="K446" s="351">
        <f t="shared" si="40"/>
        <v>201</v>
      </c>
      <c r="L446" s="352">
        <v>201</v>
      </c>
      <c r="M446" s="448" t="str">
        <f>IF(L446="nio","",VLOOKUP(L446,'3-Productie normen'!$B$31:$H$45,3,FALSE))</f>
        <v>5 x per week (40 weken + 1 Zomer refreshbeurt)</v>
      </c>
      <c r="N446" s="353" t="e">
        <f t="shared" si="41"/>
        <v>#DIV/0!</v>
      </c>
      <c r="O446" s="354">
        <f>IF(L446="nio",0,IF(L446&gt;0,VLOOKUP(H446,'3-Productie normen'!A:P,VLOOKUP(L446,'3-Productie normen'!$B$31:$C$45,2,FALSE),FALSE)))/VLOOKUP(B446,'2-Kosten per locatie'!$A$13:$D$36,4,FALSE)</f>
        <v>0</v>
      </c>
      <c r="P446" s="82" t="str">
        <f>VLOOKUP(H446,'3-Productie normen'!A:T,20,FALSE)</f>
        <v>L</v>
      </c>
      <c r="Q446" s="447" t="s">
        <v>792</v>
      </c>
      <c r="S446" s="356">
        <f t="shared" si="42"/>
        <v>1608</v>
      </c>
    </row>
    <row r="447" spans="1:19" ht="14.1" customHeight="1">
      <c r="A447" s="72">
        <f t="shared" si="36"/>
        <v>447</v>
      </c>
      <c r="B447" s="50" t="s">
        <v>808</v>
      </c>
      <c r="C447" s="50" t="s">
        <v>828</v>
      </c>
      <c r="D447" s="427" t="s">
        <v>1033</v>
      </c>
      <c r="E447" s="426" t="s">
        <v>196</v>
      </c>
      <c r="F447" s="349" t="s">
        <v>218</v>
      </c>
      <c r="G447" s="86" t="s">
        <v>242</v>
      </c>
      <c r="H447" s="86" t="s">
        <v>241</v>
      </c>
      <c r="I447" s="86" t="s">
        <v>780</v>
      </c>
      <c r="J447" s="343">
        <v>49.44</v>
      </c>
      <c r="K447" s="351">
        <f t="shared" si="40"/>
        <v>201</v>
      </c>
      <c r="L447" s="352">
        <v>201</v>
      </c>
      <c r="M447" s="448" t="str">
        <f>IF(L447="nio","",VLOOKUP(L447,'3-Productie normen'!$B$31:$H$45,3,FALSE))</f>
        <v>5 x per week (40 weken + 1 Zomer refreshbeurt)</v>
      </c>
      <c r="N447" s="353" t="e">
        <f t="shared" si="41"/>
        <v>#DIV/0!</v>
      </c>
      <c r="O447" s="354">
        <f>IF(L447="nio",0,IF(L447&gt;0,VLOOKUP(H447,'3-Productie normen'!A:P,VLOOKUP(L447,'3-Productie normen'!$B$31:$C$45,2,FALSE),FALSE)))/VLOOKUP(B447,'2-Kosten per locatie'!$A$13:$D$36,4,FALSE)</f>
        <v>0</v>
      </c>
      <c r="P447" s="82" t="str">
        <f>VLOOKUP(H447,'3-Productie normen'!A:T,20,FALSE)</f>
        <v>L</v>
      </c>
      <c r="Q447" s="447" t="s">
        <v>877</v>
      </c>
      <c r="S447" s="356">
        <f t="shared" si="42"/>
        <v>9937.4399999999987</v>
      </c>
    </row>
    <row r="448" spans="1:19" ht="14.1" customHeight="1">
      <c r="A448" s="72">
        <f t="shared" si="36"/>
        <v>448</v>
      </c>
      <c r="B448" s="50" t="s">
        <v>808</v>
      </c>
      <c r="C448" s="50" t="s">
        <v>828</v>
      </c>
      <c r="D448" s="427" t="s">
        <v>1033</v>
      </c>
      <c r="E448" s="426" t="s">
        <v>196</v>
      </c>
      <c r="F448" s="349" t="s">
        <v>219</v>
      </c>
      <c r="G448" s="86" t="s">
        <v>326</v>
      </c>
      <c r="H448" s="65" t="s">
        <v>241</v>
      </c>
      <c r="I448" s="86" t="s">
        <v>780</v>
      </c>
      <c r="J448" s="343">
        <v>129.12</v>
      </c>
      <c r="K448" s="351">
        <f t="shared" si="40"/>
        <v>201</v>
      </c>
      <c r="L448" s="352">
        <v>201</v>
      </c>
      <c r="M448" s="448" t="str">
        <f>IF(L448="nio","",VLOOKUP(L448,'3-Productie normen'!$B$31:$H$45,3,FALSE))</f>
        <v>5 x per week (40 weken + 1 Zomer refreshbeurt)</v>
      </c>
      <c r="N448" s="353" t="e">
        <f t="shared" si="41"/>
        <v>#DIV/0!</v>
      </c>
      <c r="O448" s="354">
        <f>IF(L448="nio",0,IF(L448&gt;0,VLOOKUP(H448,'3-Productie normen'!A:P,VLOOKUP(L448,'3-Productie normen'!$B$31:$C$45,2,FALSE),FALSE)))/VLOOKUP(B448,'2-Kosten per locatie'!$A$13:$D$36,4,FALSE)</f>
        <v>0</v>
      </c>
      <c r="P448" s="82" t="str">
        <f>VLOOKUP(H448,'3-Productie normen'!A:T,20,FALSE)</f>
        <v>L</v>
      </c>
      <c r="Q448" s="447" t="s">
        <v>792</v>
      </c>
      <c r="S448" s="356">
        <f t="shared" si="42"/>
        <v>25953.120000000003</v>
      </c>
    </row>
    <row r="449" spans="1:19" ht="14.1" customHeight="1">
      <c r="A449" s="72">
        <f t="shared" si="36"/>
        <v>449</v>
      </c>
      <c r="B449" s="50" t="s">
        <v>808</v>
      </c>
      <c r="C449" s="50" t="s">
        <v>828</v>
      </c>
      <c r="D449" s="427" t="s">
        <v>1033</v>
      </c>
      <c r="E449" s="426" t="s">
        <v>196</v>
      </c>
      <c r="F449" s="349" t="s">
        <v>220</v>
      </c>
      <c r="G449" s="86" t="s">
        <v>199</v>
      </c>
      <c r="H449" s="432" t="s">
        <v>198</v>
      </c>
      <c r="I449" s="86" t="s">
        <v>779</v>
      </c>
      <c r="J449" s="343">
        <v>2</v>
      </c>
      <c r="K449" s="351">
        <f t="shared" si="40"/>
        <v>200</v>
      </c>
      <c r="L449" s="352">
        <v>200</v>
      </c>
      <c r="M449" s="448" t="str">
        <f>IF(L449="nio","",VLOOKUP(L449,'3-Productie normen'!$B$31:$H$45,3,FALSE))</f>
        <v>5 x per week (40 weken)</v>
      </c>
      <c r="N449" s="353" t="e">
        <f t="shared" si="41"/>
        <v>#DIV/0!</v>
      </c>
      <c r="O449" s="354">
        <f>IF(L449="nio",0,IF(L449&gt;0,VLOOKUP(H449,'3-Productie normen'!A:P,VLOOKUP(L449,'3-Productie normen'!$B$31:$C$45,2,FALSE),FALSE)))/VLOOKUP(B449,'2-Kosten per locatie'!$A$13:$D$36,4,FALSE)</f>
        <v>0</v>
      </c>
      <c r="P449" s="82" t="str">
        <f>VLOOKUP(H449,'3-Productie normen'!A:T,20,FALSE)</f>
        <v>V</v>
      </c>
      <c r="Q449" s="447" t="s">
        <v>906</v>
      </c>
      <c r="S449" s="356">
        <f t="shared" si="42"/>
        <v>400</v>
      </c>
    </row>
    <row r="450" spans="1:19" ht="14.1" customHeight="1">
      <c r="A450" s="72">
        <f t="shared" si="36"/>
        <v>450</v>
      </c>
      <c r="B450" s="50" t="s">
        <v>808</v>
      </c>
      <c r="C450" s="50" t="s">
        <v>828</v>
      </c>
      <c r="D450" s="427" t="s">
        <v>1033</v>
      </c>
      <c r="E450" s="426" t="s">
        <v>196</v>
      </c>
      <c r="F450" s="349" t="s">
        <v>220</v>
      </c>
      <c r="G450" s="86" t="s">
        <v>199</v>
      </c>
      <c r="H450" s="432" t="s">
        <v>198</v>
      </c>
      <c r="I450" s="86" t="s">
        <v>91</v>
      </c>
      <c r="J450" s="343">
        <v>4.0599999999999996</v>
      </c>
      <c r="K450" s="351">
        <f t="shared" si="40"/>
        <v>200</v>
      </c>
      <c r="L450" s="352">
        <v>200</v>
      </c>
      <c r="M450" s="448" t="str">
        <f>IF(L450="nio","",VLOOKUP(L450,'3-Productie normen'!$B$31:$H$45,3,FALSE))</f>
        <v>5 x per week (40 weken)</v>
      </c>
      <c r="N450" s="353" t="e">
        <f t="shared" si="41"/>
        <v>#DIV/0!</v>
      </c>
      <c r="O450" s="354">
        <f>IF(L450="nio",0,IF(L450&gt;0,VLOOKUP(H450,'3-Productie normen'!A:P,VLOOKUP(L450,'3-Productie normen'!$B$31:$C$45,2,FALSE),FALSE)))/VLOOKUP(B450,'2-Kosten per locatie'!$A$13:$D$36,4,FALSE)</f>
        <v>0</v>
      </c>
      <c r="P450" s="82" t="str">
        <f>VLOOKUP(H450,'3-Productie normen'!A:T,20,FALSE)</f>
        <v>V</v>
      </c>
      <c r="Q450" s="447" t="s">
        <v>792</v>
      </c>
      <c r="S450" s="356">
        <f t="shared" si="42"/>
        <v>811.99999999999989</v>
      </c>
    </row>
    <row r="451" spans="1:19" ht="14.1" customHeight="1">
      <c r="A451" s="72">
        <f t="shared" si="36"/>
        <v>451</v>
      </c>
      <c r="B451" s="50" t="s">
        <v>808</v>
      </c>
      <c r="C451" s="50" t="s">
        <v>828</v>
      </c>
      <c r="D451" s="427" t="s">
        <v>1033</v>
      </c>
      <c r="E451" s="426" t="s">
        <v>196</v>
      </c>
      <c r="F451" s="349" t="s">
        <v>221</v>
      </c>
      <c r="G451" s="86" t="s">
        <v>201</v>
      </c>
      <c r="H451" s="432" t="s">
        <v>198</v>
      </c>
      <c r="I451" s="86" t="s">
        <v>91</v>
      </c>
      <c r="J451" s="343">
        <v>52.2</v>
      </c>
      <c r="K451" s="351">
        <f t="shared" si="40"/>
        <v>200</v>
      </c>
      <c r="L451" s="352">
        <v>200</v>
      </c>
      <c r="M451" s="448" t="str">
        <f>IF(L451="nio","",VLOOKUP(L451,'3-Productie normen'!$B$31:$H$45,3,FALSE))</f>
        <v>5 x per week (40 weken)</v>
      </c>
      <c r="N451" s="353" t="e">
        <f t="shared" si="41"/>
        <v>#DIV/0!</v>
      </c>
      <c r="O451" s="354">
        <f>IF(L451="nio",0,IF(L451&gt;0,VLOOKUP(H451,'3-Productie normen'!A:P,VLOOKUP(L451,'3-Productie normen'!$B$31:$C$45,2,FALSE),FALSE)))/VLOOKUP(B451,'2-Kosten per locatie'!$A$13:$D$36,4,FALSE)</f>
        <v>0</v>
      </c>
      <c r="P451" s="82" t="str">
        <f>VLOOKUP(H451,'3-Productie normen'!A:T,20,FALSE)</f>
        <v>V</v>
      </c>
      <c r="Q451" s="447" t="s">
        <v>792</v>
      </c>
      <c r="S451" s="356">
        <f t="shared" si="42"/>
        <v>10440</v>
      </c>
    </row>
    <row r="452" spans="1:19" ht="14.1" customHeight="1">
      <c r="A452" s="72">
        <f t="shared" si="36"/>
        <v>452</v>
      </c>
      <c r="B452" s="50" t="s">
        <v>808</v>
      </c>
      <c r="C452" s="50" t="s">
        <v>828</v>
      </c>
      <c r="D452" s="427" t="s">
        <v>1033</v>
      </c>
      <c r="E452" s="426" t="s">
        <v>196</v>
      </c>
      <c r="F452" s="349" t="s">
        <v>223</v>
      </c>
      <c r="G452" s="86" t="s">
        <v>242</v>
      </c>
      <c r="H452" s="86" t="s">
        <v>241</v>
      </c>
      <c r="I452" s="86" t="s">
        <v>780</v>
      </c>
      <c r="J452" s="343">
        <v>63.86</v>
      </c>
      <c r="K452" s="351">
        <f t="shared" si="40"/>
        <v>201</v>
      </c>
      <c r="L452" s="352">
        <v>201</v>
      </c>
      <c r="M452" s="448" t="str">
        <f>IF(L452="nio","",VLOOKUP(L452,'3-Productie normen'!$B$31:$H$45,3,FALSE))</f>
        <v>5 x per week (40 weken + 1 Zomer refreshbeurt)</v>
      </c>
      <c r="N452" s="353" t="e">
        <f t="shared" si="41"/>
        <v>#DIV/0!</v>
      </c>
      <c r="O452" s="354">
        <f>IF(L452="nio",0,IF(L452&gt;0,VLOOKUP(H452,'3-Productie normen'!A:P,VLOOKUP(L452,'3-Productie normen'!$B$31:$C$45,2,FALSE),FALSE)))/VLOOKUP(B452,'2-Kosten per locatie'!$A$13:$D$36,4,FALSE)</f>
        <v>0</v>
      </c>
      <c r="P452" s="82" t="str">
        <f>VLOOKUP(H452,'3-Productie normen'!A:T,20,FALSE)</f>
        <v>L</v>
      </c>
      <c r="Q452" s="447" t="s">
        <v>874</v>
      </c>
      <c r="S452" s="356">
        <f t="shared" si="42"/>
        <v>12835.86</v>
      </c>
    </row>
    <row r="453" spans="1:19" ht="14.1" customHeight="1">
      <c r="A453" s="72">
        <f t="shared" si="36"/>
        <v>453</v>
      </c>
      <c r="B453" s="50" t="s">
        <v>808</v>
      </c>
      <c r="C453" s="50" t="s">
        <v>828</v>
      </c>
      <c r="D453" s="427" t="s">
        <v>1033</v>
      </c>
      <c r="E453" s="426" t="s">
        <v>196</v>
      </c>
      <c r="F453" s="349" t="s">
        <v>223</v>
      </c>
      <c r="G453" s="86" t="s">
        <v>359</v>
      </c>
      <c r="H453" s="86" t="s">
        <v>241</v>
      </c>
      <c r="I453" s="86" t="s">
        <v>180</v>
      </c>
      <c r="J453" s="343">
        <v>8</v>
      </c>
      <c r="K453" s="351">
        <f t="shared" si="40"/>
        <v>201</v>
      </c>
      <c r="L453" s="352">
        <v>201</v>
      </c>
      <c r="M453" s="448" t="str">
        <f>IF(L453="nio","",VLOOKUP(L453,'3-Productie normen'!$B$31:$H$45,3,FALSE))</f>
        <v>5 x per week (40 weken + 1 Zomer refreshbeurt)</v>
      </c>
      <c r="N453" s="353" t="e">
        <f t="shared" si="41"/>
        <v>#DIV/0!</v>
      </c>
      <c r="O453" s="354">
        <f>IF(L453="nio",0,IF(L453&gt;0,VLOOKUP(H453,'3-Productie normen'!A:P,VLOOKUP(L453,'3-Productie normen'!$B$31:$C$45,2,FALSE),FALSE)))/VLOOKUP(B453,'2-Kosten per locatie'!$A$13:$D$36,4,FALSE)</f>
        <v>0</v>
      </c>
      <c r="P453" s="82" t="str">
        <f>VLOOKUP(H453,'3-Productie normen'!A:T,20,FALSE)</f>
        <v>L</v>
      </c>
      <c r="Q453" s="447" t="s">
        <v>792</v>
      </c>
      <c r="S453" s="356">
        <f t="shared" si="42"/>
        <v>1608</v>
      </c>
    </row>
    <row r="454" spans="1:19" ht="14.1" customHeight="1">
      <c r="A454" s="72">
        <f t="shared" si="36"/>
        <v>454</v>
      </c>
      <c r="B454" s="50" t="s">
        <v>808</v>
      </c>
      <c r="C454" s="50" t="s">
        <v>828</v>
      </c>
      <c r="D454" s="427" t="s">
        <v>1033</v>
      </c>
      <c r="E454" s="426" t="s">
        <v>196</v>
      </c>
      <c r="F454" s="349" t="s">
        <v>224</v>
      </c>
      <c r="G454" s="86" t="s">
        <v>226</v>
      </c>
      <c r="H454" s="86" t="s">
        <v>16</v>
      </c>
      <c r="I454" s="86" t="s">
        <v>785</v>
      </c>
      <c r="J454" s="343">
        <v>5.62</v>
      </c>
      <c r="K454" s="351">
        <f t="shared" si="40"/>
        <v>201</v>
      </c>
      <c r="L454" s="352">
        <v>201</v>
      </c>
      <c r="M454" s="448" t="str">
        <f>IF(L454="nio","",VLOOKUP(L454,'3-Productie normen'!$B$31:$H$45,3,FALSE))</f>
        <v>5 x per week (40 weken + 1 Zomer refreshbeurt)</v>
      </c>
      <c r="N454" s="353" t="e">
        <f t="shared" si="41"/>
        <v>#DIV/0!</v>
      </c>
      <c r="O454" s="354">
        <f>IF(L454="nio",0,IF(L454&gt;0,VLOOKUP(H454,'3-Productie normen'!A:P,VLOOKUP(L454,'3-Productie normen'!$B$31:$C$45,2,FALSE),FALSE)))/VLOOKUP(B454,'2-Kosten per locatie'!$A$13:$D$36,4,FALSE)</f>
        <v>0</v>
      </c>
      <c r="P454" s="82" t="str">
        <f>VLOOKUP(H454,'3-Productie normen'!A:T,20,FALSE)</f>
        <v>S</v>
      </c>
      <c r="Q454" s="447" t="s">
        <v>855</v>
      </c>
      <c r="S454" s="356">
        <f t="shared" si="42"/>
        <v>1129.6200000000001</v>
      </c>
    </row>
    <row r="455" spans="1:19" ht="14.1" customHeight="1">
      <c r="A455" s="72">
        <f t="shared" si="36"/>
        <v>455</v>
      </c>
      <c r="B455" s="50" t="s">
        <v>808</v>
      </c>
      <c r="C455" s="50" t="s">
        <v>828</v>
      </c>
      <c r="D455" s="427" t="s">
        <v>1033</v>
      </c>
      <c r="E455" s="426" t="s">
        <v>196</v>
      </c>
      <c r="F455" s="349" t="s">
        <v>225</v>
      </c>
      <c r="G455" s="86" t="s">
        <v>204</v>
      </c>
      <c r="H455" s="65" t="s">
        <v>1053</v>
      </c>
      <c r="I455" s="86" t="s">
        <v>780</v>
      </c>
      <c r="J455" s="343">
        <v>12.65</v>
      </c>
      <c r="K455" s="351" t="str">
        <f t="shared" si="40"/>
        <v>nio</v>
      </c>
      <c r="L455" s="352" t="s">
        <v>804</v>
      </c>
      <c r="M455" s="448" t="str">
        <f>IF(L455="nio","",VLOOKUP(L455,'3-Productie normen'!$B$31:$H$45,3,FALSE))</f>
        <v/>
      </c>
      <c r="N455" s="353">
        <f t="shared" si="41"/>
        <v>0</v>
      </c>
      <c r="O455" s="354">
        <f>IF(L455="nio",0,IF(L455&gt;0,VLOOKUP(H455,'3-Productie normen'!A:P,VLOOKUP(L455,'3-Productie normen'!$B$31:$C$45,2,FALSE),FALSE)))/VLOOKUP(B455,'2-Kosten per locatie'!$A$13:$D$36,4,FALSE)</f>
        <v>0</v>
      </c>
      <c r="P455" s="82">
        <f>VLOOKUP(H455,'3-Productie normen'!A:T,20,FALSE)</f>
        <v>0</v>
      </c>
      <c r="Q455" s="447" t="s">
        <v>792</v>
      </c>
      <c r="S455" s="356">
        <f t="shared" si="42"/>
        <v>0</v>
      </c>
    </row>
    <row r="456" spans="1:19" ht="14.1" customHeight="1">
      <c r="A456" s="72">
        <f t="shared" si="36"/>
        <v>456</v>
      </c>
      <c r="B456" s="50" t="s">
        <v>808</v>
      </c>
      <c r="C456" s="50" t="s">
        <v>828</v>
      </c>
      <c r="D456" s="427" t="s">
        <v>1033</v>
      </c>
      <c r="E456" s="426" t="s">
        <v>196</v>
      </c>
      <c r="F456" s="349" t="s">
        <v>227</v>
      </c>
      <c r="G456" s="86" t="s">
        <v>206</v>
      </c>
      <c r="H456" s="65" t="s">
        <v>1053</v>
      </c>
      <c r="I456" s="86" t="s">
        <v>92</v>
      </c>
      <c r="J456" s="343">
        <v>0.259999990463257</v>
      </c>
      <c r="K456" s="351" t="str">
        <f t="shared" si="40"/>
        <v>nio</v>
      </c>
      <c r="L456" s="352" t="s">
        <v>804</v>
      </c>
      <c r="M456" s="448" t="str">
        <f>IF(L456="nio","",VLOOKUP(L456,'3-Productie normen'!$B$31:$H$45,3,FALSE))</f>
        <v/>
      </c>
      <c r="N456" s="353">
        <f t="shared" si="41"/>
        <v>0</v>
      </c>
      <c r="O456" s="354">
        <f>IF(L456="nio",0,IF(L456&gt;0,VLOOKUP(H456,'3-Productie normen'!A:P,VLOOKUP(L456,'3-Productie normen'!$B$31:$C$45,2,FALSE),FALSE)))/VLOOKUP(B456,'2-Kosten per locatie'!$A$13:$D$36,4,FALSE)</f>
        <v>0</v>
      </c>
      <c r="P456" s="82">
        <f>VLOOKUP(H456,'3-Productie normen'!A:T,20,FALSE)</f>
        <v>0</v>
      </c>
      <c r="Q456" s="447" t="s">
        <v>957</v>
      </c>
      <c r="S456" s="356">
        <f t="shared" si="42"/>
        <v>0</v>
      </c>
    </row>
    <row r="457" spans="1:19" ht="14.1" customHeight="1">
      <c r="A457" s="72">
        <f t="shared" si="36"/>
        <v>457</v>
      </c>
      <c r="B457" s="50" t="s">
        <v>808</v>
      </c>
      <c r="C457" s="50" t="s">
        <v>828</v>
      </c>
      <c r="D457" s="427" t="s">
        <v>1033</v>
      </c>
      <c r="E457" s="426" t="s">
        <v>196</v>
      </c>
      <c r="F457" s="349" t="s">
        <v>228</v>
      </c>
      <c r="G457" s="86" t="s">
        <v>281</v>
      </c>
      <c r="H457" s="86" t="s">
        <v>203</v>
      </c>
      <c r="I457" s="86" t="s">
        <v>780</v>
      </c>
      <c r="J457" s="343">
        <v>19.91</v>
      </c>
      <c r="K457" s="351">
        <f t="shared" si="40"/>
        <v>120</v>
      </c>
      <c r="L457" s="352">
        <v>120</v>
      </c>
      <c r="M457" s="448" t="str">
        <f>IF(L457="nio","",VLOOKUP(L457,'3-Productie normen'!$B$31:$H$45,3,FALSE))</f>
        <v>3 x per week (40 weken)</v>
      </c>
      <c r="N457" s="353" t="e">
        <f t="shared" si="41"/>
        <v>#DIV/0!</v>
      </c>
      <c r="O457" s="354">
        <f>IF(L457="nio",0,IF(L457&gt;0,VLOOKUP(H457,'3-Productie normen'!A:P,VLOOKUP(L457,'3-Productie normen'!$B$31:$C$45,2,FALSE),FALSE)))/VLOOKUP(B457,'2-Kosten per locatie'!$A$13:$D$36,4,FALSE)</f>
        <v>0</v>
      </c>
      <c r="P457" s="82" t="str">
        <f>VLOOKUP(H457,'3-Productie normen'!A:T,20,FALSE)</f>
        <v>B</v>
      </c>
      <c r="Q457" s="447" t="s">
        <v>792</v>
      </c>
      <c r="S457" s="356">
        <f t="shared" si="42"/>
        <v>2389.1999999999998</v>
      </c>
    </row>
    <row r="458" spans="1:19" ht="14.1" customHeight="1">
      <c r="A458" s="72">
        <f t="shared" si="36"/>
        <v>458</v>
      </c>
      <c r="B458" s="50" t="s">
        <v>808</v>
      </c>
      <c r="C458" s="50" t="s">
        <v>828</v>
      </c>
      <c r="D458" s="427" t="s">
        <v>1033</v>
      </c>
      <c r="E458" s="426" t="s">
        <v>196</v>
      </c>
      <c r="F458" s="349" t="s">
        <v>230</v>
      </c>
      <c r="G458" s="86" t="s">
        <v>311</v>
      </c>
      <c r="H458" s="65" t="s">
        <v>1053</v>
      </c>
      <c r="I458" s="86" t="s">
        <v>780</v>
      </c>
      <c r="J458" s="343">
        <v>8.1999999999999993</v>
      </c>
      <c r="K458" s="351" t="str">
        <f t="shared" si="40"/>
        <v>nio</v>
      </c>
      <c r="L458" s="352" t="s">
        <v>804</v>
      </c>
      <c r="M458" s="448" t="str">
        <f>IF(L458="nio","",VLOOKUP(L458,'3-Productie normen'!$B$31:$H$45,3,FALSE))</f>
        <v/>
      </c>
      <c r="N458" s="353">
        <f t="shared" si="41"/>
        <v>0</v>
      </c>
      <c r="O458" s="354">
        <f>IF(L458="nio",0,IF(L458&gt;0,VLOOKUP(H458,'3-Productie normen'!A:P,VLOOKUP(L458,'3-Productie normen'!$B$31:$C$45,2,FALSE),FALSE)))/VLOOKUP(B458,'2-Kosten per locatie'!$A$13:$D$36,4,FALSE)</f>
        <v>0</v>
      </c>
      <c r="P458" s="82">
        <f>VLOOKUP(H458,'3-Productie normen'!A:T,20,FALSE)</f>
        <v>0</v>
      </c>
      <c r="Q458" s="447" t="s">
        <v>792</v>
      </c>
      <c r="S458" s="356">
        <f t="shared" si="42"/>
        <v>0</v>
      </c>
    </row>
    <row r="459" spans="1:19" ht="14.1" customHeight="1">
      <c r="A459" s="72">
        <f t="shared" ref="A459:A522" si="43">A458+1</f>
        <v>459</v>
      </c>
      <c r="B459" s="50" t="s">
        <v>808</v>
      </c>
      <c r="C459" s="50" t="s">
        <v>828</v>
      </c>
      <c r="D459" s="427" t="s">
        <v>1033</v>
      </c>
      <c r="E459" s="426" t="s">
        <v>196</v>
      </c>
      <c r="F459" s="349" t="s">
        <v>233</v>
      </c>
      <c r="G459" s="86" t="s">
        <v>399</v>
      </c>
      <c r="H459" s="65" t="s">
        <v>1053</v>
      </c>
      <c r="I459" s="86" t="s">
        <v>780</v>
      </c>
      <c r="J459" s="343">
        <v>12.08</v>
      </c>
      <c r="K459" s="351" t="str">
        <f t="shared" si="40"/>
        <v>nio</v>
      </c>
      <c r="L459" s="352" t="s">
        <v>804</v>
      </c>
      <c r="M459" s="448" t="str">
        <f>IF(L459="nio","",VLOOKUP(L459,'3-Productie normen'!$B$31:$H$45,3,FALSE))</f>
        <v/>
      </c>
      <c r="N459" s="353">
        <f t="shared" si="41"/>
        <v>0</v>
      </c>
      <c r="O459" s="354">
        <f>IF(L459="nio",0,IF(L459&gt;0,VLOOKUP(H459,'3-Productie normen'!A:P,VLOOKUP(L459,'3-Productie normen'!$B$31:$C$45,2,FALSE),FALSE)))/VLOOKUP(B459,'2-Kosten per locatie'!$A$13:$D$36,4,FALSE)</f>
        <v>0</v>
      </c>
      <c r="P459" s="82">
        <f>VLOOKUP(H459,'3-Productie normen'!A:T,20,FALSE)</f>
        <v>0</v>
      </c>
      <c r="Q459" s="447" t="s">
        <v>792</v>
      </c>
      <c r="S459" s="356">
        <f t="shared" si="42"/>
        <v>0</v>
      </c>
    </row>
    <row r="460" spans="1:19" ht="14.1" customHeight="1">
      <c r="A460" s="72">
        <f t="shared" si="43"/>
        <v>460</v>
      </c>
      <c r="B460" s="50" t="s">
        <v>808</v>
      </c>
      <c r="C460" s="50" t="s">
        <v>828</v>
      </c>
      <c r="D460" s="427" t="s">
        <v>1033</v>
      </c>
      <c r="E460" s="426" t="s">
        <v>196</v>
      </c>
      <c r="F460" s="349" t="s">
        <v>234</v>
      </c>
      <c r="G460" s="86" t="s">
        <v>199</v>
      </c>
      <c r="H460" s="432" t="s">
        <v>198</v>
      </c>
      <c r="I460" s="86" t="s">
        <v>779</v>
      </c>
      <c r="J460" s="343">
        <v>18.14</v>
      </c>
      <c r="K460" s="351">
        <f t="shared" si="40"/>
        <v>200</v>
      </c>
      <c r="L460" s="352">
        <v>200</v>
      </c>
      <c r="M460" s="448" t="str">
        <f>IF(L460="nio","",VLOOKUP(L460,'3-Productie normen'!$B$31:$H$45,3,FALSE))</f>
        <v>5 x per week (40 weken)</v>
      </c>
      <c r="N460" s="353" t="e">
        <f t="shared" si="41"/>
        <v>#DIV/0!</v>
      </c>
      <c r="O460" s="354">
        <f>IF(L460="nio",0,IF(L460&gt;0,VLOOKUP(H460,'3-Productie normen'!A:P,VLOOKUP(L460,'3-Productie normen'!$B$31:$C$45,2,FALSE),FALSE)))/VLOOKUP(B460,'2-Kosten per locatie'!$A$13:$D$36,4,FALSE)</f>
        <v>0</v>
      </c>
      <c r="P460" s="82" t="str">
        <f>VLOOKUP(H460,'3-Productie normen'!A:T,20,FALSE)</f>
        <v>V</v>
      </c>
      <c r="Q460" s="447" t="s">
        <v>873</v>
      </c>
      <c r="S460" s="356">
        <f t="shared" si="42"/>
        <v>3628</v>
      </c>
    </row>
    <row r="461" spans="1:19" ht="14.1" customHeight="1">
      <c r="A461" s="72">
        <f t="shared" si="43"/>
        <v>461</v>
      </c>
      <c r="B461" s="50" t="s">
        <v>808</v>
      </c>
      <c r="C461" s="50" t="s">
        <v>828</v>
      </c>
      <c r="D461" s="427" t="s">
        <v>1033</v>
      </c>
      <c r="E461" s="426" t="s">
        <v>196</v>
      </c>
      <c r="F461" s="349" t="s">
        <v>236</v>
      </c>
      <c r="G461" s="86" t="s">
        <v>206</v>
      </c>
      <c r="H461" s="65" t="s">
        <v>1053</v>
      </c>
      <c r="I461" s="86" t="s">
        <v>92</v>
      </c>
      <c r="J461" s="343">
        <v>0.78</v>
      </c>
      <c r="K461" s="351" t="str">
        <f t="shared" si="40"/>
        <v>nio</v>
      </c>
      <c r="L461" s="352" t="s">
        <v>804</v>
      </c>
      <c r="M461" s="448" t="str">
        <f>IF(L461="nio","",VLOOKUP(L461,'3-Productie normen'!$B$31:$H$45,3,FALSE))</f>
        <v/>
      </c>
      <c r="N461" s="353">
        <f t="shared" si="41"/>
        <v>0</v>
      </c>
      <c r="O461" s="354">
        <f>IF(L461="nio",0,IF(L461&gt;0,VLOOKUP(H461,'3-Productie normen'!A:P,VLOOKUP(L461,'3-Productie normen'!$B$31:$C$45,2,FALSE),FALSE)))/VLOOKUP(B461,'2-Kosten per locatie'!$A$13:$D$36,4,FALSE)</f>
        <v>0</v>
      </c>
      <c r="P461" s="82">
        <f>VLOOKUP(H461,'3-Productie normen'!A:T,20,FALSE)</f>
        <v>0</v>
      </c>
      <c r="Q461" s="447" t="s">
        <v>887</v>
      </c>
      <c r="S461" s="356">
        <f t="shared" si="42"/>
        <v>0</v>
      </c>
    </row>
    <row r="462" spans="1:19" ht="14.1" customHeight="1">
      <c r="A462" s="72">
        <f t="shared" si="43"/>
        <v>462</v>
      </c>
      <c r="B462" s="50" t="s">
        <v>808</v>
      </c>
      <c r="C462" s="50" t="s">
        <v>828</v>
      </c>
      <c r="D462" s="427" t="s">
        <v>1033</v>
      </c>
      <c r="E462" s="426" t="s">
        <v>196</v>
      </c>
      <c r="F462" s="349" t="s">
        <v>237</v>
      </c>
      <c r="G462" s="86" t="s">
        <v>368</v>
      </c>
      <c r="H462" s="432" t="s">
        <v>198</v>
      </c>
      <c r="I462" s="86" t="s">
        <v>91</v>
      </c>
      <c r="J462" s="343">
        <v>4.4800000000000004</v>
      </c>
      <c r="K462" s="351">
        <f t="shared" si="40"/>
        <v>200</v>
      </c>
      <c r="L462" s="352">
        <v>200</v>
      </c>
      <c r="M462" s="448" t="str">
        <f>IF(L462="nio","",VLOOKUP(L462,'3-Productie normen'!$B$31:$H$45,3,FALSE))</f>
        <v>5 x per week (40 weken)</v>
      </c>
      <c r="N462" s="353" t="e">
        <f t="shared" si="41"/>
        <v>#DIV/0!</v>
      </c>
      <c r="O462" s="354">
        <f>IF(L462="nio",0,IF(L462&gt;0,VLOOKUP(H462,'3-Productie normen'!A:P,VLOOKUP(L462,'3-Productie normen'!$B$31:$C$45,2,FALSE),FALSE)))/VLOOKUP(B462,'2-Kosten per locatie'!$A$13:$D$36,4,FALSE)</f>
        <v>0</v>
      </c>
      <c r="P462" s="82" t="str">
        <f>VLOOKUP(H462,'3-Productie normen'!A:T,20,FALSE)</f>
        <v>V</v>
      </c>
      <c r="Q462" s="447" t="s">
        <v>792</v>
      </c>
      <c r="S462" s="356">
        <f t="shared" si="42"/>
        <v>896.00000000000011</v>
      </c>
    </row>
    <row r="463" spans="1:19" ht="14.1" customHeight="1">
      <c r="A463" s="72">
        <f t="shared" si="43"/>
        <v>463</v>
      </c>
      <c r="B463" s="50" t="s">
        <v>808</v>
      </c>
      <c r="C463" s="50" t="s">
        <v>828</v>
      </c>
      <c r="D463" s="427" t="s">
        <v>1033</v>
      </c>
      <c r="E463" s="426" t="s">
        <v>196</v>
      </c>
      <c r="F463" s="349" t="s">
        <v>240</v>
      </c>
      <c r="G463" s="86" t="s">
        <v>222</v>
      </c>
      <c r="H463" s="50" t="s">
        <v>16</v>
      </c>
      <c r="I463" s="86" t="s">
        <v>91</v>
      </c>
      <c r="J463" s="343">
        <v>4.55</v>
      </c>
      <c r="K463" s="351">
        <f t="shared" si="40"/>
        <v>201</v>
      </c>
      <c r="L463" s="352">
        <v>201</v>
      </c>
      <c r="M463" s="448" t="str">
        <f>IF(L463="nio","",VLOOKUP(L463,'3-Productie normen'!$B$31:$H$45,3,FALSE))</f>
        <v>5 x per week (40 weken + 1 Zomer refreshbeurt)</v>
      </c>
      <c r="N463" s="353" t="e">
        <f t="shared" si="41"/>
        <v>#DIV/0!</v>
      </c>
      <c r="O463" s="354">
        <f>IF(L463="nio",0,IF(L463&gt;0,VLOOKUP(H463,'3-Productie normen'!A:P,VLOOKUP(L463,'3-Productie normen'!$B$31:$C$45,2,FALSE),FALSE)))/VLOOKUP(B463,'2-Kosten per locatie'!$A$13:$D$36,4,FALSE)</f>
        <v>0</v>
      </c>
      <c r="P463" s="82" t="str">
        <f>VLOOKUP(H463,'3-Productie normen'!A:T,20,FALSE)</f>
        <v>S</v>
      </c>
      <c r="Q463" s="447" t="s">
        <v>958</v>
      </c>
      <c r="S463" s="356">
        <f t="shared" si="42"/>
        <v>914.55</v>
      </c>
    </row>
    <row r="464" spans="1:19" ht="14.1" customHeight="1">
      <c r="A464" s="72">
        <f t="shared" si="43"/>
        <v>464</v>
      </c>
      <c r="B464" s="50" t="s">
        <v>808</v>
      </c>
      <c r="C464" s="50" t="s">
        <v>828</v>
      </c>
      <c r="D464" s="427" t="s">
        <v>1033</v>
      </c>
      <c r="E464" s="426" t="s">
        <v>196</v>
      </c>
      <c r="F464" s="349" t="s">
        <v>243</v>
      </c>
      <c r="G464" s="86" t="s">
        <v>209</v>
      </c>
      <c r="H464" s="63" t="s">
        <v>1040</v>
      </c>
      <c r="I464" s="86" t="s">
        <v>91</v>
      </c>
      <c r="J464" s="343">
        <v>0.55000000000000004</v>
      </c>
      <c r="K464" s="351">
        <f t="shared" si="40"/>
        <v>12</v>
      </c>
      <c r="L464" s="352">
        <v>12</v>
      </c>
      <c r="M464" s="448" t="str">
        <f>IF(L464="nio","",VLOOKUP(L464,'3-Productie normen'!$B$31:$H$45,3,FALSE))</f>
        <v>1 x per maand</v>
      </c>
      <c r="N464" s="353" t="e">
        <f t="shared" si="41"/>
        <v>#DIV/0!</v>
      </c>
      <c r="O464" s="354">
        <f>IF(L464="nio",0,IF(L464&gt;0,VLOOKUP(H464,'3-Productie normen'!A:P,VLOOKUP(L464,'3-Productie normen'!$B$31:$C$45,2,FALSE),FALSE)))/VLOOKUP(B464,'2-Kosten per locatie'!$A$13:$D$36,4,FALSE)</f>
        <v>0</v>
      </c>
      <c r="P464" s="82" t="str">
        <f>VLOOKUP(H464,'3-Productie normen'!A:T,20,FALSE)</f>
        <v>V</v>
      </c>
      <c r="Q464" s="447" t="s">
        <v>792</v>
      </c>
      <c r="S464" s="356">
        <f t="shared" si="42"/>
        <v>6.6000000000000005</v>
      </c>
    </row>
    <row r="465" spans="1:19" ht="14.1" customHeight="1">
      <c r="A465" s="72">
        <f t="shared" si="43"/>
        <v>465</v>
      </c>
      <c r="B465" s="50" t="s">
        <v>808</v>
      </c>
      <c r="C465" s="50" t="s">
        <v>828</v>
      </c>
      <c r="D465" s="427" t="s">
        <v>1033</v>
      </c>
      <c r="E465" s="426" t="s">
        <v>196</v>
      </c>
      <c r="F465" s="349" t="s">
        <v>244</v>
      </c>
      <c r="G465" s="86" t="s">
        <v>201</v>
      </c>
      <c r="H465" s="432" t="s">
        <v>198</v>
      </c>
      <c r="I465" s="86" t="s">
        <v>91</v>
      </c>
      <c r="J465" s="343">
        <v>59.61</v>
      </c>
      <c r="K465" s="351">
        <f t="shared" si="40"/>
        <v>200</v>
      </c>
      <c r="L465" s="352">
        <v>200</v>
      </c>
      <c r="M465" s="448" t="str">
        <f>IF(L465="nio","",VLOOKUP(L465,'3-Productie normen'!$B$31:$H$45,3,FALSE))</f>
        <v>5 x per week (40 weken)</v>
      </c>
      <c r="N465" s="353" t="e">
        <f t="shared" si="41"/>
        <v>#DIV/0!</v>
      </c>
      <c r="O465" s="354">
        <f>IF(L465="nio",0,IF(L465&gt;0,VLOOKUP(H465,'3-Productie normen'!A:P,VLOOKUP(L465,'3-Productie normen'!$B$31:$C$45,2,FALSE),FALSE)))/VLOOKUP(B465,'2-Kosten per locatie'!$A$13:$D$36,4,FALSE)</f>
        <v>0</v>
      </c>
      <c r="P465" s="82" t="str">
        <f>VLOOKUP(H465,'3-Productie normen'!A:T,20,FALSE)</f>
        <v>V</v>
      </c>
      <c r="Q465" s="447" t="s">
        <v>792</v>
      </c>
      <c r="S465" s="356">
        <f t="shared" si="42"/>
        <v>11922</v>
      </c>
    </row>
    <row r="466" spans="1:19" ht="14.1" customHeight="1">
      <c r="A466" s="72">
        <f t="shared" si="43"/>
        <v>466</v>
      </c>
      <c r="B466" s="50" t="s">
        <v>808</v>
      </c>
      <c r="C466" s="50" t="s">
        <v>828</v>
      </c>
      <c r="D466" s="427" t="s">
        <v>1033</v>
      </c>
      <c r="E466" s="426" t="s">
        <v>196</v>
      </c>
      <c r="F466" s="349" t="s">
        <v>245</v>
      </c>
      <c r="G466" s="86" t="s">
        <v>242</v>
      </c>
      <c r="H466" s="86" t="s">
        <v>241</v>
      </c>
      <c r="I466" s="86" t="s">
        <v>780</v>
      </c>
      <c r="J466" s="343">
        <v>59.37</v>
      </c>
      <c r="K466" s="351">
        <f t="shared" si="40"/>
        <v>201</v>
      </c>
      <c r="L466" s="352">
        <v>201</v>
      </c>
      <c r="M466" s="448" t="str">
        <f>IF(L466="nio","",VLOOKUP(L466,'3-Productie normen'!$B$31:$H$45,3,FALSE))</f>
        <v>5 x per week (40 weken + 1 Zomer refreshbeurt)</v>
      </c>
      <c r="N466" s="353" t="e">
        <f t="shared" si="41"/>
        <v>#DIV/0!</v>
      </c>
      <c r="O466" s="354">
        <f>IF(L466="nio",0,IF(L466&gt;0,VLOOKUP(H466,'3-Productie normen'!A:P,VLOOKUP(L466,'3-Productie normen'!$B$31:$C$45,2,FALSE),FALSE)))/VLOOKUP(B466,'2-Kosten per locatie'!$A$13:$D$36,4,FALSE)</f>
        <v>0</v>
      </c>
      <c r="P466" s="82" t="str">
        <f>VLOOKUP(H466,'3-Productie normen'!A:T,20,FALSE)</f>
        <v>L</v>
      </c>
      <c r="Q466" s="447" t="s">
        <v>874</v>
      </c>
      <c r="S466" s="356">
        <f t="shared" si="42"/>
        <v>11933.369999999999</v>
      </c>
    </row>
    <row r="467" spans="1:19" ht="14.1" customHeight="1">
      <c r="A467" s="72">
        <f t="shared" si="43"/>
        <v>467</v>
      </c>
      <c r="B467" s="50" t="s">
        <v>808</v>
      </c>
      <c r="C467" s="50" t="s">
        <v>828</v>
      </c>
      <c r="D467" s="427" t="s">
        <v>1033</v>
      </c>
      <c r="E467" s="426" t="s">
        <v>196</v>
      </c>
      <c r="F467" s="349" t="s">
        <v>245</v>
      </c>
      <c r="G467" s="86" t="s">
        <v>359</v>
      </c>
      <c r="H467" s="86" t="s">
        <v>241</v>
      </c>
      <c r="I467" s="86" t="s">
        <v>180</v>
      </c>
      <c r="J467" s="343">
        <v>5.62</v>
      </c>
      <c r="K467" s="351">
        <f t="shared" si="40"/>
        <v>201</v>
      </c>
      <c r="L467" s="352">
        <v>201</v>
      </c>
      <c r="M467" s="448" t="str">
        <f>IF(L467="nio","",VLOOKUP(L467,'3-Productie normen'!$B$31:$H$45,3,FALSE))</f>
        <v>5 x per week (40 weken + 1 Zomer refreshbeurt)</v>
      </c>
      <c r="N467" s="353" t="e">
        <f t="shared" si="41"/>
        <v>#DIV/0!</v>
      </c>
      <c r="O467" s="354">
        <f>IF(L467="nio",0,IF(L467&gt;0,VLOOKUP(H467,'3-Productie normen'!A:P,VLOOKUP(L467,'3-Productie normen'!$B$31:$C$45,2,FALSE),FALSE)))/VLOOKUP(B467,'2-Kosten per locatie'!$A$13:$D$36,4,FALSE)</f>
        <v>0</v>
      </c>
      <c r="P467" s="82" t="str">
        <f>VLOOKUP(H467,'3-Productie normen'!A:T,20,FALSE)</f>
        <v>L</v>
      </c>
      <c r="Q467" s="447" t="s">
        <v>792</v>
      </c>
      <c r="S467" s="356">
        <f t="shared" si="42"/>
        <v>1129.6200000000001</v>
      </c>
    </row>
    <row r="468" spans="1:19" ht="14.1" customHeight="1">
      <c r="A468" s="72">
        <f t="shared" si="43"/>
        <v>468</v>
      </c>
      <c r="B468" s="50" t="s">
        <v>808</v>
      </c>
      <c r="C468" s="50" t="s">
        <v>828</v>
      </c>
      <c r="D468" s="427" t="s">
        <v>1033</v>
      </c>
      <c r="E468" s="426" t="s">
        <v>196</v>
      </c>
      <c r="F468" s="349" t="s">
        <v>330</v>
      </c>
      <c r="G468" s="86" t="s">
        <v>226</v>
      </c>
      <c r="H468" s="86" t="s">
        <v>16</v>
      </c>
      <c r="I468" s="86" t="s">
        <v>785</v>
      </c>
      <c r="J468" s="343">
        <v>4.58</v>
      </c>
      <c r="K468" s="351">
        <f t="shared" si="40"/>
        <v>201</v>
      </c>
      <c r="L468" s="352">
        <v>201</v>
      </c>
      <c r="M468" s="448" t="str">
        <f>IF(L468="nio","",VLOOKUP(L468,'3-Productie normen'!$B$31:$H$45,3,FALSE))</f>
        <v>5 x per week (40 weken + 1 Zomer refreshbeurt)</v>
      </c>
      <c r="N468" s="353" t="e">
        <f t="shared" si="41"/>
        <v>#DIV/0!</v>
      </c>
      <c r="O468" s="354">
        <f>IF(L468="nio",0,IF(L468&gt;0,VLOOKUP(H468,'3-Productie normen'!A:P,VLOOKUP(L468,'3-Productie normen'!$B$31:$C$45,2,FALSE),FALSE)))/VLOOKUP(B468,'2-Kosten per locatie'!$A$13:$D$36,4,FALSE)</f>
        <v>0</v>
      </c>
      <c r="P468" s="82" t="str">
        <f>VLOOKUP(H468,'3-Productie normen'!A:T,20,FALSE)</f>
        <v>S</v>
      </c>
      <c r="Q468" s="447" t="s">
        <v>959</v>
      </c>
      <c r="S468" s="356">
        <f t="shared" si="42"/>
        <v>920.58</v>
      </c>
    </row>
    <row r="469" spans="1:19" ht="14.1" customHeight="1">
      <c r="A469" s="72">
        <f t="shared" si="43"/>
        <v>469</v>
      </c>
      <c r="B469" s="50" t="s">
        <v>808</v>
      </c>
      <c r="C469" s="50" t="s">
        <v>828</v>
      </c>
      <c r="D469" s="427" t="s">
        <v>1033</v>
      </c>
      <c r="E469" s="426" t="s">
        <v>196</v>
      </c>
      <c r="F469" s="349" t="s">
        <v>331</v>
      </c>
      <c r="G469" s="86" t="s">
        <v>215</v>
      </c>
      <c r="H469" s="63" t="s">
        <v>1040</v>
      </c>
      <c r="I469" s="86" t="s">
        <v>91</v>
      </c>
      <c r="J469" s="343">
        <v>2.5499999999999998</v>
      </c>
      <c r="K469" s="351">
        <f t="shared" si="40"/>
        <v>12</v>
      </c>
      <c r="L469" s="352">
        <v>12</v>
      </c>
      <c r="M469" s="448" t="str">
        <f>IF(L469="nio","",VLOOKUP(L469,'3-Productie normen'!$B$31:$H$45,3,FALSE))</f>
        <v>1 x per maand</v>
      </c>
      <c r="N469" s="353" t="e">
        <f t="shared" si="41"/>
        <v>#DIV/0!</v>
      </c>
      <c r="O469" s="354">
        <f>IF(L469="nio",0,IF(L469&gt;0,VLOOKUP(H469,'3-Productie normen'!A:P,VLOOKUP(L469,'3-Productie normen'!$B$31:$C$45,2,FALSE),FALSE)))/VLOOKUP(B469,'2-Kosten per locatie'!$A$13:$D$36,4,FALSE)</f>
        <v>0</v>
      </c>
      <c r="P469" s="82" t="str">
        <f>VLOOKUP(H469,'3-Productie normen'!A:T,20,FALSE)</f>
        <v>V</v>
      </c>
      <c r="Q469" s="447" t="s">
        <v>895</v>
      </c>
      <c r="S469" s="356">
        <f t="shared" si="42"/>
        <v>30.599999999999998</v>
      </c>
    </row>
    <row r="470" spans="1:19" ht="14.1" customHeight="1">
      <c r="A470" s="72">
        <f t="shared" si="43"/>
        <v>470</v>
      </c>
      <c r="B470" s="50" t="s">
        <v>808</v>
      </c>
      <c r="C470" s="50" t="s">
        <v>828</v>
      </c>
      <c r="D470" s="427" t="s">
        <v>1033</v>
      </c>
      <c r="E470" s="426" t="s">
        <v>196</v>
      </c>
      <c r="F470" s="349" t="s">
        <v>332</v>
      </c>
      <c r="G470" s="86" t="s">
        <v>226</v>
      </c>
      <c r="H470" s="86" t="s">
        <v>16</v>
      </c>
      <c r="I470" s="86" t="s">
        <v>785</v>
      </c>
      <c r="J470" s="343">
        <v>4.66</v>
      </c>
      <c r="K470" s="351">
        <f t="shared" si="40"/>
        <v>201</v>
      </c>
      <c r="L470" s="352">
        <v>201</v>
      </c>
      <c r="M470" s="448" t="str">
        <f>IF(L470="nio","",VLOOKUP(L470,'3-Productie normen'!$B$31:$H$45,3,FALSE))</f>
        <v>5 x per week (40 weken + 1 Zomer refreshbeurt)</v>
      </c>
      <c r="N470" s="353" t="e">
        <f t="shared" si="41"/>
        <v>#DIV/0!</v>
      </c>
      <c r="O470" s="354">
        <f>IF(L470="nio",0,IF(L470&gt;0,VLOOKUP(H470,'3-Productie normen'!A:P,VLOOKUP(L470,'3-Productie normen'!$B$31:$C$45,2,FALSE),FALSE)))/VLOOKUP(B470,'2-Kosten per locatie'!$A$13:$D$36,4,FALSE)</f>
        <v>0</v>
      </c>
      <c r="P470" s="82" t="str">
        <f>VLOOKUP(H470,'3-Productie normen'!A:T,20,FALSE)</f>
        <v>S</v>
      </c>
      <c r="Q470" s="447" t="s">
        <v>959</v>
      </c>
      <c r="S470" s="356">
        <f t="shared" si="42"/>
        <v>936.66000000000008</v>
      </c>
    </row>
    <row r="471" spans="1:19" ht="14.1" customHeight="1">
      <c r="A471" s="72">
        <f t="shared" si="43"/>
        <v>471</v>
      </c>
      <c r="B471" s="50" t="s">
        <v>808</v>
      </c>
      <c r="C471" s="50" t="s">
        <v>828</v>
      </c>
      <c r="D471" s="427" t="s">
        <v>1033</v>
      </c>
      <c r="E471" s="426" t="s">
        <v>196</v>
      </c>
      <c r="F471" s="349" t="s">
        <v>333</v>
      </c>
      <c r="G471" s="86" t="s">
        <v>242</v>
      </c>
      <c r="H471" s="86" t="s">
        <v>241</v>
      </c>
      <c r="I471" s="86" t="s">
        <v>780</v>
      </c>
      <c r="J471" s="343">
        <v>57.1</v>
      </c>
      <c r="K471" s="351">
        <f t="shared" si="40"/>
        <v>201</v>
      </c>
      <c r="L471" s="352">
        <v>201</v>
      </c>
      <c r="M471" s="448" t="str">
        <f>IF(L471="nio","",VLOOKUP(L471,'3-Productie normen'!$B$31:$H$45,3,FALSE))</f>
        <v>5 x per week (40 weken + 1 Zomer refreshbeurt)</v>
      </c>
      <c r="N471" s="353" t="e">
        <f t="shared" si="41"/>
        <v>#DIV/0!</v>
      </c>
      <c r="O471" s="354">
        <f>IF(L471="nio",0,IF(L471&gt;0,VLOOKUP(H471,'3-Productie normen'!A:P,VLOOKUP(L471,'3-Productie normen'!$B$31:$C$45,2,FALSE),FALSE)))/VLOOKUP(B471,'2-Kosten per locatie'!$A$13:$D$36,4,FALSE)</f>
        <v>0</v>
      </c>
      <c r="P471" s="82" t="str">
        <f>VLOOKUP(H471,'3-Productie normen'!A:T,20,FALSE)</f>
        <v>L</v>
      </c>
      <c r="Q471" s="447" t="s">
        <v>954</v>
      </c>
      <c r="S471" s="356">
        <f t="shared" si="42"/>
        <v>11477.1</v>
      </c>
    </row>
    <row r="472" spans="1:19" ht="14.1" customHeight="1">
      <c r="A472" s="72">
        <f t="shared" si="43"/>
        <v>472</v>
      </c>
      <c r="B472" s="50" t="s">
        <v>808</v>
      </c>
      <c r="C472" s="50" t="s">
        <v>828</v>
      </c>
      <c r="D472" s="427" t="s">
        <v>1033</v>
      </c>
      <c r="E472" s="426" t="s">
        <v>196</v>
      </c>
      <c r="F472" s="349" t="s">
        <v>333</v>
      </c>
      <c r="G472" s="86" t="s">
        <v>359</v>
      </c>
      <c r="H472" s="81" t="s">
        <v>241</v>
      </c>
      <c r="I472" s="86" t="s">
        <v>180</v>
      </c>
      <c r="J472" s="343">
        <v>5.62</v>
      </c>
      <c r="K472" s="351">
        <f t="shared" si="40"/>
        <v>201</v>
      </c>
      <c r="L472" s="352">
        <v>201</v>
      </c>
      <c r="M472" s="448" t="str">
        <f>IF(L472="nio","",VLOOKUP(L472,'3-Productie normen'!$B$31:$H$45,3,FALSE))</f>
        <v>5 x per week (40 weken + 1 Zomer refreshbeurt)</v>
      </c>
      <c r="N472" s="353" t="e">
        <f t="shared" si="41"/>
        <v>#DIV/0!</v>
      </c>
      <c r="O472" s="354">
        <f>IF(L472="nio",0,IF(L472&gt;0,VLOOKUP(H472,'3-Productie normen'!A:P,VLOOKUP(L472,'3-Productie normen'!$B$31:$C$45,2,FALSE),FALSE)))/VLOOKUP(B472,'2-Kosten per locatie'!$A$13:$D$36,4,FALSE)</f>
        <v>0</v>
      </c>
      <c r="P472" s="82" t="str">
        <f>VLOOKUP(H472,'3-Productie normen'!A:T,20,FALSE)</f>
        <v>L</v>
      </c>
      <c r="Q472" s="447" t="s">
        <v>792</v>
      </c>
      <c r="S472" s="356">
        <f t="shared" si="42"/>
        <v>1129.6200000000001</v>
      </c>
    </row>
    <row r="473" spans="1:19" ht="14.1" customHeight="1">
      <c r="A473" s="72">
        <f t="shared" si="43"/>
        <v>473</v>
      </c>
      <c r="B473" s="50" t="s">
        <v>808</v>
      </c>
      <c r="C473" s="50" t="s">
        <v>828</v>
      </c>
      <c r="D473" s="427" t="s">
        <v>1033</v>
      </c>
      <c r="E473" s="426" t="s">
        <v>196</v>
      </c>
      <c r="F473" s="349" t="s">
        <v>334</v>
      </c>
      <c r="G473" s="86" t="s">
        <v>246</v>
      </c>
      <c r="H473" s="81" t="s">
        <v>1039</v>
      </c>
      <c r="I473" s="86" t="s">
        <v>780</v>
      </c>
      <c r="J473" s="343">
        <v>79.28</v>
      </c>
      <c r="K473" s="351">
        <f t="shared" si="40"/>
        <v>200</v>
      </c>
      <c r="L473" s="352">
        <v>200</v>
      </c>
      <c r="M473" s="448" t="str">
        <f>IF(L473="nio","",VLOOKUP(L473,'3-Productie normen'!$B$31:$H$45,3,FALSE))</f>
        <v>5 x per week (40 weken)</v>
      </c>
      <c r="N473" s="353" t="e">
        <f t="shared" si="41"/>
        <v>#DIV/0!</v>
      </c>
      <c r="O473" s="354">
        <f>IF(L473="nio",0,IF(L473&gt;0,VLOOKUP(H473,'3-Productie normen'!A:P,VLOOKUP(L473,'3-Productie normen'!$B$31:$C$45,2,FALSE),FALSE)))/VLOOKUP(B473,'2-Kosten per locatie'!$A$13:$D$36,4,FALSE)</f>
        <v>0</v>
      </c>
      <c r="P473" s="82" t="str">
        <f>VLOOKUP(H473,'3-Productie normen'!A:T,20,FALSE)</f>
        <v>V</v>
      </c>
      <c r="Q473" s="447" t="s">
        <v>792</v>
      </c>
      <c r="S473" s="356">
        <f t="shared" si="42"/>
        <v>15856</v>
      </c>
    </row>
    <row r="474" spans="1:19" ht="14.1" customHeight="1">
      <c r="A474" s="72">
        <f t="shared" si="43"/>
        <v>474</v>
      </c>
      <c r="B474" s="50" t="s">
        <v>808</v>
      </c>
      <c r="C474" s="50" t="s">
        <v>828</v>
      </c>
      <c r="D474" s="427" t="s">
        <v>1033</v>
      </c>
      <c r="E474" s="426" t="s">
        <v>196</v>
      </c>
      <c r="F474" s="349" t="s">
        <v>335</v>
      </c>
      <c r="G474" s="86" t="s">
        <v>248</v>
      </c>
      <c r="H474" s="63" t="s">
        <v>1040</v>
      </c>
      <c r="I474" s="86" t="s">
        <v>780</v>
      </c>
      <c r="J474" s="343">
        <v>5.71</v>
      </c>
      <c r="K474" s="351">
        <f t="shared" si="40"/>
        <v>12</v>
      </c>
      <c r="L474" s="352">
        <v>12</v>
      </c>
      <c r="M474" s="448" t="str">
        <f>IF(L474="nio","",VLOOKUP(L474,'3-Productie normen'!$B$31:$H$45,3,FALSE))</f>
        <v>1 x per maand</v>
      </c>
      <c r="N474" s="353" t="e">
        <f t="shared" si="41"/>
        <v>#DIV/0!</v>
      </c>
      <c r="O474" s="354">
        <f>IF(L474="nio",0,IF(L474&gt;0,VLOOKUP(H474,'3-Productie normen'!A:P,VLOOKUP(L474,'3-Productie normen'!$B$31:$C$45,2,FALSE),FALSE)))/VLOOKUP(B474,'2-Kosten per locatie'!$A$13:$D$36,4,FALSE)</f>
        <v>0</v>
      </c>
      <c r="P474" s="82" t="str">
        <f>VLOOKUP(H474,'3-Productie normen'!A:T,20,FALSE)</f>
        <v>V</v>
      </c>
      <c r="Q474" s="447" t="s">
        <v>792</v>
      </c>
      <c r="S474" s="356">
        <f t="shared" si="42"/>
        <v>68.52</v>
      </c>
    </row>
    <row r="475" spans="1:19" ht="14.1" customHeight="1">
      <c r="A475" s="72">
        <f t="shared" si="43"/>
        <v>475</v>
      </c>
      <c r="B475" s="50" t="s">
        <v>808</v>
      </c>
      <c r="C475" s="50" t="s">
        <v>828</v>
      </c>
      <c r="D475" s="427" t="s">
        <v>1033</v>
      </c>
      <c r="E475" s="426" t="s">
        <v>196</v>
      </c>
      <c r="F475" s="349" t="s">
        <v>277</v>
      </c>
      <c r="G475" s="86" t="s">
        <v>232</v>
      </c>
      <c r="H475" s="430" t="s">
        <v>1046</v>
      </c>
      <c r="I475" s="86" t="s">
        <v>798</v>
      </c>
      <c r="J475" s="343">
        <v>11.35</v>
      </c>
      <c r="K475" s="351">
        <f t="shared" si="40"/>
        <v>200</v>
      </c>
      <c r="L475" s="352">
        <v>200</v>
      </c>
      <c r="M475" s="448" t="str">
        <f>IF(L475="nio","",VLOOKUP(L475,'3-Productie normen'!$B$31:$H$45,3,FALSE))</f>
        <v>5 x per week (40 weken)</v>
      </c>
      <c r="N475" s="353" t="e">
        <f t="shared" si="41"/>
        <v>#DIV/0!</v>
      </c>
      <c r="O475" s="354">
        <f>IF(L475="nio",0,IF(L475&gt;0,VLOOKUP(H475,'3-Productie normen'!A:P,VLOOKUP(L475,'3-Productie normen'!$B$31:$C$45,2,FALSE),FALSE)))/VLOOKUP(B475,'2-Kosten per locatie'!$A$13:$D$36,4,FALSE)</f>
        <v>0</v>
      </c>
      <c r="P475" s="82" t="str">
        <f>VLOOKUP(H475,'3-Productie normen'!A:T,20,FALSE)</f>
        <v>V</v>
      </c>
      <c r="Q475" s="447" t="s">
        <v>960</v>
      </c>
      <c r="S475" s="356">
        <f t="shared" si="42"/>
        <v>2270</v>
      </c>
    </row>
    <row r="476" spans="1:19" ht="14.1" customHeight="1">
      <c r="A476" s="72">
        <f t="shared" si="43"/>
        <v>476</v>
      </c>
      <c r="B476" s="50" t="s">
        <v>808</v>
      </c>
      <c r="C476" s="50" t="s">
        <v>828</v>
      </c>
      <c r="D476" s="427" t="s">
        <v>1033</v>
      </c>
      <c r="E476" s="426" t="s">
        <v>196</v>
      </c>
      <c r="F476" s="349" t="s">
        <v>608</v>
      </c>
      <c r="G476" s="86" t="s">
        <v>232</v>
      </c>
      <c r="H476" s="65" t="s">
        <v>1053</v>
      </c>
      <c r="I476" s="86" t="s">
        <v>791</v>
      </c>
      <c r="J476" s="343">
        <v>2.4500000000000002</v>
      </c>
      <c r="K476" s="351" t="str">
        <f t="shared" si="40"/>
        <v>nio</v>
      </c>
      <c r="L476" s="352" t="s">
        <v>804</v>
      </c>
      <c r="M476" s="448" t="str">
        <f>IF(L476="nio","",VLOOKUP(L476,'3-Productie normen'!$B$31:$H$45,3,FALSE))</f>
        <v/>
      </c>
      <c r="N476" s="353">
        <f t="shared" si="41"/>
        <v>0</v>
      </c>
      <c r="O476" s="354">
        <f>IF(L476="nio",0,IF(L476&gt;0,VLOOKUP(H476,'3-Productie normen'!A:P,VLOOKUP(L476,'3-Productie normen'!$B$31:$C$45,2,FALSE),FALSE)))/VLOOKUP(B476,'2-Kosten per locatie'!$A$13:$D$36,4,FALSE)</f>
        <v>0</v>
      </c>
      <c r="P476" s="82">
        <f>VLOOKUP(H476,'3-Productie normen'!A:T,20,FALSE)</f>
        <v>0</v>
      </c>
      <c r="Q476" s="447" t="s">
        <v>893</v>
      </c>
      <c r="S476" s="356">
        <f t="shared" si="42"/>
        <v>0</v>
      </c>
    </row>
    <row r="477" spans="1:19" ht="14.1" customHeight="1">
      <c r="A477" s="72">
        <f t="shared" si="43"/>
        <v>477</v>
      </c>
      <c r="B477" s="50" t="s">
        <v>808</v>
      </c>
      <c r="C477" s="50" t="s">
        <v>828</v>
      </c>
      <c r="D477" s="427" t="s">
        <v>1033</v>
      </c>
      <c r="E477" s="426" t="s">
        <v>275</v>
      </c>
      <c r="F477" s="349" t="s">
        <v>276</v>
      </c>
      <c r="G477" s="86" t="s">
        <v>201</v>
      </c>
      <c r="H477" s="432" t="s">
        <v>198</v>
      </c>
      <c r="I477" s="86" t="s">
        <v>784</v>
      </c>
      <c r="J477" s="343">
        <v>11</v>
      </c>
      <c r="K477" s="351">
        <f t="shared" si="40"/>
        <v>200</v>
      </c>
      <c r="L477" s="352">
        <v>200</v>
      </c>
      <c r="M477" s="448" t="str">
        <f>IF(L477="nio","",VLOOKUP(L477,'3-Productie normen'!$B$31:$H$45,3,FALSE))</f>
        <v>5 x per week (40 weken)</v>
      </c>
      <c r="N477" s="353" t="e">
        <f t="shared" si="41"/>
        <v>#DIV/0!</v>
      </c>
      <c r="O477" s="354">
        <f>IF(L477="nio",0,IF(L477&gt;0,VLOOKUP(H477,'3-Productie normen'!A:P,VLOOKUP(L477,'3-Productie normen'!$B$31:$C$45,2,FALSE),FALSE)))/VLOOKUP(B477,'2-Kosten per locatie'!$A$13:$D$36,4,FALSE)</f>
        <v>0</v>
      </c>
      <c r="P477" s="82" t="str">
        <f>VLOOKUP(H477,'3-Productie normen'!A:T,20,FALSE)</f>
        <v>V</v>
      </c>
      <c r="Q477" s="447" t="s">
        <v>873</v>
      </c>
      <c r="S477" s="356">
        <f t="shared" si="42"/>
        <v>2200</v>
      </c>
    </row>
    <row r="478" spans="1:19" ht="14.1" customHeight="1">
      <c r="A478" s="72">
        <f t="shared" si="43"/>
        <v>478</v>
      </c>
      <c r="B478" s="50" t="s">
        <v>808</v>
      </c>
      <c r="C478" s="50" t="s">
        <v>828</v>
      </c>
      <c r="D478" s="427" t="s">
        <v>1033</v>
      </c>
      <c r="E478" s="426" t="s">
        <v>275</v>
      </c>
      <c r="F478" s="349" t="s">
        <v>276</v>
      </c>
      <c r="G478" s="86" t="s">
        <v>201</v>
      </c>
      <c r="H478" s="432" t="s">
        <v>198</v>
      </c>
      <c r="I478" s="86" t="s">
        <v>780</v>
      </c>
      <c r="J478" s="343">
        <v>52.12</v>
      </c>
      <c r="K478" s="351">
        <f t="shared" si="40"/>
        <v>200</v>
      </c>
      <c r="L478" s="352">
        <v>200</v>
      </c>
      <c r="M478" s="448" t="str">
        <f>IF(L478="nio","",VLOOKUP(L478,'3-Productie normen'!$B$31:$H$45,3,FALSE))</f>
        <v>5 x per week (40 weken)</v>
      </c>
      <c r="N478" s="353" t="e">
        <f t="shared" si="41"/>
        <v>#DIV/0!</v>
      </c>
      <c r="O478" s="354">
        <f>IF(L478="nio",0,IF(L478&gt;0,VLOOKUP(H478,'3-Productie normen'!A:P,VLOOKUP(L478,'3-Productie normen'!$B$31:$C$45,2,FALSE),FALSE)))/VLOOKUP(B478,'2-Kosten per locatie'!$A$13:$D$36,4,FALSE)</f>
        <v>0</v>
      </c>
      <c r="P478" s="82" t="str">
        <f>VLOOKUP(H478,'3-Productie normen'!A:T,20,FALSE)</f>
        <v>V</v>
      </c>
      <c r="Q478" s="447" t="s">
        <v>792</v>
      </c>
      <c r="S478" s="356">
        <f t="shared" si="42"/>
        <v>10424</v>
      </c>
    </row>
    <row r="479" spans="1:19" ht="14.1" customHeight="1">
      <c r="A479" s="72">
        <f t="shared" si="43"/>
        <v>479</v>
      </c>
      <c r="B479" s="50" t="s">
        <v>808</v>
      </c>
      <c r="C479" s="50" t="s">
        <v>828</v>
      </c>
      <c r="D479" s="427" t="s">
        <v>1033</v>
      </c>
      <c r="E479" s="426" t="s">
        <v>275</v>
      </c>
      <c r="F479" s="349" t="s">
        <v>278</v>
      </c>
      <c r="G479" s="86" t="s">
        <v>279</v>
      </c>
      <c r="H479" s="65" t="s">
        <v>1053</v>
      </c>
      <c r="I479" s="86" t="s">
        <v>780</v>
      </c>
      <c r="J479" s="343">
        <v>41.41</v>
      </c>
      <c r="K479" s="351" t="str">
        <f t="shared" si="40"/>
        <v>nio</v>
      </c>
      <c r="L479" s="352" t="s">
        <v>804</v>
      </c>
      <c r="M479" s="448" t="str">
        <f>IF(L479="nio","",VLOOKUP(L479,'3-Productie normen'!$B$31:$H$45,3,FALSE))</f>
        <v/>
      </c>
      <c r="N479" s="353">
        <f t="shared" si="41"/>
        <v>0</v>
      </c>
      <c r="O479" s="354">
        <f>IF(L479="nio",0,IF(L479&gt;0,VLOOKUP(H479,'3-Productie normen'!A:P,VLOOKUP(L479,'3-Productie normen'!$B$31:$C$45,2,FALSE),FALSE)))/VLOOKUP(B479,'2-Kosten per locatie'!$A$13:$D$36,4,FALSE)</f>
        <v>0</v>
      </c>
      <c r="P479" s="82">
        <f>VLOOKUP(H479,'3-Productie normen'!A:T,20,FALSE)</f>
        <v>0</v>
      </c>
      <c r="Q479" s="447" t="s">
        <v>792</v>
      </c>
      <c r="S479" s="356">
        <f t="shared" si="42"/>
        <v>0</v>
      </c>
    </row>
    <row r="480" spans="1:19" ht="14.1" customHeight="1">
      <c r="A480" s="72">
        <f t="shared" si="43"/>
        <v>480</v>
      </c>
      <c r="B480" s="50" t="s">
        <v>808</v>
      </c>
      <c r="C480" s="50" t="s">
        <v>828</v>
      </c>
      <c r="D480" s="427" t="s">
        <v>1033</v>
      </c>
      <c r="E480" s="426" t="s">
        <v>275</v>
      </c>
      <c r="F480" s="349" t="s">
        <v>280</v>
      </c>
      <c r="G480" s="86" t="s">
        <v>222</v>
      </c>
      <c r="H480" s="86" t="s">
        <v>16</v>
      </c>
      <c r="I480" s="86" t="s">
        <v>91</v>
      </c>
      <c r="J480" s="343">
        <v>2.2599999999999998</v>
      </c>
      <c r="K480" s="351">
        <f t="shared" si="40"/>
        <v>201</v>
      </c>
      <c r="L480" s="352">
        <v>201</v>
      </c>
      <c r="M480" s="448" t="str">
        <f>IF(L480="nio","",VLOOKUP(L480,'3-Productie normen'!$B$31:$H$45,3,FALSE))</f>
        <v>5 x per week (40 weken + 1 Zomer refreshbeurt)</v>
      </c>
      <c r="N480" s="353" t="e">
        <f t="shared" si="41"/>
        <v>#DIV/0!</v>
      </c>
      <c r="O480" s="354">
        <f>IF(L480="nio",0,IF(L480&gt;0,VLOOKUP(H480,'3-Productie normen'!A:P,VLOOKUP(L480,'3-Productie normen'!$B$31:$C$45,2,FALSE),FALSE)))/VLOOKUP(B480,'2-Kosten per locatie'!$A$13:$D$36,4,FALSE)</f>
        <v>0</v>
      </c>
      <c r="P480" s="82" t="str">
        <f>VLOOKUP(H480,'3-Productie normen'!A:T,20,FALSE)</f>
        <v>S</v>
      </c>
      <c r="Q480" s="447" t="s">
        <v>888</v>
      </c>
      <c r="S480" s="356">
        <f t="shared" si="42"/>
        <v>454.25999999999993</v>
      </c>
    </row>
    <row r="481" spans="1:19" ht="14.1" customHeight="1">
      <c r="A481" s="72">
        <f t="shared" si="43"/>
        <v>481</v>
      </c>
      <c r="B481" s="50" t="s">
        <v>808</v>
      </c>
      <c r="C481" s="50" t="s">
        <v>828</v>
      </c>
      <c r="D481" s="427" t="s">
        <v>1033</v>
      </c>
      <c r="E481" s="426" t="s">
        <v>275</v>
      </c>
      <c r="F481" s="349" t="s">
        <v>282</v>
      </c>
      <c r="G481" s="86" t="s">
        <v>215</v>
      </c>
      <c r="H481" s="63" t="s">
        <v>1040</v>
      </c>
      <c r="I481" s="86" t="s">
        <v>780</v>
      </c>
      <c r="J481" s="343">
        <v>2.96</v>
      </c>
      <c r="K481" s="351">
        <f t="shared" si="40"/>
        <v>12</v>
      </c>
      <c r="L481" s="352">
        <v>12</v>
      </c>
      <c r="M481" s="448" t="str">
        <f>IF(L481="nio","",VLOOKUP(L481,'3-Productie normen'!$B$31:$H$45,3,FALSE))</f>
        <v>1 x per maand</v>
      </c>
      <c r="N481" s="353" t="e">
        <f t="shared" si="41"/>
        <v>#DIV/0!</v>
      </c>
      <c r="O481" s="354">
        <f>IF(L481="nio",0,IF(L481&gt;0,VLOOKUP(H481,'3-Productie normen'!A:P,VLOOKUP(L481,'3-Productie normen'!$B$31:$C$45,2,FALSE),FALSE)))/VLOOKUP(B481,'2-Kosten per locatie'!$A$13:$D$36,4,FALSE)</f>
        <v>0</v>
      </c>
      <c r="P481" s="82" t="str">
        <f>VLOOKUP(H481,'3-Productie normen'!A:T,20,FALSE)</f>
        <v>V</v>
      </c>
      <c r="Q481" s="447" t="s">
        <v>961</v>
      </c>
      <c r="S481" s="356">
        <f t="shared" si="42"/>
        <v>35.519999999999996</v>
      </c>
    </row>
    <row r="482" spans="1:19" ht="14.1" customHeight="1">
      <c r="A482" s="72">
        <f t="shared" si="43"/>
        <v>482</v>
      </c>
      <c r="B482" s="50" t="s">
        <v>808</v>
      </c>
      <c r="C482" s="50" t="s">
        <v>828</v>
      </c>
      <c r="D482" s="427" t="s">
        <v>1033</v>
      </c>
      <c r="E482" s="426" t="s">
        <v>275</v>
      </c>
      <c r="F482" s="349" t="s">
        <v>284</v>
      </c>
      <c r="G482" s="86" t="s">
        <v>226</v>
      </c>
      <c r="H482" s="86" t="s">
        <v>16</v>
      </c>
      <c r="I482" s="86" t="s">
        <v>785</v>
      </c>
      <c r="J482" s="343">
        <v>14.09</v>
      </c>
      <c r="K482" s="351">
        <f t="shared" si="40"/>
        <v>201</v>
      </c>
      <c r="L482" s="352">
        <v>201</v>
      </c>
      <c r="M482" s="448" t="str">
        <f>IF(L482="nio","",VLOOKUP(L482,'3-Productie normen'!$B$31:$H$45,3,FALSE))</f>
        <v>5 x per week (40 weken + 1 Zomer refreshbeurt)</v>
      </c>
      <c r="N482" s="353" t="e">
        <f t="shared" si="41"/>
        <v>#DIV/0!</v>
      </c>
      <c r="O482" s="354">
        <f>IF(L482="nio",0,IF(L482&gt;0,VLOOKUP(H482,'3-Productie normen'!A:P,VLOOKUP(L482,'3-Productie normen'!$B$31:$C$45,2,FALSE),FALSE)))/VLOOKUP(B482,'2-Kosten per locatie'!$A$13:$D$36,4,FALSE)</f>
        <v>0</v>
      </c>
      <c r="P482" s="82" t="str">
        <f>VLOOKUP(H482,'3-Productie normen'!A:T,20,FALSE)</f>
        <v>S</v>
      </c>
      <c r="Q482" s="447" t="s">
        <v>962</v>
      </c>
      <c r="S482" s="356">
        <f t="shared" si="42"/>
        <v>2832.09</v>
      </c>
    </row>
    <row r="483" spans="1:19" ht="14.1" customHeight="1">
      <c r="A483" s="72">
        <f t="shared" si="43"/>
        <v>483</v>
      </c>
      <c r="B483" s="50" t="s">
        <v>808</v>
      </c>
      <c r="C483" s="50" t="s">
        <v>828</v>
      </c>
      <c r="D483" s="427" t="s">
        <v>1033</v>
      </c>
      <c r="E483" s="426" t="s">
        <v>275</v>
      </c>
      <c r="F483" s="349" t="s">
        <v>285</v>
      </c>
      <c r="G483" s="86" t="s">
        <v>298</v>
      </c>
      <c r="H483" s="86" t="s">
        <v>241</v>
      </c>
      <c r="I483" s="86" t="s">
        <v>780</v>
      </c>
      <c r="J483" s="343">
        <v>56.96</v>
      </c>
      <c r="K483" s="351">
        <f t="shared" si="40"/>
        <v>201</v>
      </c>
      <c r="L483" s="352">
        <v>201</v>
      </c>
      <c r="M483" s="448" t="str">
        <f>IF(L483="nio","",VLOOKUP(L483,'3-Productie normen'!$B$31:$H$45,3,FALSE))</f>
        <v>5 x per week (40 weken + 1 Zomer refreshbeurt)</v>
      </c>
      <c r="N483" s="353" t="e">
        <f t="shared" si="41"/>
        <v>#DIV/0!</v>
      </c>
      <c r="O483" s="354">
        <f>IF(L483="nio",0,IF(L483&gt;0,VLOOKUP(H483,'3-Productie normen'!A:P,VLOOKUP(L483,'3-Productie normen'!$B$31:$C$45,2,FALSE),FALSE)))/VLOOKUP(B483,'2-Kosten per locatie'!$A$13:$D$36,4,FALSE)</f>
        <v>0</v>
      </c>
      <c r="P483" s="82" t="str">
        <f>VLOOKUP(H483,'3-Productie normen'!A:T,20,FALSE)</f>
        <v>L</v>
      </c>
      <c r="Q483" s="447" t="s">
        <v>902</v>
      </c>
      <c r="S483" s="356">
        <f t="shared" si="42"/>
        <v>11448.960000000001</v>
      </c>
    </row>
    <row r="484" spans="1:19" ht="14.1" customHeight="1">
      <c r="A484" s="72">
        <f t="shared" si="43"/>
        <v>484</v>
      </c>
      <c r="B484" s="50" t="s">
        <v>808</v>
      </c>
      <c r="C484" s="50" t="s">
        <v>828</v>
      </c>
      <c r="D484" s="427" t="s">
        <v>1033</v>
      </c>
      <c r="E484" s="426" t="s">
        <v>275</v>
      </c>
      <c r="F484" s="349" t="s">
        <v>286</v>
      </c>
      <c r="G484" s="86" t="s">
        <v>298</v>
      </c>
      <c r="H484" s="86" t="s">
        <v>241</v>
      </c>
      <c r="I484" s="86" t="s">
        <v>780</v>
      </c>
      <c r="J484" s="343">
        <v>56.96</v>
      </c>
      <c r="K484" s="351">
        <f t="shared" si="40"/>
        <v>201</v>
      </c>
      <c r="L484" s="352">
        <v>201</v>
      </c>
      <c r="M484" s="448" t="str">
        <f>IF(L484="nio","",VLOOKUP(L484,'3-Productie normen'!$B$31:$H$45,3,FALSE))</f>
        <v>5 x per week (40 weken + 1 Zomer refreshbeurt)</v>
      </c>
      <c r="N484" s="353" t="e">
        <f t="shared" si="41"/>
        <v>#DIV/0!</v>
      </c>
      <c r="O484" s="354">
        <f>IF(L484="nio",0,IF(L484&gt;0,VLOOKUP(H484,'3-Productie normen'!A:P,VLOOKUP(L484,'3-Productie normen'!$B$31:$C$45,2,FALSE),FALSE)))/VLOOKUP(B484,'2-Kosten per locatie'!$A$13:$D$36,4,FALSE)</f>
        <v>0</v>
      </c>
      <c r="P484" s="82" t="str">
        <f>VLOOKUP(H484,'3-Productie normen'!A:T,20,FALSE)</f>
        <v>L</v>
      </c>
      <c r="Q484" s="447" t="s">
        <v>963</v>
      </c>
      <c r="S484" s="356">
        <f t="shared" si="42"/>
        <v>11448.960000000001</v>
      </c>
    </row>
    <row r="485" spans="1:19" ht="14.1" customHeight="1">
      <c r="A485" s="72">
        <f t="shared" si="43"/>
        <v>485</v>
      </c>
      <c r="B485" s="50" t="s">
        <v>808</v>
      </c>
      <c r="C485" s="50" t="s">
        <v>828</v>
      </c>
      <c r="D485" s="427" t="s">
        <v>1033</v>
      </c>
      <c r="E485" s="426" t="s">
        <v>275</v>
      </c>
      <c r="F485" s="349" t="s">
        <v>287</v>
      </c>
      <c r="G485" s="86" t="s">
        <v>298</v>
      </c>
      <c r="H485" s="86" t="s">
        <v>241</v>
      </c>
      <c r="I485" s="86" t="s">
        <v>780</v>
      </c>
      <c r="J485" s="343">
        <v>60.25</v>
      </c>
      <c r="K485" s="351">
        <f t="shared" si="40"/>
        <v>201</v>
      </c>
      <c r="L485" s="352">
        <v>201</v>
      </c>
      <c r="M485" s="448" t="str">
        <f>IF(L485="nio","",VLOOKUP(L485,'3-Productie normen'!$B$31:$H$45,3,FALSE))</f>
        <v>5 x per week (40 weken + 1 Zomer refreshbeurt)</v>
      </c>
      <c r="N485" s="353" t="e">
        <f t="shared" si="41"/>
        <v>#DIV/0!</v>
      </c>
      <c r="O485" s="354">
        <f>IF(L485="nio",0,IF(L485&gt;0,VLOOKUP(H485,'3-Productie normen'!A:P,VLOOKUP(L485,'3-Productie normen'!$B$31:$C$45,2,FALSE),FALSE)))/VLOOKUP(B485,'2-Kosten per locatie'!$A$13:$D$36,4,FALSE)</f>
        <v>0</v>
      </c>
      <c r="P485" s="82" t="str">
        <f>VLOOKUP(H485,'3-Productie normen'!A:T,20,FALSE)</f>
        <v>L</v>
      </c>
      <c r="Q485" s="447" t="s">
        <v>884</v>
      </c>
      <c r="S485" s="356">
        <f t="shared" si="42"/>
        <v>12110.25</v>
      </c>
    </row>
    <row r="486" spans="1:19" ht="14.1" customHeight="1">
      <c r="A486" s="72">
        <f t="shared" si="43"/>
        <v>486</v>
      </c>
      <c r="B486" s="50" t="s">
        <v>808</v>
      </c>
      <c r="C486" s="50" t="s">
        <v>828</v>
      </c>
      <c r="D486" s="427" t="s">
        <v>1033</v>
      </c>
      <c r="E486" s="426" t="s">
        <v>275</v>
      </c>
      <c r="F486" s="349" t="s">
        <v>288</v>
      </c>
      <c r="G486" s="86" t="s">
        <v>392</v>
      </c>
      <c r="H486" s="65" t="s">
        <v>1053</v>
      </c>
      <c r="I486" s="86" t="s">
        <v>788</v>
      </c>
      <c r="J486" s="343">
        <v>56.91</v>
      </c>
      <c r="K486" s="351" t="str">
        <f t="shared" si="40"/>
        <v>nio</v>
      </c>
      <c r="L486" s="352" t="s">
        <v>804</v>
      </c>
      <c r="M486" s="448" t="str">
        <f>IF(L486="nio","",VLOOKUP(L486,'3-Productie normen'!$B$31:$H$45,3,FALSE))</f>
        <v/>
      </c>
      <c r="N486" s="353">
        <f t="shared" si="41"/>
        <v>0</v>
      </c>
      <c r="O486" s="354">
        <f>IF(L486="nio",0,IF(L486&gt;0,VLOOKUP(H486,'3-Productie normen'!A:P,VLOOKUP(L486,'3-Productie normen'!$B$31:$C$45,2,FALSE),FALSE)))/VLOOKUP(B486,'2-Kosten per locatie'!$A$13:$D$36,4,FALSE)</f>
        <v>0</v>
      </c>
      <c r="P486" s="82">
        <f>VLOOKUP(H486,'3-Productie normen'!A:T,20,FALSE)</f>
        <v>0</v>
      </c>
      <c r="Q486" s="447" t="s">
        <v>792</v>
      </c>
      <c r="S486" s="356">
        <f t="shared" si="42"/>
        <v>0</v>
      </c>
    </row>
    <row r="487" spans="1:19" ht="14.1" customHeight="1">
      <c r="A487" s="72">
        <f t="shared" si="43"/>
        <v>487</v>
      </c>
      <c r="B487" s="50" t="s">
        <v>808</v>
      </c>
      <c r="C487" s="50" t="s">
        <v>828</v>
      </c>
      <c r="D487" s="427" t="s">
        <v>1033</v>
      </c>
      <c r="E487" s="426" t="s">
        <v>275</v>
      </c>
      <c r="F487" s="349" t="s">
        <v>289</v>
      </c>
      <c r="G487" s="86" t="s">
        <v>206</v>
      </c>
      <c r="H487" s="65" t="s">
        <v>1053</v>
      </c>
      <c r="I487" s="86" t="s">
        <v>799</v>
      </c>
      <c r="J487" s="343">
        <v>11.19</v>
      </c>
      <c r="K487" s="351" t="str">
        <f t="shared" si="40"/>
        <v>nio</v>
      </c>
      <c r="L487" s="352" t="s">
        <v>804</v>
      </c>
      <c r="M487" s="448" t="str">
        <f>IF(L487="nio","",VLOOKUP(L487,'3-Productie normen'!$B$31:$H$45,3,FALSE))</f>
        <v/>
      </c>
      <c r="N487" s="353">
        <f t="shared" si="41"/>
        <v>0</v>
      </c>
      <c r="O487" s="354">
        <f>IF(L487="nio",0,IF(L487&gt;0,VLOOKUP(H487,'3-Productie normen'!A:P,VLOOKUP(L487,'3-Productie normen'!$B$31:$C$45,2,FALSE),FALSE)))/VLOOKUP(B487,'2-Kosten per locatie'!$A$13:$D$36,4,FALSE)</f>
        <v>0</v>
      </c>
      <c r="P487" s="82">
        <f>VLOOKUP(H487,'3-Productie normen'!A:T,20,FALSE)</f>
        <v>0</v>
      </c>
      <c r="Q487" s="447" t="s">
        <v>964</v>
      </c>
      <c r="S487" s="356">
        <f t="shared" si="42"/>
        <v>0</v>
      </c>
    </row>
    <row r="488" spans="1:19" ht="14.1" customHeight="1">
      <c r="A488" s="72">
        <f t="shared" si="43"/>
        <v>488</v>
      </c>
      <c r="B488" s="50" t="s">
        <v>808</v>
      </c>
      <c r="C488" s="50" t="s">
        <v>828</v>
      </c>
      <c r="D488" s="427" t="s">
        <v>1033</v>
      </c>
      <c r="E488" s="426" t="s">
        <v>275</v>
      </c>
      <c r="F488" s="349" t="s">
        <v>290</v>
      </c>
      <c r="G488" s="86" t="s">
        <v>392</v>
      </c>
      <c r="H488" s="65" t="s">
        <v>1053</v>
      </c>
      <c r="I488" s="86" t="s">
        <v>788</v>
      </c>
      <c r="J488" s="343">
        <v>11.24</v>
      </c>
      <c r="K488" s="351" t="str">
        <f t="shared" si="40"/>
        <v>nio</v>
      </c>
      <c r="L488" s="352" t="s">
        <v>804</v>
      </c>
      <c r="M488" s="448" t="str">
        <f>IF(L488="nio","",VLOOKUP(L488,'3-Productie normen'!$B$31:$H$45,3,FALSE))</f>
        <v/>
      </c>
      <c r="N488" s="353">
        <f t="shared" si="41"/>
        <v>0</v>
      </c>
      <c r="O488" s="354">
        <f>IF(L488="nio",0,IF(L488&gt;0,VLOOKUP(H488,'3-Productie normen'!A:P,VLOOKUP(L488,'3-Productie normen'!$B$31:$C$45,2,FALSE),FALSE)))/VLOOKUP(B488,'2-Kosten per locatie'!$A$13:$D$36,4,FALSE)</f>
        <v>0</v>
      </c>
      <c r="P488" s="82">
        <f>VLOOKUP(H488,'3-Productie normen'!A:T,20,FALSE)</f>
        <v>0</v>
      </c>
      <c r="Q488" s="447" t="s">
        <v>792</v>
      </c>
      <c r="S488" s="356">
        <f t="shared" si="42"/>
        <v>0</v>
      </c>
    </row>
    <row r="489" spans="1:19" ht="14.1" customHeight="1">
      <c r="A489" s="72">
        <f t="shared" si="43"/>
        <v>489</v>
      </c>
      <c r="B489" s="50" t="s">
        <v>808</v>
      </c>
      <c r="C489" s="50" t="s">
        <v>828</v>
      </c>
      <c r="D489" s="427" t="s">
        <v>1033</v>
      </c>
      <c r="E489" s="426" t="s">
        <v>609</v>
      </c>
      <c r="F489" s="349" t="s">
        <v>610</v>
      </c>
      <c r="G489" s="86" t="s">
        <v>298</v>
      </c>
      <c r="H489" s="86" t="s">
        <v>241</v>
      </c>
      <c r="I489" s="86" t="s">
        <v>780</v>
      </c>
      <c r="J489" s="343">
        <v>50</v>
      </c>
      <c r="K489" s="351">
        <f t="shared" si="40"/>
        <v>201</v>
      </c>
      <c r="L489" s="352">
        <v>201</v>
      </c>
      <c r="M489" s="448" t="str">
        <f>IF(L489="nio","",VLOOKUP(L489,'3-Productie normen'!$B$31:$H$45,3,FALSE))</f>
        <v>5 x per week (40 weken + 1 Zomer refreshbeurt)</v>
      </c>
      <c r="N489" s="353" t="e">
        <f t="shared" si="41"/>
        <v>#DIV/0!</v>
      </c>
      <c r="O489" s="354">
        <f>IF(L489="nio",0,IF(L489&gt;0,VLOOKUP(H489,'3-Productie normen'!A:P,VLOOKUP(L489,'3-Productie normen'!$B$31:$C$45,2,FALSE),FALSE)))/VLOOKUP(B489,'2-Kosten per locatie'!$A$13:$D$36,4,FALSE)</f>
        <v>0</v>
      </c>
      <c r="P489" s="82" t="str">
        <f>VLOOKUP(H489,'3-Productie normen'!A:T,20,FALSE)</f>
        <v>L</v>
      </c>
      <c r="Q489" s="447" t="s">
        <v>881</v>
      </c>
      <c r="S489" s="356">
        <f t="shared" si="42"/>
        <v>10050</v>
      </c>
    </row>
    <row r="490" spans="1:19" ht="14.1" customHeight="1">
      <c r="A490" s="72">
        <f t="shared" si="43"/>
        <v>490</v>
      </c>
      <c r="B490" s="50" t="s">
        <v>808</v>
      </c>
      <c r="C490" s="50" t="s">
        <v>828</v>
      </c>
      <c r="D490" s="427" t="s">
        <v>1033</v>
      </c>
      <c r="E490" s="426" t="s">
        <v>609</v>
      </c>
      <c r="F490" s="349" t="s">
        <v>611</v>
      </c>
      <c r="G490" s="86" t="s">
        <v>298</v>
      </c>
      <c r="H490" s="50" t="s">
        <v>241</v>
      </c>
      <c r="I490" s="86" t="s">
        <v>780</v>
      </c>
      <c r="J490" s="343">
        <v>50.299999237060497</v>
      </c>
      <c r="K490" s="351">
        <f t="shared" si="40"/>
        <v>201</v>
      </c>
      <c r="L490" s="352">
        <v>201</v>
      </c>
      <c r="M490" s="448" t="str">
        <f>IF(L490="nio","",VLOOKUP(L490,'3-Productie normen'!$B$31:$H$45,3,FALSE))</f>
        <v>5 x per week (40 weken + 1 Zomer refreshbeurt)</v>
      </c>
      <c r="N490" s="353" t="e">
        <f t="shared" si="41"/>
        <v>#DIV/0!</v>
      </c>
      <c r="O490" s="354">
        <f>IF(L490="nio",0,IF(L490&gt;0,VLOOKUP(H490,'3-Productie normen'!A:P,VLOOKUP(L490,'3-Productie normen'!$B$31:$C$45,2,FALSE),FALSE)))/VLOOKUP(B490,'2-Kosten per locatie'!$A$13:$D$36,4,FALSE)</f>
        <v>0</v>
      </c>
      <c r="P490" s="82" t="str">
        <f>VLOOKUP(H490,'3-Productie normen'!A:T,20,FALSE)</f>
        <v>L</v>
      </c>
      <c r="Q490" s="447" t="s">
        <v>881</v>
      </c>
      <c r="S490" s="356">
        <f t="shared" si="42"/>
        <v>10110.299846649161</v>
      </c>
    </row>
    <row r="491" spans="1:19" ht="14.1" customHeight="1">
      <c r="A491" s="72">
        <f t="shared" si="43"/>
        <v>491</v>
      </c>
      <c r="B491" s="50" t="s">
        <v>809</v>
      </c>
      <c r="C491" s="50" t="s">
        <v>829</v>
      </c>
      <c r="D491" s="427" t="s">
        <v>1034</v>
      </c>
      <c r="E491" s="426" t="s">
        <v>612</v>
      </c>
      <c r="F491" s="349" t="s">
        <v>613</v>
      </c>
      <c r="G491" s="86" t="s">
        <v>89</v>
      </c>
      <c r="H491" s="432" t="s">
        <v>198</v>
      </c>
      <c r="I491" s="86" t="s">
        <v>784</v>
      </c>
      <c r="J491" s="343">
        <v>3.9</v>
      </c>
      <c r="K491" s="351">
        <f t="shared" si="40"/>
        <v>255</v>
      </c>
      <c r="L491" s="352">
        <v>255</v>
      </c>
      <c r="M491" s="448" t="str">
        <f>IF(L491="nio","",VLOOKUP(L491,'3-Productie normen'!$B$31:$H$45,3,FALSE))</f>
        <v>5 x per week (52 weken)</v>
      </c>
      <c r="N491" s="353" t="e">
        <f t="shared" si="41"/>
        <v>#DIV/0!</v>
      </c>
      <c r="O491" s="354">
        <f>IF(L491="nio",0,IF(L491&gt;0,VLOOKUP(H491,'3-Productie normen'!A:P,VLOOKUP(L491,'3-Productie normen'!$B$31:$C$45,2,FALSE),FALSE)))/VLOOKUP(B491,'2-Kosten per locatie'!$A$13:$D$36,4,FALSE)</f>
        <v>0</v>
      </c>
      <c r="P491" s="82" t="str">
        <f>VLOOKUP(H491,'3-Productie normen'!A:T,20,FALSE)</f>
        <v>V</v>
      </c>
      <c r="Q491" s="447"/>
      <c r="S491" s="356">
        <f t="shared" si="42"/>
        <v>994.5</v>
      </c>
    </row>
    <row r="492" spans="1:19" ht="14.1" customHeight="1">
      <c r="A492" s="72">
        <f t="shared" si="43"/>
        <v>492</v>
      </c>
      <c r="B492" s="50" t="s">
        <v>809</v>
      </c>
      <c r="C492" s="50" t="s">
        <v>829</v>
      </c>
      <c r="D492" s="427" t="s">
        <v>1034</v>
      </c>
      <c r="E492" s="426" t="s">
        <v>612</v>
      </c>
      <c r="F492" s="349" t="s">
        <v>610</v>
      </c>
      <c r="G492" s="86" t="s">
        <v>1132</v>
      </c>
      <c r="H492" s="65" t="s">
        <v>241</v>
      </c>
      <c r="I492" s="86" t="s">
        <v>780</v>
      </c>
      <c r="J492" s="343">
        <v>50.2</v>
      </c>
      <c r="K492" s="351">
        <f t="shared" si="40"/>
        <v>201</v>
      </c>
      <c r="L492" s="352">
        <v>201</v>
      </c>
      <c r="M492" s="448" t="str">
        <f>IF(L492="nio","",VLOOKUP(L492,'3-Productie normen'!$B$31:$H$45,3,FALSE))</f>
        <v>5 x per week (40 weken + 1 Zomer refreshbeurt)</v>
      </c>
      <c r="N492" s="353" t="e">
        <f t="shared" ref="N492:N555" si="44">IF(L492="nio",0,IF(L492&gt;0,L492*J492/O492,0))</f>
        <v>#DIV/0!</v>
      </c>
      <c r="O492" s="354">
        <f>IF(L492="nio",0,IF(L492&gt;0,VLOOKUP(H492,'3-Productie normen'!A:P,VLOOKUP(L492,'3-Productie normen'!$B$31:$C$45,2,FALSE),FALSE)))/VLOOKUP(B492,'2-Kosten per locatie'!$A$13:$D$36,4,FALSE)</f>
        <v>0</v>
      </c>
      <c r="P492" s="82" t="str">
        <f>VLOOKUP(H492,'3-Productie normen'!A:T,20,FALSE)</f>
        <v>L</v>
      </c>
      <c r="Q492" s="447"/>
      <c r="S492" s="356">
        <f t="shared" ref="S492:S555" si="45">IF(L492="nio",0,K492*J492)</f>
        <v>10090.200000000001</v>
      </c>
    </row>
    <row r="493" spans="1:19" ht="14.1" customHeight="1">
      <c r="A493" s="72">
        <f t="shared" si="43"/>
        <v>493</v>
      </c>
      <c r="B493" s="50" t="s">
        <v>809</v>
      </c>
      <c r="C493" s="50" t="s">
        <v>829</v>
      </c>
      <c r="D493" s="427" t="s">
        <v>1034</v>
      </c>
      <c r="E493" s="426" t="s">
        <v>612</v>
      </c>
      <c r="F493" s="349" t="s">
        <v>611</v>
      </c>
      <c r="G493" s="86" t="s">
        <v>1132</v>
      </c>
      <c r="H493" s="65" t="s">
        <v>241</v>
      </c>
      <c r="I493" s="86" t="s">
        <v>780</v>
      </c>
      <c r="J493" s="343">
        <v>50.3</v>
      </c>
      <c r="K493" s="351">
        <f t="shared" ref="K493:K556" si="46">L493</f>
        <v>201</v>
      </c>
      <c r="L493" s="352">
        <v>201</v>
      </c>
      <c r="M493" s="448" t="str">
        <f>IF(L493="nio","",VLOOKUP(L493,'3-Productie normen'!$B$31:$H$45,3,FALSE))</f>
        <v>5 x per week (40 weken + 1 Zomer refreshbeurt)</v>
      </c>
      <c r="N493" s="353" t="e">
        <f t="shared" si="44"/>
        <v>#DIV/0!</v>
      </c>
      <c r="O493" s="354">
        <f>IF(L493="nio",0,IF(L493&gt;0,VLOOKUP(H493,'3-Productie normen'!A:P,VLOOKUP(L493,'3-Productie normen'!$B$31:$C$45,2,FALSE),FALSE)))/VLOOKUP(B493,'2-Kosten per locatie'!$A$13:$D$36,4,FALSE)</f>
        <v>0</v>
      </c>
      <c r="P493" s="82" t="str">
        <f>VLOOKUP(H493,'3-Productie normen'!A:T,20,FALSE)</f>
        <v>L</v>
      </c>
      <c r="Q493" s="447"/>
      <c r="S493" s="356">
        <f t="shared" si="45"/>
        <v>10110.299999999999</v>
      </c>
    </row>
    <row r="494" spans="1:19" ht="14.1" customHeight="1">
      <c r="A494" s="72">
        <f t="shared" si="43"/>
        <v>494</v>
      </c>
      <c r="B494" s="50" t="s">
        <v>809</v>
      </c>
      <c r="C494" s="50" t="s">
        <v>829</v>
      </c>
      <c r="D494" s="427" t="s">
        <v>1034</v>
      </c>
      <c r="E494" s="426" t="s">
        <v>612</v>
      </c>
      <c r="F494" s="349" t="s">
        <v>614</v>
      </c>
      <c r="G494" s="86" t="s">
        <v>239</v>
      </c>
      <c r="H494" s="65" t="s">
        <v>731</v>
      </c>
      <c r="I494" s="86" t="s">
        <v>780</v>
      </c>
      <c r="J494" s="343">
        <v>97.7</v>
      </c>
      <c r="K494" s="351">
        <f t="shared" si="46"/>
        <v>255</v>
      </c>
      <c r="L494" s="352">
        <v>255</v>
      </c>
      <c r="M494" s="448" t="str">
        <f>IF(L494="nio","",VLOOKUP(L494,'3-Productie normen'!$B$31:$H$45,3,FALSE))</f>
        <v>5 x per week (52 weken)</v>
      </c>
      <c r="N494" s="353" t="e">
        <f t="shared" si="44"/>
        <v>#DIV/0!</v>
      </c>
      <c r="O494" s="354">
        <f>IF(L494="nio",0,IF(L494&gt;0,VLOOKUP(H494,'3-Productie normen'!A:P,VLOOKUP(L494,'3-Productie normen'!$B$31:$C$45,2,FALSE),FALSE)))/VLOOKUP(B494,'2-Kosten per locatie'!$A$13:$D$36,4,FALSE)</f>
        <v>0</v>
      </c>
      <c r="P494" s="82" t="str">
        <f>VLOOKUP(H494,'3-Productie normen'!A:T,20,FALSE)</f>
        <v>V</v>
      </c>
      <c r="Q494" s="447"/>
      <c r="S494" s="356">
        <f t="shared" si="45"/>
        <v>24913.5</v>
      </c>
    </row>
    <row r="495" spans="1:19" ht="14.1" customHeight="1">
      <c r="A495" s="72">
        <f t="shared" si="43"/>
        <v>495</v>
      </c>
      <c r="B495" s="50" t="s">
        <v>809</v>
      </c>
      <c r="C495" s="50" t="s">
        <v>829</v>
      </c>
      <c r="D495" s="427" t="s">
        <v>1034</v>
      </c>
      <c r="E495" s="426" t="s">
        <v>612</v>
      </c>
      <c r="F495" s="349" t="s">
        <v>615</v>
      </c>
      <c r="G495" s="86" t="s">
        <v>201</v>
      </c>
      <c r="H495" s="432" t="s">
        <v>198</v>
      </c>
      <c r="I495" s="86" t="s">
        <v>780</v>
      </c>
      <c r="J495" s="343">
        <v>29.4</v>
      </c>
      <c r="K495" s="351">
        <f t="shared" si="46"/>
        <v>255</v>
      </c>
      <c r="L495" s="352">
        <v>255</v>
      </c>
      <c r="M495" s="448" t="str">
        <f>IF(L495="nio","",VLOOKUP(L495,'3-Productie normen'!$B$31:$H$45,3,FALSE))</f>
        <v>5 x per week (52 weken)</v>
      </c>
      <c r="N495" s="353" t="e">
        <f t="shared" si="44"/>
        <v>#DIV/0!</v>
      </c>
      <c r="O495" s="354">
        <f>IF(L495="nio",0,IF(L495&gt;0,VLOOKUP(H495,'3-Productie normen'!A:P,VLOOKUP(L495,'3-Productie normen'!$B$31:$C$45,2,FALSE),FALSE)))/VLOOKUP(B495,'2-Kosten per locatie'!$A$13:$D$36,4,FALSE)</f>
        <v>0</v>
      </c>
      <c r="P495" s="82" t="str">
        <f>VLOOKUP(H495,'3-Productie normen'!A:T,20,FALSE)</f>
        <v>V</v>
      </c>
      <c r="Q495" s="447"/>
      <c r="S495" s="356">
        <f t="shared" si="45"/>
        <v>7497</v>
      </c>
    </row>
    <row r="496" spans="1:19" ht="14.1" customHeight="1">
      <c r="A496" s="72">
        <f t="shared" si="43"/>
        <v>496</v>
      </c>
      <c r="B496" s="50" t="s">
        <v>809</v>
      </c>
      <c r="C496" s="50" t="s">
        <v>829</v>
      </c>
      <c r="D496" s="427" t="s">
        <v>1034</v>
      </c>
      <c r="E496" s="426" t="s">
        <v>612</v>
      </c>
      <c r="F496" s="349" t="s">
        <v>616</v>
      </c>
      <c r="G496" s="86" t="s">
        <v>222</v>
      </c>
      <c r="H496" s="86" t="s">
        <v>16</v>
      </c>
      <c r="I496" s="86" t="s">
        <v>781</v>
      </c>
      <c r="J496" s="343">
        <v>3.7</v>
      </c>
      <c r="K496" s="351">
        <f t="shared" si="46"/>
        <v>255</v>
      </c>
      <c r="L496" s="352">
        <v>255</v>
      </c>
      <c r="M496" s="448" t="str">
        <f>IF(L496="nio","",VLOOKUP(L496,'3-Productie normen'!$B$31:$H$45,3,FALSE))</f>
        <v>5 x per week (52 weken)</v>
      </c>
      <c r="N496" s="353" t="e">
        <f t="shared" si="44"/>
        <v>#DIV/0!</v>
      </c>
      <c r="O496" s="354">
        <f>IF(L496="nio",0,IF(L496&gt;0,VLOOKUP(H496,'3-Productie normen'!A:P,VLOOKUP(L496,'3-Productie normen'!$B$31:$C$45,2,FALSE),FALSE)))/VLOOKUP(B496,'2-Kosten per locatie'!$A$13:$D$36,4,FALSE)</f>
        <v>0</v>
      </c>
      <c r="P496" s="82" t="str">
        <f>VLOOKUP(H496,'3-Productie normen'!A:T,20,FALSE)</f>
        <v>S</v>
      </c>
      <c r="Q496" s="447" t="s">
        <v>965</v>
      </c>
      <c r="S496" s="356">
        <f t="shared" si="45"/>
        <v>943.5</v>
      </c>
    </row>
    <row r="497" spans="1:19" ht="14.1" customHeight="1">
      <c r="A497" s="72">
        <f t="shared" si="43"/>
        <v>497</v>
      </c>
      <c r="B497" s="50" t="s">
        <v>809</v>
      </c>
      <c r="C497" s="50" t="s">
        <v>829</v>
      </c>
      <c r="D497" s="427" t="s">
        <v>1034</v>
      </c>
      <c r="E497" s="426" t="s">
        <v>612</v>
      </c>
      <c r="F497" s="349" t="s">
        <v>617</v>
      </c>
      <c r="G497" s="86" t="s">
        <v>226</v>
      </c>
      <c r="H497" s="86" t="s">
        <v>16</v>
      </c>
      <c r="I497" s="86" t="s">
        <v>781</v>
      </c>
      <c r="J497" s="343">
        <v>7.7</v>
      </c>
      <c r="K497" s="351">
        <f t="shared" si="46"/>
        <v>255</v>
      </c>
      <c r="L497" s="352">
        <v>255</v>
      </c>
      <c r="M497" s="448" t="str">
        <f>IF(L497="nio","",VLOOKUP(L497,'3-Productie normen'!$B$31:$H$45,3,FALSE))</f>
        <v>5 x per week (52 weken)</v>
      </c>
      <c r="N497" s="353" t="e">
        <f t="shared" si="44"/>
        <v>#DIV/0!</v>
      </c>
      <c r="O497" s="354">
        <f>IF(L497="nio",0,IF(L497&gt;0,VLOOKUP(H497,'3-Productie normen'!A:P,VLOOKUP(L497,'3-Productie normen'!$B$31:$C$45,2,FALSE),FALSE)))/VLOOKUP(B497,'2-Kosten per locatie'!$A$13:$D$36,4,FALSE)</f>
        <v>0</v>
      </c>
      <c r="P497" s="82" t="str">
        <f>VLOOKUP(H497,'3-Productie normen'!A:T,20,FALSE)</f>
        <v>S</v>
      </c>
      <c r="Q497" s="447"/>
      <c r="S497" s="356">
        <f t="shared" si="45"/>
        <v>1963.5</v>
      </c>
    </row>
    <row r="498" spans="1:19" ht="14.1" customHeight="1">
      <c r="A498" s="72">
        <f t="shared" si="43"/>
        <v>498</v>
      </c>
      <c r="B498" s="50" t="s">
        <v>809</v>
      </c>
      <c r="C498" s="50" t="s">
        <v>829</v>
      </c>
      <c r="D498" s="427" t="s">
        <v>1034</v>
      </c>
      <c r="E498" s="426" t="s">
        <v>612</v>
      </c>
      <c r="F498" s="349" t="s">
        <v>618</v>
      </c>
      <c r="G498" s="86" t="s">
        <v>215</v>
      </c>
      <c r="H498" s="63" t="s">
        <v>1040</v>
      </c>
      <c r="I498" s="86" t="s">
        <v>781</v>
      </c>
      <c r="J498" s="343">
        <v>2.6</v>
      </c>
      <c r="K498" s="351">
        <f t="shared" si="46"/>
        <v>12</v>
      </c>
      <c r="L498" s="352">
        <v>12</v>
      </c>
      <c r="M498" s="448" t="str">
        <f>IF(L498="nio","",VLOOKUP(L498,'3-Productie normen'!$B$31:$H$45,3,FALSE))</f>
        <v>1 x per maand</v>
      </c>
      <c r="N498" s="353" t="e">
        <f t="shared" si="44"/>
        <v>#DIV/0!</v>
      </c>
      <c r="O498" s="354">
        <f>IF(L498="nio",0,IF(L498&gt;0,VLOOKUP(H498,'3-Productie normen'!A:P,VLOOKUP(L498,'3-Productie normen'!$B$31:$C$45,2,FALSE),FALSE)))/VLOOKUP(B498,'2-Kosten per locatie'!$A$13:$D$36,4,FALSE)</f>
        <v>0</v>
      </c>
      <c r="P498" s="82" t="str">
        <f>VLOOKUP(H498,'3-Productie normen'!A:T,20,FALSE)</f>
        <v>V</v>
      </c>
      <c r="Q498" s="447"/>
      <c r="S498" s="356">
        <f t="shared" si="45"/>
        <v>31.200000000000003</v>
      </c>
    </row>
    <row r="499" spans="1:19" ht="14.1" customHeight="1">
      <c r="A499" s="72">
        <f t="shared" si="43"/>
        <v>499</v>
      </c>
      <c r="B499" s="50" t="s">
        <v>809</v>
      </c>
      <c r="C499" s="50" t="s">
        <v>829</v>
      </c>
      <c r="D499" s="427" t="s">
        <v>1034</v>
      </c>
      <c r="E499" s="426" t="s">
        <v>612</v>
      </c>
      <c r="F499" s="349" t="s">
        <v>619</v>
      </c>
      <c r="G499" s="86" t="s">
        <v>209</v>
      </c>
      <c r="H499" s="63" t="s">
        <v>1040</v>
      </c>
      <c r="I499" s="86" t="s">
        <v>780</v>
      </c>
      <c r="J499" s="343">
        <v>9.1</v>
      </c>
      <c r="K499" s="351">
        <f t="shared" si="46"/>
        <v>12</v>
      </c>
      <c r="L499" s="352">
        <v>12</v>
      </c>
      <c r="M499" s="448" t="str">
        <f>IF(L499="nio","",VLOOKUP(L499,'3-Productie normen'!$B$31:$H$45,3,FALSE))</f>
        <v>1 x per maand</v>
      </c>
      <c r="N499" s="353" t="e">
        <f t="shared" si="44"/>
        <v>#DIV/0!</v>
      </c>
      <c r="O499" s="354">
        <f>IF(L499="nio",0,IF(L499&gt;0,VLOOKUP(H499,'3-Productie normen'!A:P,VLOOKUP(L499,'3-Productie normen'!$B$31:$C$45,2,FALSE),FALSE)))/VLOOKUP(B499,'2-Kosten per locatie'!$A$13:$D$36,4,FALSE)</f>
        <v>0</v>
      </c>
      <c r="P499" s="82" t="str">
        <f>VLOOKUP(H499,'3-Productie normen'!A:T,20,FALSE)</f>
        <v>V</v>
      </c>
      <c r="Q499" s="447"/>
      <c r="S499" s="356">
        <f t="shared" si="45"/>
        <v>109.19999999999999</v>
      </c>
    </row>
    <row r="500" spans="1:19" ht="14.1" customHeight="1">
      <c r="A500" s="72">
        <f t="shared" si="43"/>
        <v>500</v>
      </c>
      <c r="B500" s="50" t="s">
        <v>809</v>
      </c>
      <c r="C500" s="50" t="s">
        <v>829</v>
      </c>
      <c r="D500" s="427" t="s">
        <v>1034</v>
      </c>
      <c r="E500" s="426" t="s">
        <v>612</v>
      </c>
      <c r="F500" s="349" t="s">
        <v>214</v>
      </c>
      <c r="G500" s="86" t="s">
        <v>206</v>
      </c>
      <c r="H500" s="65" t="s">
        <v>1053</v>
      </c>
      <c r="I500" s="86" t="s">
        <v>780</v>
      </c>
      <c r="J500" s="343">
        <v>1.4</v>
      </c>
      <c r="K500" s="351" t="str">
        <f t="shared" si="46"/>
        <v>nio</v>
      </c>
      <c r="L500" s="352" t="s">
        <v>804</v>
      </c>
      <c r="M500" s="448" t="str">
        <f>IF(L500="nio","",VLOOKUP(L500,'3-Productie normen'!$B$31:$H$45,3,FALSE))</f>
        <v/>
      </c>
      <c r="N500" s="353">
        <f t="shared" si="44"/>
        <v>0</v>
      </c>
      <c r="O500" s="354">
        <f>IF(L500="nio",0,IF(L500&gt;0,VLOOKUP(H500,'3-Productie normen'!A:P,VLOOKUP(L500,'3-Productie normen'!$B$31:$C$45,2,FALSE),FALSE)))/VLOOKUP(B500,'2-Kosten per locatie'!$A$13:$D$36,4,FALSE)</f>
        <v>0</v>
      </c>
      <c r="P500" s="82">
        <f>VLOOKUP(H500,'3-Productie normen'!A:T,20,FALSE)</f>
        <v>0</v>
      </c>
      <c r="Q500" s="447" t="s">
        <v>898</v>
      </c>
      <c r="S500" s="356">
        <f t="shared" si="45"/>
        <v>0</v>
      </c>
    </row>
    <row r="501" spans="1:19" ht="14.1" customHeight="1">
      <c r="A501" s="72">
        <f t="shared" si="43"/>
        <v>501</v>
      </c>
      <c r="B501" s="50" t="s">
        <v>809</v>
      </c>
      <c r="C501" s="50" t="s">
        <v>829</v>
      </c>
      <c r="D501" s="427" t="s">
        <v>1034</v>
      </c>
      <c r="E501" s="426" t="s">
        <v>612</v>
      </c>
      <c r="F501" s="349" t="s">
        <v>216</v>
      </c>
      <c r="G501" s="86" t="s">
        <v>206</v>
      </c>
      <c r="H501" s="65" t="s">
        <v>1053</v>
      </c>
      <c r="I501" s="86" t="s">
        <v>780</v>
      </c>
      <c r="J501" s="343">
        <v>0.7</v>
      </c>
      <c r="K501" s="351" t="str">
        <f t="shared" si="46"/>
        <v>nio</v>
      </c>
      <c r="L501" s="352" t="s">
        <v>804</v>
      </c>
      <c r="M501" s="448" t="str">
        <f>IF(L501="nio","",VLOOKUP(L501,'3-Productie normen'!$B$31:$H$45,3,FALSE))</f>
        <v/>
      </c>
      <c r="N501" s="353">
        <f t="shared" si="44"/>
        <v>0</v>
      </c>
      <c r="O501" s="354">
        <f>IF(L501="nio",0,IF(L501&gt;0,VLOOKUP(H501,'3-Productie normen'!A:P,VLOOKUP(L501,'3-Productie normen'!$B$31:$C$45,2,FALSE),FALSE)))/VLOOKUP(B501,'2-Kosten per locatie'!$A$13:$D$36,4,FALSE)</f>
        <v>0</v>
      </c>
      <c r="P501" s="82">
        <f>VLOOKUP(H501,'3-Productie normen'!A:T,20,FALSE)</f>
        <v>0</v>
      </c>
      <c r="Q501" s="447" t="s">
        <v>883</v>
      </c>
      <c r="S501" s="356">
        <f t="shared" si="45"/>
        <v>0</v>
      </c>
    </row>
    <row r="502" spans="1:19" ht="14.1" customHeight="1">
      <c r="A502" s="72">
        <f t="shared" si="43"/>
        <v>502</v>
      </c>
      <c r="B502" s="50" t="s">
        <v>810</v>
      </c>
      <c r="C502" s="50" t="s">
        <v>830</v>
      </c>
      <c r="D502" s="427" t="s">
        <v>1033</v>
      </c>
      <c r="E502" s="426" t="s">
        <v>612</v>
      </c>
      <c r="F502" s="349" t="s">
        <v>197</v>
      </c>
      <c r="G502" s="86" t="s">
        <v>199</v>
      </c>
      <c r="H502" s="432" t="s">
        <v>198</v>
      </c>
      <c r="I502" s="86" t="s">
        <v>779</v>
      </c>
      <c r="J502" s="343">
        <v>6.41</v>
      </c>
      <c r="K502" s="351">
        <f t="shared" si="46"/>
        <v>200</v>
      </c>
      <c r="L502" s="352">
        <v>200</v>
      </c>
      <c r="M502" s="448" t="str">
        <f>IF(L502="nio","",VLOOKUP(L502,'3-Productie normen'!$B$31:$H$45,3,FALSE))</f>
        <v>5 x per week (40 weken)</v>
      </c>
      <c r="N502" s="353" t="e">
        <f t="shared" si="44"/>
        <v>#DIV/0!</v>
      </c>
      <c r="O502" s="354">
        <f>IF(L502="nio",0,IF(L502&gt;0,VLOOKUP(H502,'3-Productie normen'!A:P,VLOOKUP(L502,'3-Productie normen'!$B$31:$C$45,2,FALSE),FALSE)))/VLOOKUP(B502,'2-Kosten per locatie'!$A$13:$D$36,4,FALSE)</f>
        <v>0</v>
      </c>
      <c r="P502" s="82" t="str">
        <f>VLOOKUP(H502,'3-Productie normen'!A:T,20,FALSE)</f>
        <v>V</v>
      </c>
      <c r="Q502" s="447" t="s">
        <v>792</v>
      </c>
      <c r="S502" s="356">
        <f t="shared" si="45"/>
        <v>1282</v>
      </c>
    </row>
    <row r="503" spans="1:19" ht="14.1" customHeight="1">
      <c r="A503" s="72">
        <f t="shared" si="43"/>
        <v>503</v>
      </c>
      <c r="B503" s="50" t="s">
        <v>810</v>
      </c>
      <c r="C503" s="50" t="s">
        <v>830</v>
      </c>
      <c r="D503" s="427" t="s">
        <v>1033</v>
      </c>
      <c r="E503" s="426" t="s">
        <v>612</v>
      </c>
      <c r="F503" s="349" t="s">
        <v>620</v>
      </c>
      <c r="G503" s="86" t="s">
        <v>199</v>
      </c>
      <c r="H503" s="65" t="s">
        <v>1053</v>
      </c>
      <c r="I503" s="86" t="s">
        <v>92</v>
      </c>
      <c r="J503" s="343">
        <v>0.519999980926514</v>
      </c>
      <c r="K503" s="351" t="str">
        <f t="shared" si="46"/>
        <v>nio</v>
      </c>
      <c r="L503" s="352" t="s">
        <v>804</v>
      </c>
      <c r="M503" s="448" t="str">
        <f>IF(L503="nio","",VLOOKUP(L503,'3-Productie normen'!$B$31:$H$45,3,FALSE))</f>
        <v/>
      </c>
      <c r="N503" s="353">
        <f t="shared" si="44"/>
        <v>0</v>
      </c>
      <c r="O503" s="354">
        <f>IF(L503="nio",0,IF(L503&gt;0,VLOOKUP(H503,'3-Productie normen'!A:P,VLOOKUP(L503,'3-Productie normen'!$B$31:$C$45,2,FALSE),FALSE)))/VLOOKUP(B503,'2-Kosten per locatie'!$A$13:$D$36,4,FALSE)</f>
        <v>0</v>
      </c>
      <c r="P503" s="82">
        <f>VLOOKUP(H503,'3-Productie normen'!A:T,20,FALSE)</f>
        <v>0</v>
      </c>
      <c r="Q503" s="447" t="s">
        <v>957</v>
      </c>
      <c r="S503" s="356">
        <f t="shared" si="45"/>
        <v>0</v>
      </c>
    </row>
    <row r="504" spans="1:19" ht="14.1" customHeight="1">
      <c r="A504" s="72">
        <f t="shared" si="43"/>
        <v>504</v>
      </c>
      <c r="B504" s="50" t="s">
        <v>810</v>
      </c>
      <c r="C504" s="50" t="s">
        <v>830</v>
      </c>
      <c r="D504" s="427" t="s">
        <v>1033</v>
      </c>
      <c r="E504" s="426" t="s">
        <v>612</v>
      </c>
      <c r="F504" s="349" t="s">
        <v>200</v>
      </c>
      <c r="G504" s="86" t="s">
        <v>201</v>
      </c>
      <c r="H504" s="432" t="s">
        <v>198</v>
      </c>
      <c r="I504" s="86" t="s">
        <v>780</v>
      </c>
      <c r="J504" s="343">
        <v>142.33000000000001</v>
      </c>
      <c r="K504" s="351">
        <f t="shared" si="46"/>
        <v>200</v>
      </c>
      <c r="L504" s="352">
        <v>200</v>
      </c>
      <c r="M504" s="448" t="str">
        <f>IF(L504="nio","",VLOOKUP(L504,'3-Productie normen'!$B$31:$H$45,3,FALSE))</f>
        <v>5 x per week (40 weken)</v>
      </c>
      <c r="N504" s="353" t="e">
        <f t="shared" si="44"/>
        <v>#DIV/0!</v>
      </c>
      <c r="O504" s="354">
        <f>IF(L504="nio",0,IF(L504&gt;0,VLOOKUP(H504,'3-Productie normen'!A:P,VLOOKUP(L504,'3-Productie normen'!$B$31:$C$45,2,FALSE),FALSE)))/VLOOKUP(B504,'2-Kosten per locatie'!$A$13:$D$36,4,FALSE)</f>
        <v>0</v>
      </c>
      <c r="P504" s="82" t="str">
        <f>VLOOKUP(H504,'3-Productie normen'!A:T,20,FALSE)</f>
        <v>V</v>
      </c>
      <c r="Q504" s="447" t="s">
        <v>792</v>
      </c>
      <c r="S504" s="356">
        <f t="shared" si="45"/>
        <v>28466.000000000004</v>
      </c>
    </row>
    <row r="505" spans="1:19" ht="14.1" customHeight="1">
      <c r="A505" s="72">
        <f t="shared" si="43"/>
        <v>505</v>
      </c>
      <c r="B505" s="50" t="s">
        <v>810</v>
      </c>
      <c r="C505" s="50" t="s">
        <v>830</v>
      </c>
      <c r="D505" s="427" t="s">
        <v>1033</v>
      </c>
      <c r="E505" s="426" t="s">
        <v>612</v>
      </c>
      <c r="F505" s="349" t="s">
        <v>200</v>
      </c>
      <c r="G505" s="86" t="s">
        <v>201</v>
      </c>
      <c r="H505" s="432" t="s">
        <v>198</v>
      </c>
      <c r="I505" s="86" t="s">
        <v>784</v>
      </c>
      <c r="J505" s="343">
        <v>7.5300002098083496</v>
      </c>
      <c r="K505" s="351">
        <f t="shared" si="46"/>
        <v>200</v>
      </c>
      <c r="L505" s="352">
        <v>200</v>
      </c>
      <c r="M505" s="448" t="str">
        <f>IF(L505="nio","",VLOOKUP(L505,'3-Productie normen'!$B$31:$H$45,3,FALSE))</f>
        <v>5 x per week (40 weken)</v>
      </c>
      <c r="N505" s="353" t="e">
        <f t="shared" si="44"/>
        <v>#DIV/0!</v>
      </c>
      <c r="O505" s="354">
        <f>IF(L505="nio",0,IF(L505&gt;0,VLOOKUP(H505,'3-Productie normen'!A:P,VLOOKUP(L505,'3-Productie normen'!$B$31:$C$45,2,FALSE),FALSE)))/VLOOKUP(B505,'2-Kosten per locatie'!$A$13:$D$36,4,FALSE)</f>
        <v>0</v>
      </c>
      <c r="P505" s="82" t="str">
        <f>VLOOKUP(H505,'3-Productie normen'!A:T,20,FALSE)</f>
        <v>V</v>
      </c>
      <c r="Q505" s="447" t="s">
        <v>792</v>
      </c>
      <c r="S505" s="356">
        <f t="shared" si="45"/>
        <v>1506.0000419616699</v>
      </c>
    </row>
    <row r="506" spans="1:19" ht="14.1" customHeight="1">
      <c r="A506" s="72">
        <f t="shared" si="43"/>
        <v>506</v>
      </c>
      <c r="B506" s="50" t="s">
        <v>810</v>
      </c>
      <c r="C506" s="50" t="s">
        <v>830</v>
      </c>
      <c r="D506" s="427" t="s">
        <v>1033</v>
      </c>
      <c r="E506" s="426" t="s">
        <v>612</v>
      </c>
      <c r="F506" s="349" t="s">
        <v>202</v>
      </c>
      <c r="G506" s="86" t="s">
        <v>311</v>
      </c>
      <c r="H506" s="50" t="s">
        <v>203</v>
      </c>
      <c r="I506" s="86" t="s">
        <v>780</v>
      </c>
      <c r="J506" s="343">
        <v>11.05</v>
      </c>
      <c r="K506" s="351">
        <f t="shared" si="46"/>
        <v>120</v>
      </c>
      <c r="L506" s="352">
        <v>120</v>
      </c>
      <c r="M506" s="448" t="str">
        <f>IF(L506="nio","",VLOOKUP(L506,'3-Productie normen'!$B$31:$H$45,3,FALSE))</f>
        <v>3 x per week (40 weken)</v>
      </c>
      <c r="N506" s="353" t="e">
        <f t="shared" si="44"/>
        <v>#DIV/0!</v>
      </c>
      <c r="O506" s="354">
        <f>IF(L506="nio",0,IF(L506&gt;0,VLOOKUP(H506,'3-Productie normen'!A:P,VLOOKUP(L506,'3-Productie normen'!$B$31:$C$45,2,FALSE),FALSE)))/VLOOKUP(B506,'2-Kosten per locatie'!$A$13:$D$36,4,FALSE)</f>
        <v>0</v>
      </c>
      <c r="P506" s="82" t="str">
        <f>VLOOKUP(H506,'3-Productie normen'!A:T,20,FALSE)</f>
        <v>B</v>
      </c>
      <c r="Q506" s="447" t="s">
        <v>792</v>
      </c>
      <c r="S506" s="356">
        <f t="shared" si="45"/>
        <v>1326</v>
      </c>
    </row>
    <row r="507" spans="1:19" ht="14.1" customHeight="1">
      <c r="A507" s="72">
        <f t="shared" si="43"/>
        <v>507</v>
      </c>
      <c r="B507" s="50" t="s">
        <v>810</v>
      </c>
      <c r="C507" s="50" t="s">
        <v>830</v>
      </c>
      <c r="D507" s="427" t="s">
        <v>1033</v>
      </c>
      <c r="E507" s="426" t="s">
        <v>612</v>
      </c>
      <c r="F507" s="349" t="s">
        <v>205</v>
      </c>
      <c r="G507" s="86" t="s">
        <v>209</v>
      </c>
      <c r="H507" s="63" t="s">
        <v>1040</v>
      </c>
      <c r="I507" s="86" t="s">
        <v>780</v>
      </c>
      <c r="J507" s="343">
        <v>2.66</v>
      </c>
      <c r="K507" s="351">
        <f t="shared" si="46"/>
        <v>12</v>
      </c>
      <c r="L507" s="352">
        <v>12</v>
      </c>
      <c r="M507" s="448" t="str">
        <f>IF(L507="nio","",VLOOKUP(L507,'3-Productie normen'!$B$31:$H$45,3,FALSE))</f>
        <v>1 x per maand</v>
      </c>
      <c r="N507" s="353" t="e">
        <f t="shared" si="44"/>
        <v>#DIV/0!</v>
      </c>
      <c r="O507" s="354">
        <f>IF(L507="nio",0,IF(L507&gt;0,VLOOKUP(H507,'3-Productie normen'!A:P,VLOOKUP(L507,'3-Productie normen'!$B$31:$C$45,2,FALSE),FALSE)))/VLOOKUP(B507,'2-Kosten per locatie'!$A$13:$D$36,4,FALSE)</f>
        <v>0</v>
      </c>
      <c r="P507" s="82" t="str">
        <f>VLOOKUP(H507,'3-Productie normen'!A:T,20,FALSE)</f>
        <v>V</v>
      </c>
      <c r="Q507" s="447" t="s">
        <v>792</v>
      </c>
      <c r="S507" s="356">
        <f t="shared" si="45"/>
        <v>31.92</v>
      </c>
    </row>
    <row r="508" spans="1:19" ht="14.1" customHeight="1">
      <c r="A508" s="72">
        <f t="shared" si="43"/>
        <v>508</v>
      </c>
      <c r="B508" s="50" t="s">
        <v>810</v>
      </c>
      <c r="C508" s="50" t="s">
        <v>830</v>
      </c>
      <c r="D508" s="427" t="s">
        <v>1033</v>
      </c>
      <c r="E508" s="426" t="s">
        <v>612</v>
      </c>
      <c r="F508" s="349" t="s">
        <v>207</v>
      </c>
      <c r="G508" s="86" t="s">
        <v>298</v>
      </c>
      <c r="H508" s="86" t="s">
        <v>241</v>
      </c>
      <c r="I508" s="86" t="s">
        <v>780</v>
      </c>
      <c r="J508" s="343">
        <v>56.5</v>
      </c>
      <c r="K508" s="351">
        <f t="shared" si="46"/>
        <v>201</v>
      </c>
      <c r="L508" s="352">
        <v>201</v>
      </c>
      <c r="M508" s="448" t="str">
        <f>IF(L508="nio","",VLOOKUP(L508,'3-Productie normen'!$B$31:$H$45,3,FALSE))</f>
        <v>5 x per week (40 weken + 1 Zomer refreshbeurt)</v>
      </c>
      <c r="N508" s="353" t="e">
        <f t="shared" si="44"/>
        <v>#DIV/0!</v>
      </c>
      <c r="O508" s="354">
        <f>IF(L508="nio",0,IF(L508&gt;0,VLOOKUP(H508,'3-Productie normen'!A:P,VLOOKUP(L508,'3-Productie normen'!$B$31:$C$45,2,FALSE),FALSE)))/VLOOKUP(B508,'2-Kosten per locatie'!$A$13:$D$36,4,FALSE)</f>
        <v>0</v>
      </c>
      <c r="P508" s="82" t="str">
        <f>VLOOKUP(H508,'3-Productie normen'!A:T,20,FALSE)</f>
        <v>L</v>
      </c>
      <c r="Q508" s="447" t="s">
        <v>880</v>
      </c>
      <c r="S508" s="356">
        <f t="shared" si="45"/>
        <v>11356.5</v>
      </c>
    </row>
    <row r="509" spans="1:19" ht="14.1" customHeight="1">
      <c r="A509" s="72">
        <f t="shared" si="43"/>
        <v>509</v>
      </c>
      <c r="B509" s="50" t="s">
        <v>810</v>
      </c>
      <c r="C509" s="50" t="s">
        <v>830</v>
      </c>
      <c r="D509" s="427" t="s">
        <v>1033</v>
      </c>
      <c r="E509" s="426" t="s">
        <v>612</v>
      </c>
      <c r="F509" s="349" t="s">
        <v>208</v>
      </c>
      <c r="G509" s="86" t="s">
        <v>298</v>
      </c>
      <c r="H509" s="50" t="s">
        <v>241</v>
      </c>
      <c r="I509" s="86" t="s">
        <v>780</v>
      </c>
      <c r="J509" s="343">
        <v>56.21</v>
      </c>
      <c r="K509" s="351">
        <f t="shared" si="46"/>
        <v>201</v>
      </c>
      <c r="L509" s="352">
        <v>201</v>
      </c>
      <c r="M509" s="448" t="str">
        <f>IF(L509="nio","",VLOOKUP(L509,'3-Productie normen'!$B$31:$H$45,3,FALSE))</f>
        <v>5 x per week (40 weken + 1 Zomer refreshbeurt)</v>
      </c>
      <c r="N509" s="353" t="e">
        <f t="shared" si="44"/>
        <v>#DIV/0!</v>
      </c>
      <c r="O509" s="354">
        <f>IF(L509="nio",0,IF(L509&gt;0,VLOOKUP(H509,'3-Productie normen'!A:P,VLOOKUP(L509,'3-Productie normen'!$B$31:$C$45,2,FALSE),FALSE)))/VLOOKUP(B509,'2-Kosten per locatie'!$A$13:$D$36,4,FALSE)</f>
        <v>0</v>
      </c>
      <c r="P509" s="82" t="str">
        <f>VLOOKUP(H509,'3-Productie normen'!A:T,20,FALSE)</f>
        <v>L</v>
      </c>
      <c r="Q509" s="447" t="s">
        <v>880</v>
      </c>
      <c r="S509" s="356">
        <f t="shared" si="45"/>
        <v>11298.210000000001</v>
      </c>
    </row>
    <row r="510" spans="1:19" ht="14.1" customHeight="1">
      <c r="A510" s="72">
        <f t="shared" si="43"/>
        <v>510</v>
      </c>
      <c r="B510" s="50" t="s">
        <v>810</v>
      </c>
      <c r="C510" s="50" t="s">
        <v>830</v>
      </c>
      <c r="D510" s="427" t="s">
        <v>1033</v>
      </c>
      <c r="E510" s="426" t="s">
        <v>612</v>
      </c>
      <c r="F510" s="349" t="s">
        <v>210</v>
      </c>
      <c r="G510" s="86" t="s">
        <v>209</v>
      </c>
      <c r="H510" s="63" t="s">
        <v>1040</v>
      </c>
      <c r="I510" s="86" t="s">
        <v>780</v>
      </c>
      <c r="J510" s="343">
        <v>3.33</v>
      </c>
      <c r="K510" s="351">
        <f t="shared" si="46"/>
        <v>12</v>
      </c>
      <c r="L510" s="352">
        <v>12</v>
      </c>
      <c r="M510" s="448" t="str">
        <f>IF(L510="nio","",VLOOKUP(L510,'3-Productie normen'!$B$31:$H$45,3,FALSE))</f>
        <v>1 x per maand</v>
      </c>
      <c r="N510" s="353" t="e">
        <f t="shared" si="44"/>
        <v>#DIV/0!</v>
      </c>
      <c r="O510" s="354">
        <f>IF(L510="nio",0,IF(L510&gt;0,VLOOKUP(H510,'3-Productie normen'!A:P,VLOOKUP(L510,'3-Productie normen'!$B$31:$C$45,2,FALSE),FALSE)))/VLOOKUP(B510,'2-Kosten per locatie'!$A$13:$D$36,4,FALSE)</f>
        <v>0</v>
      </c>
      <c r="P510" s="82" t="str">
        <f>VLOOKUP(H510,'3-Productie normen'!A:T,20,FALSE)</f>
        <v>V</v>
      </c>
      <c r="Q510" s="447" t="s">
        <v>792</v>
      </c>
      <c r="S510" s="356">
        <f t="shared" si="45"/>
        <v>39.96</v>
      </c>
    </row>
    <row r="511" spans="1:19" ht="14.1" customHeight="1">
      <c r="A511" s="72">
        <f t="shared" si="43"/>
        <v>511</v>
      </c>
      <c r="B511" s="50" t="s">
        <v>810</v>
      </c>
      <c r="C511" s="50" t="s">
        <v>830</v>
      </c>
      <c r="D511" s="427" t="s">
        <v>1033</v>
      </c>
      <c r="E511" s="426" t="s">
        <v>612</v>
      </c>
      <c r="F511" s="349" t="s">
        <v>211</v>
      </c>
      <c r="G511" s="86" t="s">
        <v>209</v>
      </c>
      <c r="H511" s="63" t="s">
        <v>1040</v>
      </c>
      <c r="I511" s="86" t="s">
        <v>780</v>
      </c>
      <c r="J511" s="343">
        <v>3.43</v>
      </c>
      <c r="K511" s="351">
        <f t="shared" si="46"/>
        <v>12</v>
      </c>
      <c r="L511" s="352">
        <v>12</v>
      </c>
      <c r="M511" s="448" t="str">
        <f>IF(L511="nio","",VLOOKUP(L511,'3-Productie normen'!$B$31:$H$45,3,FALSE))</f>
        <v>1 x per maand</v>
      </c>
      <c r="N511" s="353" t="e">
        <f t="shared" si="44"/>
        <v>#DIV/0!</v>
      </c>
      <c r="O511" s="354">
        <f>IF(L511="nio",0,IF(L511&gt;0,VLOOKUP(H511,'3-Productie normen'!A:P,VLOOKUP(L511,'3-Productie normen'!$B$31:$C$45,2,FALSE),FALSE)))/VLOOKUP(B511,'2-Kosten per locatie'!$A$13:$D$36,4,FALSE)</f>
        <v>0</v>
      </c>
      <c r="P511" s="82" t="str">
        <f>VLOOKUP(H511,'3-Productie normen'!A:T,20,FALSE)</f>
        <v>V</v>
      </c>
      <c r="Q511" s="447" t="s">
        <v>792</v>
      </c>
      <c r="S511" s="356">
        <f t="shared" si="45"/>
        <v>41.160000000000004</v>
      </c>
    </row>
    <row r="512" spans="1:19" ht="14.1" customHeight="1">
      <c r="A512" s="72">
        <f t="shared" si="43"/>
        <v>512</v>
      </c>
      <c r="B512" s="50" t="s">
        <v>810</v>
      </c>
      <c r="C512" s="50" t="s">
        <v>830</v>
      </c>
      <c r="D512" s="427" t="s">
        <v>1033</v>
      </c>
      <c r="E512" s="426" t="s">
        <v>612</v>
      </c>
      <c r="F512" s="349" t="s">
        <v>213</v>
      </c>
      <c r="G512" s="86" t="s">
        <v>419</v>
      </c>
      <c r="H512" s="432" t="s">
        <v>198</v>
      </c>
      <c r="I512" s="86" t="s">
        <v>780</v>
      </c>
      <c r="J512" s="343">
        <v>8.6999999999999993</v>
      </c>
      <c r="K512" s="351">
        <f t="shared" si="46"/>
        <v>200</v>
      </c>
      <c r="L512" s="352">
        <v>200</v>
      </c>
      <c r="M512" s="448" t="str">
        <f>IF(L512="nio","",VLOOKUP(L512,'3-Productie normen'!$B$31:$H$45,3,FALSE))</f>
        <v>5 x per week (40 weken)</v>
      </c>
      <c r="N512" s="353" t="e">
        <f t="shared" si="44"/>
        <v>#DIV/0!</v>
      </c>
      <c r="O512" s="354">
        <f>IF(L512="nio",0,IF(L512&gt;0,VLOOKUP(H512,'3-Productie normen'!A:P,VLOOKUP(L512,'3-Productie normen'!$B$31:$C$45,2,FALSE),FALSE)))/VLOOKUP(B512,'2-Kosten per locatie'!$A$13:$D$36,4,FALSE)</f>
        <v>0</v>
      </c>
      <c r="P512" s="82" t="str">
        <f>VLOOKUP(H512,'3-Productie normen'!A:T,20,FALSE)</f>
        <v>V</v>
      </c>
      <c r="Q512" s="447" t="s">
        <v>792</v>
      </c>
      <c r="S512" s="356">
        <f t="shared" si="45"/>
        <v>1739.9999999999998</v>
      </c>
    </row>
    <row r="513" spans="1:19" ht="14.1" customHeight="1">
      <c r="A513" s="72">
        <f t="shared" si="43"/>
        <v>513</v>
      </c>
      <c r="B513" s="50" t="s">
        <v>810</v>
      </c>
      <c r="C513" s="50" t="s">
        <v>830</v>
      </c>
      <c r="D513" s="427" t="s">
        <v>1033</v>
      </c>
      <c r="E513" s="426" t="s">
        <v>612</v>
      </c>
      <c r="F513" s="349" t="s">
        <v>214</v>
      </c>
      <c r="G513" s="86" t="s">
        <v>215</v>
      </c>
      <c r="H513" s="63" t="s">
        <v>1040</v>
      </c>
      <c r="I513" s="86" t="s">
        <v>781</v>
      </c>
      <c r="J513" s="343">
        <v>3.16</v>
      </c>
      <c r="K513" s="351">
        <f t="shared" si="46"/>
        <v>12</v>
      </c>
      <c r="L513" s="352">
        <v>12</v>
      </c>
      <c r="M513" s="448" t="str">
        <f>IF(L513="nio","",VLOOKUP(L513,'3-Productie normen'!$B$31:$H$45,3,FALSE))</f>
        <v>1 x per maand</v>
      </c>
      <c r="N513" s="353" t="e">
        <f t="shared" si="44"/>
        <v>#DIV/0!</v>
      </c>
      <c r="O513" s="354">
        <f>IF(L513="nio",0,IF(L513&gt;0,VLOOKUP(H513,'3-Productie normen'!A:P,VLOOKUP(L513,'3-Productie normen'!$B$31:$C$45,2,FALSE),FALSE)))/VLOOKUP(B513,'2-Kosten per locatie'!$A$13:$D$36,4,FALSE)</f>
        <v>0</v>
      </c>
      <c r="P513" s="82" t="str">
        <f>VLOOKUP(H513,'3-Productie normen'!A:T,20,FALSE)</f>
        <v>V</v>
      </c>
      <c r="Q513" s="447" t="s">
        <v>853</v>
      </c>
      <c r="S513" s="356">
        <f t="shared" si="45"/>
        <v>37.92</v>
      </c>
    </row>
    <row r="514" spans="1:19" ht="14.1" customHeight="1">
      <c r="A514" s="72">
        <f t="shared" si="43"/>
        <v>514</v>
      </c>
      <c r="B514" s="50" t="s">
        <v>810</v>
      </c>
      <c r="C514" s="50" t="s">
        <v>830</v>
      </c>
      <c r="D514" s="427" t="s">
        <v>1033</v>
      </c>
      <c r="E514" s="426" t="s">
        <v>612</v>
      </c>
      <c r="F514" s="349" t="s">
        <v>216</v>
      </c>
      <c r="G514" s="86" t="s">
        <v>209</v>
      </c>
      <c r="H514" s="63" t="s">
        <v>1040</v>
      </c>
      <c r="I514" s="86" t="s">
        <v>780</v>
      </c>
      <c r="J514" s="343">
        <v>3.0999999046325701</v>
      </c>
      <c r="K514" s="351">
        <f t="shared" si="46"/>
        <v>12</v>
      </c>
      <c r="L514" s="352">
        <v>12</v>
      </c>
      <c r="M514" s="448" t="str">
        <f>IF(L514="nio","",VLOOKUP(L514,'3-Productie normen'!$B$31:$H$45,3,FALSE))</f>
        <v>1 x per maand</v>
      </c>
      <c r="N514" s="353" t="e">
        <f t="shared" si="44"/>
        <v>#DIV/0!</v>
      </c>
      <c r="O514" s="354">
        <f>IF(L514="nio",0,IF(L514&gt;0,VLOOKUP(H514,'3-Productie normen'!A:P,VLOOKUP(L514,'3-Productie normen'!$B$31:$C$45,2,FALSE),FALSE)))/VLOOKUP(B514,'2-Kosten per locatie'!$A$13:$D$36,4,FALSE)</f>
        <v>0</v>
      </c>
      <c r="P514" s="82" t="str">
        <f>VLOOKUP(H514,'3-Productie normen'!A:T,20,FALSE)</f>
        <v>V</v>
      </c>
      <c r="Q514" s="447" t="s">
        <v>792</v>
      </c>
      <c r="S514" s="356">
        <f t="shared" si="45"/>
        <v>37.199998855590842</v>
      </c>
    </row>
    <row r="515" spans="1:19" ht="14.1" customHeight="1">
      <c r="A515" s="72">
        <f t="shared" si="43"/>
        <v>515</v>
      </c>
      <c r="B515" s="50" t="s">
        <v>810</v>
      </c>
      <c r="C515" s="50" t="s">
        <v>830</v>
      </c>
      <c r="D515" s="427" t="s">
        <v>1033</v>
      </c>
      <c r="E515" s="426" t="s">
        <v>612</v>
      </c>
      <c r="F515" s="349" t="s">
        <v>217</v>
      </c>
      <c r="G515" s="86" t="s">
        <v>226</v>
      </c>
      <c r="H515" s="86" t="s">
        <v>16</v>
      </c>
      <c r="I515" s="86" t="s">
        <v>781</v>
      </c>
      <c r="J515" s="343">
        <v>19.32</v>
      </c>
      <c r="K515" s="351">
        <f t="shared" si="46"/>
        <v>201</v>
      </c>
      <c r="L515" s="352">
        <v>201</v>
      </c>
      <c r="M515" s="448" t="str">
        <f>IF(L515="nio","",VLOOKUP(L515,'3-Productie normen'!$B$31:$H$45,3,FALSE))</f>
        <v>5 x per week (40 weken + 1 Zomer refreshbeurt)</v>
      </c>
      <c r="N515" s="353" t="e">
        <f t="shared" si="44"/>
        <v>#DIV/0!</v>
      </c>
      <c r="O515" s="354">
        <f>IF(L515="nio",0,IF(L515&gt;0,VLOOKUP(H515,'3-Productie normen'!A:P,VLOOKUP(L515,'3-Productie normen'!$B$31:$C$45,2,FALSE),FALSE)))/VLOOKUP(B515,'2-Kosten per locatie'!$A$13:$D$36,4,FALSE)</f>
        <v>0</v>
      </c>
      <c r="P515" s="82" t="str">
        <f>VLOOKUP(H515,'3-Productie normen'!A:T,20,FALSE)</f>
        <v>S</v>
      </c>
      <c r="Q515" s="447" t="s">
        <v>966</v>
      </c>
      <c r="S515" s="356">
        <f t="shared" si="45"/>
        <v>3883.32</v>
      </c>
    </row>
    <row r="516" spans="1:19" ht="14.1" customHeight="1">
      <c r="A516" s="72">
        <f t="shared" si="43"/>
        <v>516</v>
      </c>
      <c r="B516" s="50" t="s">
        <v>810</v>
      </c>
      <c r="C516" s="50" t="s">
        <v>830</v>
      </c>
      <c r="D516" s="427" t="s">
        <v>1033</v>
      </c>
      <c r="E516" s="426" t="s">
        <v>612</v>
      </c>
      <c r="F516" s="349" t="s">
        <v>218</v>
      </c>
      <c r="G516" s="86" t="s">
        <v>242</v>
      </c>
      <c r="H516" s="86" t="s">
        <v>241</v>
      </c>
      <c r="I516" s="86" t="s">
        <v>91</v>
      </c>
      <c r="J516" s="343">
        <v>4.5</v>
      </c>
      <c r="K516" s="351">
        <f t="shared" si="46"/>
        <v>201</v>
      </c>
      <c r="L516" s="352">
        <v>201</v>
      </c>
      <c r="M516" s="448" t="str">
        <f>IF(L516="nio","",VLOOKUP(L516,'3-Productie normen'!$B$31:$H$45,3,FALSE))</f>
        <v>5 x per week (40 weken + 1 Zomer refreshbeurt)</v>
      </c>
      <c r="N516" s="353" t="e">
        <f t="shared" si="44"/>
        <v>#DIV/0!</v>
      </c>
      <c r="O516" s="354">
        <f>IF(L516="nio",0,IF(L516&gt;0,VLOOKUP(H516,'3-Productie normen'!A:P,VLOOKUP(L516,'3-Productie normen'!$B$31:$C$45,2,FALSE),FALSE)))/VLOOKUP(B516,'2-Kosten per locatie'!$A$13:$D$36,4,FALSE)</f>
        <v>0</v>
      </c>
      <c r="P516" s="82" t="str">
        <f>VLOOKUP(H516,'3-Productie normen'!A:T,20,FALSE)</f>
        <v>L</v>
      </c>
      <c r="Q516" s="447" t="s">
        <v>915</v>
      </c>
      <c r="S516" s="356">
        <f t="shared" si="45"/>
        <v>904.5</v>
      </c>
    </row>
    <row r="517" spans="1:19" ht="14.1" customHeight="1">
      <c r="A517" s="72">
        <f t="shared" si="43"/>
        <v>517</v>
      </c>
      <c r="B517" s="50" t="s">
        <v>810</v>
      </c>
      <c r="C517" s="50" t="s">
        <v>830</v>
      </c>
      <c r="D517" s="427" t="s">
        <v>1033</v>
      </c>
      <c r="E517" s="426" t="s">
        <v>612</v>
      </c>
      <c r="F517" s="349" t="s">
        <v>218</v>
      </c>
      <c r="G517" s="86" t="s">
        <v>242</v>
      </c>
      <c r="H517" s="86" t="s">
        <v>241</v>
      </c>
      <c r="I517" s="86" t="s">
        <v>780</v>
      </c>
      <c r="J517" s="343">
        <v>62.26</v>
      </c>
      <c r="K517" s="351">
        <f t="shared" si="46"/>
        <v>201</v>
      </c>
      <c r="L517" s="352">
        <v>201</v>
      </c>
      <c r="M517" s="448" t="str">
        <f>IF(L517="nio","",VLOOKUP(L517,'3-Productie normen'!$B$31:$H$45,3,FALSE))</f>
        <v>5 x per week (40 weken + 1 Zomer refreshbeurt)</v>
      </c>
      <c r="N517" s="353" t="e">
        <f t="shared" si="44"/>
        <v>#DIV/0!</v>
      </c>
      <c r="O517" s="354">
        <f>IF(L517="nio",0,IF(L517&gt;0,VLOOKUP(H517,'3-Productie normen'!A:P,VLOOKUP(L517,'3-Productie normen'!$B$31:$C$45,2,FALSE),FALSE)))/VLOOKUP(B517,'2-Kosten per locatie'!$A$13:$D$36,4,FALSE)</f>
        <v>0</v>
      </c>
      <c r="P517" s="82" t="str">
        <f>VLOOKUP(H517,'3-Productie normen'!A:T,20,FALSE)</f>
        <v>L</v>
      </c>
      <c r="Q517" s="447" t="s">
        <v>915</v>
      </c>
      <c r="S517" s="356">
        <f t="shared" si="45"/>
        <v>12514.26</v>
      </c>
    </row>
    <row r="518" spans="1:19" ht="14.1" customHeight="1">
      <c r="A518" s="72">
        <f t="shared" si="43"/>
        <v>518</v>
      </c>
      <c r="B518" s="50" t="s">
        <v>810</v>
      </c>
      <c r="C518" s="50" t="s">
        <v>830</v>
      </c>
      <c r="D518" s="427" t="s">
        <v>1033</v>
      </c>
      <c r="E518" s="426" t="s">
        <v>612</v>
      </c>
      <c r="F518" s="349" t="s">
        <v>218</v>
      </c>
      <c r="G518" s="86" t="s">
        <v>359</v>
      </c>
      <c r="H518" s="86" t="s">
        <v>241</v>
      </c>
      <c r="I518" s="86" t="s">
        <v>180</v>
      </c>
      <c r="J518" s="343">
        <v>7.61</v>
      </c>
      <c r="K518" s="351">
        <f t="shared" si="46"/>
        <v>201</v>
      </c>
      <c r="L518" s="352">
        <v>201</v>
      </c>
      <c r="M518" s="448" t="str">
        <f>IF(L518="nio","",VLOOKUP(L518,'3-Productie normen'!$B$31:$H$45,3,FALSE))</f>
        <v>5 x per week (40 weken + 1 Zomer refreshbeurt)</v>
      </c>
      <c r="N518" s="353" t="e">
        <f t="shared" si="44"/>
        <v>#DIV/0!</v>
      </c>
      <c r="O518" s="354">
        <f>IF(L518="nio",0,IF(L518&gt;0,VLOOKUP(H518,'3-Productie normen'!A:P,VLOOKUP(L518,'3-Productie normen'!$B$31:$C$45,2,FALSE),FALSE)))/VLOOKUP(B518,'2-Kosten per locatie'!$A$13:$D$36,4,FALSE)</f>
        <v>0</v>
      </c>
      <c r="P518" s="82" t="str">
        <f>VLOOKUP(H518,'3-Productie normen'!A:T,20,FALSE)</f>
        <v>L</v>
      </c>
      <c r="Q518" s="447" t="s">
        <v>915</v>
      </c>
      <c r="S518" s="356">
        <f t="shared" si="45"/>
        <v>1529.6100000000001</v>
      </c>
    </row>
    <row r="519" spans="1:19" ht="14.1" customHeight="1">
      <c r="A519" s="72">
        <f t="shared" si="43"/>
        <v>519</v>
      </c>
      <c r="B519" s="50" t="s">
        <v>810</v>
      </c>
      <c r="C519" s="50" t="s">
        <v>830</v>
      </c>
      <c r="D519" s="427" t="s">
        <v>1033</v>
      </c>
      <c r="E519" s="426" t="s">
        <v>612</v>
      </c>
      <c r="F519" s="349" t="s">
        <v>219</v>
      </c>
      <c r="G519" s="86" t="s">
        <v>242</v>
      </c>
      <c r="H519" s="86" t="s">
        <v>241</v>
      </c>
      <c r="I519" s="86" t="s">
        <v>91</v>
      </c>
      <c r="J519" s="343">
        <v>4.5</v>
      </c>
      <c r="K519" s="351">
        <f t="shared" si="46"/>
        <v>201</v>
      </c>
      <c r="L519" s="352">
        <v>201</v>
      </c>
      <c r="M519" s="448" t="str">
        <f>IF(L519="nio","",VLOOKUP(L519,'3-Productie normen'!$B$31:$H$45,3,FALSE))</f>
        <v>5 x per week (40 weken + 1 Zomer refreshbeurt)</v>
      </c>
      <c r="N519" s="353" t="e">
        <f t="shared" si="44"/>
        <v>#DIV/0!</v>
      </c>
      <c r="O519" s="354">
        <f>IF(L519="nio",0,IF(L519&gt;0,VLOOKUP(H519,'3-Productie normen'!A:P,VLOOKUP(L519,'3-Productie normen'!$B$31:$C$45,2,FALSE),FALSE)))/VLOOKUP(B519,'2-Kosten per locatie'!$A$13:$D$36,4,FALSE)</f>
        <v>0</v>
      </c>
      <c r="P519" s="82" t="str">
        <f>VLOOKUP(H519,'3-Productie normen'!A:T,20,FALSE)</f>
        <v>L</v>
      </c>
      <c r="Q519" s="447" t="s">
        <v>915</v>
      </c>
      <c r="S519" s="356">
        <f t="shared" si="45"/>
        <v>904.5</v>
      </c>
    </row>
    <row r="520" spans="1:19" ht="14.1" customHeight="1">
      <c r="A520" s="72">
        <f t="shared" si="43"/>
        <v>520</v>
      </c>
      <c r="B520" s="50" t="s">
        <v>810</v>
      </c>
      <c r="C520" s="50" t="s">
        <v>830</v>
      </c>
      <c r="D520" s="427" t="s">
        <v>1033</v>
      </c>
      <c r="E520" s="426" t="s">
        <v>612</v>
      </c>
      <c r="F520" s="349" t="s">
        <v>219</v>
      </c>
      <c r="G520" s="86" t="s">
        <v>242</v>
      </c>
      <c r="H520" s="86" t="s">
        <v>241</v>
      </c>
      <c r="I520" s="86" t="s">
        <v>780</v>
      </c>
      <c r="J520" s="343">
        <v>62.1</v>
      </c>
      <c r="K520" s="351">
        <f t="shared" si="46"/>
        <v>201</v>
      </c>
      <c r="L520" s="352">
        <v>201</v>
      </c>
      <c r="M520" s="448" t="str">
        <f>IF(L520="nio","",VLOOKUP(L520,'3-Productie normen'!$B$31:$H$45,3,FALSE))</f>
        <v>5 x per week (40 weken + 1 Zomer refreshbeurt)</v>
      </c>
      <c r="N520" s="353" t="e">
        <f t="shared" si="44"/>
        <v>#DIV/0!</v>
      </c>
      <c r="O520" s="354">
        <f>IF(L520="nio",0,IF(L520&gt;0,VLOOKUP(H520,'3-Productie normen'!A:P,VLOOKUP(L520,'3-Productie normen'!$B$31:$C$45,2,FALSE),FALSE)))/VLOOKUP(B520,'2-Kosten per locatie'!$A$13:$D$36,4,FALSE)</f>
        <v>0</v>
      </c>
      <c r="P520" s="82" t="str">
        <f>VLOOKUP(H520,'3-Productie normen'!A:T,20,FALSE)</f>
        <v>L</v>
      </c>
      <c r="Q520" s="447" t="s">
        <v>915</v>
      </c>
      <c r="S520" s="356">
        <f t="shared" si="45"/>
        <v>12482.1</v>
      </c>
    </row>
    <row r="521" spans="1:19" ht="14.1" customHeight="1">
      <c r="A521" s="72">
        <f t="shared" si="43"/>
        <v>521</v>
      </c>
      <c r="B521" s="50" t="s">
        <v>810</v>
      </c>
      <c r="C521" s="50" t="s">
        <v>830</v>
      </c>
      <c r="D521" s="427" t="s">
        <v>1033</v>
      </c>
      <c r="E521" s="426" t="s">
        <v>612</v>
      </c>
      <c r="F521" s="349" t="s">
        <v>219</v>
      </c>
      <c r="G521" s="86" t="s">
        <v>359</v>
      </c>
      <c r="H521" s="65" t="s">
        <v>241</v>
      </c>
      <c r="I521" s="86" t="s">
        <v>180</v>
      </c>
      <c r="J521" s="343">
        <v>7.61</v>
      </c>
      <c r="K521" s="351">
        <f t="shared" si="46"/>
        <v>201</v>
      </c>
      <c r="L521" s="352">
        <v>201</v>
      </c>
      <c r="M521" s="448" t="str">
        <f>IF(L521="nio","",VLOOKUP(L521,'3-Productie normen'!$B$31:$H$45,3,FALSE))</f>
        <v>5 x per week (40 weken + 1 Zomer refreshbeurt)</v>
      </c>
      <c r="N521" s="353" t="e">
        <f t="shared" si="44"/>
        <v>#DIV/0!</v>
      </c>
      <c r="O521" s="354">
        <f>IF(L521="nio",0,IF(L521&gt;0,VLOOKUP(H521,'3-Productie normen'!A:P,VLOOKUP(L521,'3-Productie normen'!$B$31:$C$45,2,FALSE),FALSE)))/VLOOKUP(B521,'2-Kosten per locatie'!$A$13:$D$36,4,FALSE)</f>
        <v>0</v>
      </c>
      <c r="P521" s="82" t="str">
        <f>VLOOKUP(H521,'3-Productie normen'!A:T,20,FALSE)</f>
        <v>L</v>
      </c>
      <c r="Q521" s="447" t="s">
        <v>915</v>
      </c>
      <c r="S521" s="356">
        <f t="shared" si="45"/>
        <v>1529.6100000000001</v>
      </c>
    </row>
    <row r="522" spans="1:19" ht="14.1" customHeight="1">
      <c r="A522" s="72">
        <f t="shared" si="43"/>
        <v>522</v>
      </c>
      <c r="B522" s="50" t="s">
        <v>810</v>
      </c>
      <c r="C522" s="50" t="s">
        <v>830</v>
      </c>
      <c r="D522" s="427" t="s">
        <v>1033</v>
      </c>
      <c r="E522" s="426" t="s">
        <v>612</v>
      </c>
      <c r="F522" s="349" t="s">
        <v>220</v>
      </c>
      <c r="G522" s="86" t="s">
        <v>199</v>
      </c>
      <c r="H522" s="432" t="s">
        <v>198</v>
      </c>
      <c r="I522" s="86" t="s">
        <v>784</v>
      </c>
      <c r="J522" s="343">
        <v>5.4000000953674299</v>
      </c>
      <c r="K522" s="351">
        <f t="shared" si="46"/>
        <v>200</v>
      </c>
      <c r="L522" s="352">
        <v>200</v>
      </c>
      <c r="M522" s="448" t="str">
        <f>IF(L522="nio","",VLOOKUP(L522,'3-Productie normen'!$B$31:$H$45,3,FALSE))</f>
        <v>5 x per week (40 weken)</v>
      </c>
      <c r="N522" s="353" t="e">
        <f t="shared" si="44"/>
        <v>#DIV/0!</v>
      </c>
      <c r="O522" s="354">
        <f>IF(L522="nio",0,IF(L522&gt;0,VLOOKUP(H522,'3-Productie normen'!A:P,VLOOKUP(L522,'3-Productie normen'!$B$31:$C$45,2,FALSE),FALSE)))/VLOOKUP(B522,'2-Kosten per locatie'!$A$13:$D$36,4,FALSE)</f>
        <v>0</v>
      </c>
      <c r="P522" s="82" t="str">
        <f>VLOOKUP(H522,'3-Productie normen'!A:T,20,FALSE)</f>
        <v>V</v>
      </c>
      <c r="Q522" s="447" t="s">
        <v>792</v>
      </c>
      <c r="S522" s="356">
        <f t="shared" si="45"/>
        <v>1080.0000190734859</v>
      </c>
    </row>
    <row r="523" spans="1:19" ht="14.1" customHeight="1">
      <c r="A523" s="72">
        <f t="shared" ref="A523:A586" si="47">A522+1</f>
        <v>523</v>
      </c>
      <c r="B523" s="50" t="s">
        <v>810</v>
      </c>
      <c r="C523" s="50" t="s">
        <v>830</v>
      </c>
      <c r="D523" s="427" t="s">
        <v>1033</v>
      </c>
      <c r="E523" s="426" t="s">
        <v>612</v>
      </c>
      <c r="F523" s="349" t="s">
        <v>220</v>
      </c>
      <c r="G523" s="86" t="s">
        <v>199</v>
      </c>
      <c r="H523" s="432" t="s">
        <v>198</v>
      </c>
      <c r="I523" s="86" t="s">
        <v>779</v>
      </c>
      <c r="J523" s="343">
        <v>5.46</v>
      </c>
      <c r="K523" s="351">
        <f t="shared" si="46"/>
        <v>200</v>
      </c>
      <c r="L523" s="352">
        <v>200</v>
      </c>
      <c r="M523" s="448" t="str">
        <f>IF(L523="nio","",VLOOKUP(L523,'3-Productie normen'!$B$31:$H$45,3,FALSE))</f>
        <v>5 x per week (40 weken)</v>
      </c>
      <c r="N523" s="353" t="e">
        <f t="shared" si="44"/>
        <v>#DIV/0!</v>
      </c>
      <c r="O523" s="354">
        <f>IF(L523="nio",0,IF(L523&gt;0,VLOOKUP(H523,'3-Productie normen'!A:P,VLOOKUP(L523,'3-Productie normen'!$B$31:$C$45,2,FALSE),FALSE)))/VLOOKUP(B523,'2-Kosten per locatie'!$A$13:$D$36,4,FALSE)</f>
        <v>0</v>
      </c>
      <c r="P523" s="82" t="str">
        <f>VLOOKUP(H523,'3-Productie normen'!A:T,20,FALSE)</f>
        <v>V</v>
      </c>
      <c r="Q523" s="447" t="s">
        <v>792</v>
      </c>
      <c r="S523" s="356">
        <f t="shared" si="45"/>
        <v>1092</v>
      </c>
    </row>
    <row r="524" spans="1:19" ht="14.1" customHeight="1">
      <c r="A524" s="72">
        <f t="shared" si="47"/>
        <v>524</v>
      </c>
      <c r="B524" s="50" t="s">
        <v>810</v>
      </c>
      <c r="C524" s="50" t="s">
        <v>830</v>
      </c>
      <c r="D524" s="427" t="s">
        <v>1033</v>
      </c>
      <c r="E524" s="426" t="s">
        <v>612</v>
      </c>
      <c r="F524" s="349" t="s">
        <v>221</v>
      </c>
      <c r="G524" s="86" t="s">
        <v>201</v>
      </c>
      <c r="H524" s="432" t="s">
        <v>198</v>
      </c>
      <c r="I524" s="86" t="s">
        <v>780</v>
      </c>
      <c r="J524" s="343">
        <v>27.8</v>
      </c>
      <c r="K524" s="351">
        <f t="shared" si="46"/>
        <v>200</v>
      </c>
      <c r="L524" s="352">
        <v>200</v>
      </c>
      <c r="M524" s="448" t="str">
        <f>IF(L524="nio","",VLOOKUP(L524,'3-Productie normen'!$B$31:$H$45,3,FALSE))</f>
        <v>5 x per week (40 weken)</v>
      </c>
      <c r="N524" s="353" t="e">
        <f t="shared" si="44"/>
        <v>#DIV/0!</v>
      </c>
      <c r="O524" s="354">
        <f>IF(L524="nio",0,IF(L524&gt;0,VLOOKUP(H524,'3-Productie normen'!A:P,VLOOKUP(L524,'3-Productie normen'!$B$31:$C$45,2,FALSE),FALSE)))/VLOOKUP(B524,'2-Kosten per locatie'!$A$13:$D$36,4,FALSE)</f>
        <v>0</v>
      </c>
      <c r="P524" s="82" t="str">
        <f>VLOOKUP(H524,'3-Productie normen'!A:T,20,FALSE)</f>
        <v>V</v>
      </c>
      <c r="Q524" s="447" t="s">
        <v>792</v>
      </c>
      <c r="S524" s="356">
        <f t="shared" si="45"/>
        <v>5560</v>
      </c>
    </row>
    <row r="525" spans="1:19" ht="14.1" customHeight="1">
      <c r="A525" s="72">
        <f t="shared" si="47"/>
        <v>525</v>
      </c>
      <c r="B525" s="50" t="s">
        <v>810</v>
      </c>
      <c r="C525" s="50" t="s">
        <v>830</v>
      </c>
      <c r="D525" s="427" t="s">
        <v>1033</v>
      </c>
      <c r="E525" s="426" t="s">
        <v>612</v>
      </c>
      <c r="F525" s="349" t="s">
        <v>223</v>
      </c>
      <c r="G525" s="86" t="s">
        <v>347</v>
      </c>
      <c r="H525" s="432" t="s">
        <v>198</v>
      </c>
      <c r="I525" s="86" t="s">
        <v>787</v>
      </c>
      <c r="J525" s="343">
        <v>31.600000381469702</v>
      </c>
      <c r="K525" s="351">
        <f t="shared" si="46"/>
        <v>40</v>
      </c>
      <c r="L525" s="352">
        <v>40</v>
      </c>
      <c r="M525" s="448" t="str">
        <f>IF(L525="nio","",VLOOKUP(L525,'3-Productie normen'!$B$31:$H$45,3,FALSE))</f>
        <v>1 x per week (40 weken)</v>
      </c>
      <c r="N525" s="353" t="e">
        <f t="shared" si="44"/>
        <v>#DIV/0!</v>
      </c>
      <c r="O525" s="354">
        <f>IF(L525="nio",0,IF(L525&gt;0,VLOOKUP(H525,'3-Productie normen'!A:P,VLOOKUP(L525,'3-Productie normen'!$B$31:$C$45,2,FALSE),FALSE)))/VLOOKUP(B525,'2-Kosten per locatie'!$A$13:$D$36,4,FALSE)</f>
        <v>0</v>
      </c>
      <c r="P525" s="82" t="str">
        <f>VLOOKUP(H525,'3-Productie normen'!A:T,20,FALSE)</f>
        <v>V</v>
      </c>
      <c r="Q525" s="447" t="s">
        <v>967</v>
      </c>
      <c r="S525" s="356">
        <f t="shared" si="45"/>
        <v>1264.0000152587882</v>
      </c>
    </row>
    <row r="526" spans="1:19" ht="14.1" customHeight="1">
      <c r="A526" s="72">
        <f t="shared" si="47"/>
        <v>526</v>
      </c>
      <c r="B526" s="50" t="s">
        <v>810</v>
      </c>
      <c r="C526" s="50" t="s">
        <v>830</v>
      </c>
      <c r="D526" s="427" t="s">
        <v>1033</v>
      </c>
      <c r="E526" s="426" t="s">
        <v>612</v>
      </c>
      <c r="F526" s="349" t="s">
        <v>223</v>
      </c>
      <c r="G526" s="86" t="s">
        <v>246</v>
      </c>
      <c r="H526" s="81" t="s">
        <v>1039</v>
      </c>
      <c r="I526" s="86" t="s">
        <v>780</v>
      </c>
      <c r="J526" s="343">
        <v>84.55</v>
      </c>
      <c r="K526" s="351">
        <f t="shared" si="46"/>
        <v>40</v>
      </c>
      <c r="L526" s="352">
        <v>40</v>
      </c>
      <c r="M526" s="448" t="str">
        <f>IF(L526="nio","",VLOOKUP(L526,'3-Productie normen'!$B$31:$H$45,3,FALSE))</f>
        <v>1 x per week (40 weken)</v>
      </c>
      <c r="N526" s="353" t="e">
        <f t="shared" si="44"/>
        <v>#DIV/0!</v>
      </c>
      <c r="O526" s="354">
        <f>IF(L526="nio",0,IF(L526&gt;0,VLOOKUP(H526,'3-Productie normen'!A:P,VLOOKUP(L526,'3-Productie normen'!$B$31:$C$45,2,FALSE),FALSE)))/VLOOKUP(B526,'2-Kosten per locatie'!$A$13:$D$36,4,FALSE)</f>
        <v>0</v>
      </c>
      <c r="P526" s="82" t="str">
        <f>VLOOKUP(H526,'3-Productie normen'!A:T,20,FALSE)</f>
        <v>V</v>
      </c>
      <c r="Q526" s="447" t="s">
        <v>792</v>
      </c>
      <c r="S526" s="356">
        <f t="shared" si="45"/>
        <v>3382</v>
      </c>
    </row>
    <row r="527" spans="1:19" ht="14.1" customHeight="1">
      <c r="A527" s="72">
        <f t="shared" si="47"/>
        <v>527</v>
      </c>
      <c r="B527" s="50" t="s">
        <v>810</v>
      </c>
      <c r="C527" s="50" t="s">
        <v>830</v>
      </c>
      <c r="D527" s="427" t="s">
        <v>1033</v>
      </c>
      <c r="E527" s="426" t="s">
        <v>612</v>
      </c>
      <c r="F527" s="349" t="s">
        <v>224</v>
      </c>
      <c r="G527" s="86" t="s">
        <v>248</v>
      </c>
      <c r="H527" s="63" t="s">
        <v>1040</v>
      </c>
      <c r="I527" s="86" t="s">
        <v>780</v>
      </c>
      <c r="J527" s="343">
        <v>4.88</v>
      </c>
      <c r="K527" s="351">
        <f t="shared" si="46"/>
        <v>12</v>
      </c>
      <c r="L527" s="352">
        <v>12</v>
      </c>
      <c r="M527" s="448" t="str">
        <f>IF(L527="nio","",VLOOKUP(L527,'3-Productie normen'!$B$31:$H$45,3,FALSE))</f>
        <v>1 x per maand</v>
      </c>
      <c r="N527" s="353" t="e">
        <f t="shared" si="44"/>
        <v>#DIV/0!</v>
      </c>
      <c r="O527" s="354">
        <f>IF(L527="nio",0,IF(L527&gt;0,VLOOKUP(H527,'3-Productie normen'!A:P,VLOOKUP(L527,'3-Productie normen'!$B$31:$C$45,2,FALSE),FALSE)))/VLOOKUP(B527,'2-Kosten per locatie'!$A$13:$D$36,4,FALSE)</f>
        <v>0</v>
      </c>
      <c r="P527" s="82" t="str">
        <f>VLOOKUP(H527,'3-Productie normen'!A:T,20,FALSE)</f>
        <v>V</v>
      </c>
      <c r="Q527" s="447" t="s">
        <v>792</v>
      </c>
      <c r="S527" s="356">
        <f t="shared" si="45"/>
        <v>58.56</v>
      </c>
    </row>
    <row r="528" spans="1:19" ht="14.1" customHeight="1">
      <c r="A528" s="72">
        <f t="shared" si="47"/>
        <v>528</v>
      </c>
      <c r="B528" s="50" t="s">
        <v>810</v>
      </c>
      <c r="C528" s="50" t="s">
        <v>830</v>
      </c>
      <c r="D528" s="427" t="s">
        <v>1033</v>
      </c>
      <c r="E528" s="426" t="s">
        <v>612</v>
      </c>
      <c r="F528" s="349" t="s">
        <v>225</v>
      </c>
      <c r="G528" s="86" t="s">
        <v>226</v>
      </c>
      <c r="H528" s="86" t="s">
        <v>16</v>
      </c>
      <c r="I528" s="86" t="s">
        <v>781</v>
      </c>
      <c r="J528" s="343">
        <v>8.68</v>
      </c>
      <c r="K528" s="351">
        <f t="shared" si="46"/>
        <v>201</v>
      </c>
      <c r="L528" s="352">
        <v>201</v>
      </c>
      <c r="M528" s="448" t="str">
        <f>IF(L528="nio","",VLOOKUP(L528,'3-Productie normen'!$B$31:$H$45,3,FALSE))</f>
        <v>5 x per week (40 weken + 1 Zomer refreshbeurt)</v>
      </c>
      <c r="N528" s="353" t="e">
        <f t="shared" si="44"/>
        <v>#DIV/0!</v>
      </c>
      <c r="O528" s="354">
        <f>IF(L528="nio",0,IF(L528&gt;0,VLOOKUP(H528,'3-Productie normen'!A:P,VLOOKUP(L528,'3-Productie normen'!$B$31:$C$45,2,FALSE),FALSE)))/VLOOKUP(B528,'2-Kosten per locatie'!$A$13:$D$36,4,FALSE)</f>
        <v>0</v>
      </c>
      <c r="P528" s="82" t="str">
        <f>VLOOKUP(H528,'3-Productie normen'!A:T,20,FALSE)</f>
        <v>S</v>
      </c>
      <c r="Q528" s="447" t="s">
        <v>894</v>
      </c>
      <c r="S528" s="356">
        <f t="shared" si="45"/>
        <v>1744.6799999999998</v>
      </c>
    </row>
    <row r="529" spans="1:19" ht="14.1" customHeight="1">
      <c r="A529" s="72">
        <f t="shared" si="47"/>
        <v>529</v>
      </c>
      <c r="B529" s="50" t="s">
        <v>810</v>
      </c>
      <c r="C529" s="50" t="s">
        <v>830</v>
      </c>
      <c r="D529" s="427" t="s">
        <v>1033</v>
      </c>
      <c r="E529" s="426" t="s">
        <v>612</v>
      </c>
      <c r="F529" s="349" t="s">
        <v>227</v>
      </c>
      <c r="G529" s="86" t="s">
        <v>206</v>
      </c>
      <c r="H529" s="65" t="s">
        <v>1053</v>
      </c>
      <c r="I529" s="86" t="s">
        <v>780</v>
      </c>
      <c r="J529" s="343">
        <v>2.27</v>
      </c>
      <c r="K529" s="351" t="str">
        <f t="shared" si="46"/>
        <v>nio</v>
      </c>
      <c r="L529" s="352" t="s">
        <v>804</v>
      </c>
      <c r="M529" s="448" t="str">
        <f>IF(L529="nio","",VLOOKUP(L529,'3-Productie normen'!$B$31:$H$45,3,FALSE))</f>
        <v/>
      </c>
      <c r="N529" s="353">
        <f t="shared" si="44"/>
        <v>0</v>
      </c>
      <c r="O529" s="354">
        <f>IF(L529="nio",0,IF(L529&gt;0,VLOOKUP(H529,'3-Productie normen'!A:P,VLOOKUP(L529,'3-Productie normen'!$B$31:$C$45,2,FALSE),FALSE)))/VLOOKUP(B529,'2-Kosten per locatie'!$A$13:$D$36,4,FALSE)</f>
        <v>0</v>
      </c>
      <c r="P529" s="82">
        <f>VLOOKUP(H529,'3-Productie normen'!A:T,20,FALSE)</f>
        <v>0</v>
      </c>
      <c r="Q529" s="447" t="s">
        <v>861</v>
      </c>
      <c r="S529" s="356">
        <f t="shared" si="45"/>
        <v>0</v>
      </c>
    </row>
    <row r="530" spans="1:19" ht="14.1" customHeight="1">
      <c r="A530" s="72">
        <f t="shared" si="47"/>
        <v>530</v>
      </c>
      <c r="B530" s="50" t="s">
        <v>810</v>
      </c>
      <c r="C530" s="50" t="s">
        <v>830</v>
      </c>
      <c r="D530" s="427" t="s">
        <v>1033</v>
      </c>
      <c r="E530" s="426" t="s">
        <v>612</v>
      </c>
      <c r="F530" s="349" t="s">
        <v>228</v>
      </c>
      <c r="G530" s="86" t="s">
        <v>209</v>
      </c>
      <c r="H530" s="63" t="s">
        <v>1040</v>
      </c>
      <c r="I530" s="86" t="s">
        <v>780</v>
      </c>
      <c r="J530" s="343">
        <v>24.49</v>
      </c>
      <c r="K530" s="351">
        <f t="shared" si="46"/>
        <v>12</v>
      </c>
      <c r="L530" s="352">
        <v>12</v>
      </c>
      <c r="M530" s="448" t="str">
        <f>IF(L530="nio","",VLOOKUP(L530,'3-Productie normen'!$B$31:$H$45,3,FALSE))</f>
        <v>1 x per maand</v>
      </c>
      <c r="N530" s="353" t="e">
        <f t="shared" si="44"/>
        <v>#DIV/0!</v>
      </c>
      <c r="O530" s="354">
        <f>IF(L530="nio",0,IF(L530&gt;0,VLOOKUP(H530,'3-Productie normen'!A:P,VLOOKUP(L530,'3-Productie normen'!$B$31:$C$45,2,FALSE),FALSE)))/VLOOKUP(B530,'2-Kosten per locatie'!$A$13:$D$36,4,FALSE)</f>
        <v>0</v>
      </c>
      <c r="P530" s="82" t="str">
        <f>VLOOKUP(H530,'3-Productie normen'!A:T,20,FALSE)</f>
        <v>V</v>
      </c>
      <c r="Q530" s="447" t="s">
        <v>792</v>
      </c>
      <c r="S530" s="356">
        <f t="shared" si="45"/>
        <v>293.88</v>
      </c>
    </row>
    <row r="531" spans="1:19" ht="14.1" customHeight="1">
      <c r="A531" s="72">
        <f t="shared" si="47"/>
        <v>531</v>
      </c>
      <c r="B531" s="50" t="s">
        <v>810</v>
      </c>
      <c r="C531" s="50" t="s">
        <v>830</v>
      </c>
      <c r="D531" s="427" t="s">
        <v>1033</v>
      </c>
      <c r="E531" s="426" t="s">
        <v>612</v>
      </c>
      <c r="F531" s="349" t="s">
        <v>230</v>
      </c>
      <c r="G531" s="86" t="s">
        <v>206</v>
      </c>
      <c r="H531" s="65" t="s">
        <v>1053</v>
      </c>
      <c r="I531" s="86" t="s">
        <v>92</v>
      </c>
      <c r="J531" s="343">
        <v>1.3999999761581401</v>
      </c>
      <c r="K531" s="351" t="str">
        <f t="shared" si="46"/>
        <v>nio</v>
      </c>
      <c r="L531" s="352" t="s">
        <v>804</v>
      </c>
      <c r="M531" s="448" t="str">
        <f>IF(L531="nio","",VLOOKUP(L531,'3-Productie normen'!$B$31:$H$45,3,FALSE))</f>
        <v/>
      </c>
      <c r="N531" s="353">
        <f t="shared" si="44"/>
        <v>0</v>
      </c>
      <c r="O531" s="354">
        <f>IF(L531="nio",0,IF(L531&gt;0,VLOOKUP(H531,'3-Productie normen'!A:P,VLOOKUP(L531,'3-Productie normen'!$B$31:$C$45,2,FALSE),FALSE)))/VLOOKUP(B531,'2-Kosten per locatie'!$A$13:$D$36,4,FALSE)</f>
        <v>0</v>
      </c>
      <c r="P531" s="82">
        <f>VLOOKUP(H531,'3-Productie normen'!A:T,20,FALSE)</f>
        <v>0</v>
      </c>
      <c r="Q531" s="447" t="s">
        <v>968</v>
      </c>
      <c r="S531" s="356">
        <f t="shared" si="45"/>
        <v>0</v>
      </c>
    </row>
    <row r="532" spans="1:19" ht="14.1" customHeight="1">
      <c r="A532" s="72">
        <f t="shared" si="47"/>
        <v>532</v>
      </c>
      <c r="B532" s="50" t="s">
        <v>810</v>
      </c>
      <c r="C532" s="50" t="s">
        <v>830</v>
      </c>
      <c r="D532" s="427" t="s">
        <v>1033</v>
      </c>
      <c r="E532" s="426" t="s">
        <v>612</v>
      </c>
      <c r="F532" s="349" t="s">
        <v>233</v>
      </c>
      <c r="G532" s="86" t="s">
        <v>212</v>
      </c>
      <c r="H532" s="65" t="s">
        <v>1053</v>
      </c>
      <c r="I532" s="86" t="s">
        <v>92</v>
      </c>
      <c r="J532" s="343">
        <v>24.5</v>
      </c>
      <c r="K532" s="351" t="str">
        <f t="shared" si="46"/>
        <v>nio</v>
      </c>
      <c r="L532" s="352" t="s">
        <v>804</v>
      </c>
      <c r="M532" s="448" t="str">
        <f>IF(L532="nio","",VLOOKUP(L532,'3-Productie normen'!$B$31:$H$45,3,FALSE))</f>
        <v/>
      </c>
      <c r="N532" s="353">
        <f t="shared" si="44"/>
        <v>0</v>
      </c>
      <c r="O532" s="354">
        <f>IF(L532="nio",0,IF(L532&gt;0,VLOOKUP(H532,'3-Productie normen'!A:P,VLOOKUP(L532,'3-Productie normen'!$B$31:$C$45,2,FALSE),FALSE)))/VLOOKUP(B532,'2-Kosten per locatie'!$A$13:$D$36,4,FALSE)</f>
        <v>0</v>
      </c>
      <c r="P532" s="82">
        <f>VLOOKUP(H532,'3-Productie normen'!A:T,20,FALSE)</f>
        <v>0</v>
      </c>
      <c r="Q532" s="447" t="s">
        <v>792</v>
      </c>
      <c r="S532" s="356">
        <f t="shared" si="45"/>
        <v>0</v>
      </c>
    </row>
    <row r="533" spans="1:19" ht="14.1" customHeight="1">
      <c r="A533" s="72">
        <f t="shared" si="47"/>
        <v>533</v>
      </c>
      <c r="B533" s="50" t="s">
        <v>810</v>
      </c>
      <c r="C533" s="50" t="s">
        <v>830</v>
      </c>
      <c r="D533" s="427" t="s">
        <v>1033</v>
      </c>
      <c r="E533" s="426" t="s">
        <v>612</v>
      </c>
      <c r="F533" s="349" t="s">
        <v>234</v>
      </c>
      <c r="G533" s="86" t="s">
        <v>222</v>
      </c>
      <c r="H533" s="50" t="s">
        <v>16</v>
      </c>
      <c r="I533" s="86" t="s">
        <v>781</v>
      </c>
      <c r="J533" s="343">
        <v>1.74</v>
      </c>
      <c r="K533" s="351">
        <f t="shared" si="46"/>
        <v>201</v>
      </c>
      <c r="L533" s="352">
        <v>201</v>
      </c>
      <c r="M533" s="448" t="str">
        <f>IF(L533="nio","",VLOOKUP(L533,'3-Productie normen'!$B$31:$H$45,3,FALSE))</f>
        <v>5 x per week (40 weken + 1 Zomer refreshbeurt)</v>
      </c>
      <c r="N533" s="353" t="e">
        <f t="shared" si="44"/>
        <v>#DIV/0!</v>
      </c>
      <c r="O533" s="354">
        <f>IF(L533="nio",0,IF(L533&gt;0,VLOOKUP(H533,'3-Productie normen'!A:P,VLOOKUP(L533,'3-Productie normen'!$B$31:$C$45,2,FALSE),FALSE)))/VLOOKUP(B533,'2-Kosten per locatie'!$A$13:$D$36,4,FALSE)</f>
        <v>0</v>
      </c>
      <c r="P533" s="82" t="str">
        <f>VLOOKUP(H533,'3-Productie normen'!A:T,20,FALSE)</f>
        <v>S</v>
      </c>
      <c r="Q533" s="447" t="s">
        <v>857</v>
      </c>
      <c r="S533" s="356">
        <f t="shared" si="45"/>
        <v>349.74</v>
      </c>
    </row>
    <row r="534" spans="1:19" ht="14.1" customHeight="1">
      <c r="A534" s="72">
        <f t="shared" si="47"/>
        <v>534</v>
      </c>
      <c r="B534" s="50" t="s">
        <v>810</v>
      </c>
      <c r="C534" s="50" t="s">
        <v>830</v>
      </c>
      <c r="D534" s="427" t="s">
        <v>1033</v>
      </c>
      <c r="E534" s="426" t="s">
        <v>612</v>
      </c>
      <c r="F534" s="349" t="s">
        <v>236</v>
      </c>
      <c r="G534" s="86" t="s">
        <v>209</v>
      </c>
      <c r="H534" s="63" t="s">
        <v>1040</v>
      </c>
      <c r="I534" s="86" t="s">
        <v>780</v>
      </c>
      <c r="J534" s="343">
        <v>8.1</v>
      </c>
      <c r="K534" s="351">
        <f t="shared" si="46"/>
        <v>12</v>
      </c>
      <c r="L534" s="352">
        <v>12</v>
      </c>
      <c r="M534" s="448" t="str">
        <f>IF(L534="nio","",VLOOKUP(L534,'3-Productie normen'!$B$31:$H$45,3,FALSE))</f>
        <v>1 x per maand</v>
      </c>
      <c r="N534" s="353" t="e">
        <f t="shared" si="44"/>
        <v>#DIV/0!</v>
      </c>
      <c r="O534" s="354">
        <f>IF(L534="nio",0,IF(L534&gt;0,VLOOKUP(H534,'3-Productie normen'!A:P,VLOOKUP(L534,'3-Productie normen'!$B$31:$C$45,2,FALSE),FALSE)))/VLOOKUP(B534,'2-Kosten per locatie'!$A$13:$D$36,4,FALSE)</f>
        <v>0</v>
      </c>
      <c r="P534" s="82" t="str">
        <f>VLOOKUP(H534,'3-Productie normen'!A:T,20,FALSE)</f>
        <v>V</v>
      </c>
      <c r="Q534" s="447" t="s">
        <v>792</v>
      </c>
      <c r="S534" s="356">
        <f t="shared" si="45"/>
        <v>97.199999999999989</v>
      </c>
    </row>
    <row r="535" spans="1:19" ht="14.1" customHeight="1">
      <c r="A535" s="72">
        <f t="shared" si="47"/>
        <v>535</v>
      </c>
      <c r="B535" s="50" t="s">
        <v>810</v>
      </c>
      <c r="C535" s="50" t="s">
        <v>830</v>
      </c>
      <c r="D535" s="427" t="s">
        <v>1033</v>
      </c>
      <c r="E535" s="426" t="s">
        <v>612</v>
      </c>
      <c r="F535" s="349" t="s">
        <v>237</v>
      </c>
      <c r="G535" s="86" t="s">
        <v>206</v>
      </c>
      <c r="H535" s="65" t="s">
        <v>1053</v>
      </c>
      <c r="I535" s="86" t="s">
        <v>92</v>
      </c>
      <c r="J535" s="343">
        <v>7.6</v>
      </c>
      <c r="K535" s="351" t="str">
        <f t="shared" si="46"/>
        <v>nio</v>
      </c>
      <c r="L535" s="352" t="s">
        <v>804</v>
      </c>
      <c r="M535" s="448" t="str">
        <f>IF(L535="nio","",VLOOKUP(L535,'3-Productie normen'!$B$31:$H$45,3,FALSE))</f>
        <v/>
      </c>
      <c r="N535" s="353">
        <f t="shared" si="44"/>
        <v>0</v>
      </c>
      <c r="O535" s="354">
        <f>IF(L535="nio",0,IF(L535&gt;0,VLOOKUP(H535,'3-Productie normen'!A:P,VLOOKUP(L535,'3-Productie normen'!$B$31:$C$45,2,FALSE),FALSE)))/VLOOKUP(B535,'2-Kosten per locatie'!$A$13:$D$36,4,FALSE)</f>
        <v>0</v>
      </c>
      <c r="P535" s="82">
        <f>VLOOKUP(H535,'3-Productie normen'!A:T,20,FALSE)</f>
        <v>0</v>
      </c>
      <c r="Q535" s="447" t="s">
        <v>969</v>
      </c>
      <c r="S535" s="356">
        <f t="shared" si="45"/>
        <v>0</v>
      </c>
    </row>
    <row r="536" spans="1:19" ht="14.1" customHeight="1">
      <c r="A536" s="72">
        <f t="shared" si="47"/>
        <v>536</v>
      </c>
      <c r="B536" s="50" t="s">
        <v>810</v>
      </c>
      <c r="C536" s="50" t="s">
        <v>830</v>
      </c>
      <c r="D536" s="427" t="s">
        <v>1034</v>
      </c>
      <c r="E536" s="426" t="s">
        <v>612</v>
      </c>
      <c r="F536" s="349" t="s">
        <v>386</v>
      </c>
      <c r="G536" s="86" t="s">
        <v>621</v>
      </c>
      <c r="H536" s="65" t="s">
        <v>731</v>
      </c>
      <c r="I536" s="86" t="s">
        <v>780</v>
      </c>
      <c r="J536" s="343">
        <v>16.03</v>
      </c>
      <c r="K536" s="351">
        <f t="shared" si="46"/>
        <v>236</v>
      </c>
      <c r="L536" s="352">
        <v>236</v>
      </c>
      <c r="M536" s="448" t="str">
        <f>IF(L536="nio","",VLOOKUP(L536,'3-Productie normen'!$B$31:$H$45,3,FALSE))</f>
        <v>5 x per week (40 weken) + (12x3 vakantie)</v>
      </c>
      <c r="N536" s="353" t="e">
        <f t="shared" si="44"/>
        <v>#DIV/0!</v>
      </c>
      <c r="O536" s="354">
        <f>IF(L536="nio",0,IF(L536&gt;0,VLOOKUP(H536,'3-Productie normen'!A:P,VLOOKUP(L536,'3-Productie normen'!$B$31:$C$45,2,FALSE),FALSE)))/VLOOKUP(B536,'2-Kosten per locatie'!$A$13:$D$36,4,FALSE)</f>
        <v>0</v>
      </c>
      <c r="P536" s="82" t="str">
        <f>VLOOKUP(H536,'3-Productie normen'!A:T,20,FALSE)</f>
        <v>V</v>
      </c>
      <c r="Q536" s="447" t="s">
        <v>792</v>
      </c>
      <c r="S536" s="356">
        <f t="shared" si="45"/>
        <v>3783.0800000000004</v>
      </c>
    </row>
    <row r="537" spans="1:19" ht="14.1" customHeight="1">
      <c r="A537" s="72">
        <f t="shared" si="47"/>
        <v>537</v>
      </c>
      <c r="B537" s="50" t="s">
        <v>810</v>
      </c>
      <c r="C537" s="50" t="s">
        <v>830</v>
      </c>
      <c r="D537" s="427" t="s">
        <v>1034</v>
      </c>
      <c r="E537" s="426" t="s">
        <v>612</v>
      </c>
      <c r="F537" s="349" t="s">
        <v>240</v>
      </c>
      <c r="G537" s="86" t="s">
        <v>622</v>
      </c>
      <c r="H537" s="65" t="s">
        <v>1093</v>
      </c>
      <c r="I537" s="86" t="s">
        <v>779</v>
      </c>
      <c r="J537" s="343">
        <v>4.8400001525878897</v>
      </c>
      <c r="K537" s="351">
        <f t="shared" si="46"/>
        <v>236</v>
      </c>
      <c r="L537" s="352">
        <v>236</v>
      </c>
      <c r="M537" s="448" t="str">
        <f>IF(L537="nio","",VLOOKUP(L537,'3-Productie normen'!$B$31:$H$45,3,FALSE))</f>
        <v>5 x per week (40 weken) + (12x3 vakantie)</v>
      </c>
      <c r="N537" s="353" t="e">
        <f t="shared" si="44"/>
        <v>#DIV/0!</v>
      </c>
      <c r="O537" s="354">
        <f>IF(L537="nio",0,IF(L537&gt;0,VLOOKUP(H537,'3-Productie normen'!A:P,VLOOKUP(L537,'3-Productie normen'!$B$31:$C$45,2,FALSE),FALSE)))/VLOOKUP(B537,'2-Kosten per locatie'!$A$13:$D$36,4,FALSE)</f>
        <v>0</v>
      </c>
      <c r="P537" s="82" t="str">
        <f>VLOOKUP(H537,'3-Productie normen'!A:T,20,FALSE)</f>
        <v>V</v>
      </c>
      <c r="Q537" s="447" t="s">
        <v>792</v>
      </c>
      <c r="S537" s="356">
        <f t="shared" si="45"/>
        <v>1142.240036010742</v>
      </c>
    </row>
    <row r="538" spans="1:19" ht="14.1" customHeight="1">
      <c r="A538" s="72">
        <f t="shared" si="47"/>
        <v>538</v>
      </c>
      <c r="B538" s="50" t="s">
        <v>810</v>
      </c>
      <c r="C538" s="50" t="s">
        <v>830</v>
      </c>
      <c r="D538" s="427" t="s">
        <v>1034</v>
      </c>
      <c r="E538" s="426" t="s">
        <v>612</v>
      </c>
      <c r="F538" s="349" t="s">
        <v>240</v>
      </c>
      <c r="G538" s="86" t="s">
        <v>622</v>
      </c>
      <c r="H538" s="65" t="s">
        <v>1093</v>
      </c>
      <c r="I538" s="86" t="s">
        <v>784</v>
      </c>
      <c r="J538" s="343">
        <v>12.87</v>
      </c>
      <c r="K538" s="351">
        <f t="shared" si="46"/>
        <v>236</v>
      </c>
      <c r="L538" s="352">
        <v>236</v>
      </c>
      <c r="M538" s="448" t="str">
        <f>IF(L538="nio","",VLOOKUP(L538,'3-Productie normen'!$B$31:$H$45,3,FALSE))</f>
        <v>5 x per week (40 weken) + (12x3 vakantie)</v>
      </c>
      <c r="N538" s="353" t="e">
        <f t="shared" si="44"/>
        <v>#DIV/0!</v>
      </c>
      <c r="O538" s="354">
        <f>IF(L538="nio",0,IF(L538&gt;0,VLOOKUP(H538,'3-Productie normen'!A:P,VLOOKUP(L538,'3-Productie normen'!$B$31:$C$45,2,FALSE),FALSE)))/VLOOKUP(B538,'2-Kosten per locatie'!$A$13:$D$36,4,FALSE)</f>
        <v>0</v>
      </c>
      <c r="P538" s="82" t="str">
        <f>VLOOKUP(H538,'3-Productie normen'!A:T,20,FALSE)</f>
        <v>V</v>
      </c>
      <c r="Q538" s="447" t="s">
        <v>792</v>
      </c>
      <c r="S538" s="356">
        <f t="shared" si="45"/>
        <v>3037.3199999999997</v>
      </c>
    </row>
    <row r="539" spans="1:19" ht="14.1" customHeight="1">
      <c r="A539" s="72">
        <f t="shared" si="47"/>
        <v>539</v>
      </c>
      <c r="B539" s="50" t="s">
        <v>810</v>
      </c>
      <c r="C539" s="50" t="s">
        <v>830</v>
      </c>
      <c r="D539" s="427" t="s">
        <v>1034</v>
      </c>
      <c r="E539" s="426" t="s">
        <v>612</v>
      </c>
      <c r="F539" s="349" t="s">
        <v>243</v>
      </c>
      <c r="G539" s="86" t="s">
        <v>394</v>
      </c>
      <c r="H539" s="65" t="s">
        <v>731</v>
      </c>
      <c r="I539" s="86" t="s">
        <v>780</v>
      </c>
      <c r="J539" s="343">
        <v>62.099998474121101</v>
      </c>
      <c r="K539" s="351">
        <f t="shared" si="46"/>
        <v>236</v>
      </c>
      <c r="L539" s="352">
        <v>236</v>
      </c>
      <c r="M539" s="448" t="str">
        <f>IF(L539="nio","",VLOOKUP(L539,'3-Productie normen'!$B$31:$H$45,3,FALSE))</f>
        <v>5 x per week (40 weken) + (12x3 vakantie)</v>
      </c>
      <c r="N539" s="353" t="e">
        <f t="shared" si="44"/>
        <v>#DIV/0!</v>
      </c>
      <c r="O539" s="354">
        <f>IF(L539="nio",0,IF(L539&gt;0,VLOOKUP(H539,'3-Productie normen'!A:P,VLOOKUP(L539,'3-Productie normen'!$B$31:$C$45,2,FALSE),FALSE)))/VLOOKUP(B539,'2-Kosten per locatie'!$A$13:$D$36,4,FALSE)</f>
        <v>0</v>
      </c>
      <c r="P539" s="82" t="str">
        <f>VLOOKUP(H539,'3-Productie normen'!A:T,20,FALSE)</f>
        <v>V</v>
      </c>
      <c r="Q539" s="447" t="s">
        <v>792</v>
      </c>
      <c r="S539" s="356">
        <f t="shared" si="45"/>
        <v>14655.59963989258</v>
      </c>
    </row>
    <row r="540" spans="1:19" ht="14.1" customHeight="1">
      <c r="A540" s="72">
        <f t="shared" si="47"/>
        <v>540</v>
      </c>
      <c r="B540" s="50" t="s">
        <v>810</v>
      </c>
      <c r="C540" s="50" t="s">
        <v>830</v>
      </c>
      <c r="D540" s="427" t="s">
        <v>1034</v>
      </c>
      <c r="E540" s="426" t="s">
        <v>612</v>
      </c>
      <c r="F540" s="349" t="s">
        <v>244</v>
      </c>
      <c r="G540" s="86" t="s">
        <v>623</v>
      </c>
      <c r="H540" s="63" t="s">
        <v>151</v>
      </c>
      <c r="I540" s="86" t="s">
        <v>780</v>
      </c>
      <c r="J540" s="343">
        <v>13.84</v>
      </c>
      <c r="K540" s="351">
        <f t="shared" si="46"/>
        <v>236</v>
      </c>
      <c r="L540" s="352">
        <v>236</v>
      </c>
      <c r="M540" s="448" t="str">
        <f>IF(L540="nio","",VLOOKUP(L540,'3-Productie normen'!$B$31:$H$45,3,FALSE))</f>
        <v>5 x per week (40 weken) + (12x3 vakantie)</v>
      </c>
      <c r="N540" s="353" t="e">
        <f t="shared" si="44"/>
        <v>#DIV/0!</v>
      </c>
      <c r="O540" s="354">
        <f>IF(L540="nio",0,IF(L540&gt;0,VLOOKUP(H540,'3-Productie normen'!A:P,VLOOKUP(L540,'3-Productie normen'!$B$31:$C$45,2,FALSE),FALSE)))/VLOOKUP(B540,'2-Kosten per locatie'!$A$13:$D$36,4,FALSE)</f>
        <v>0</v>
      </c>
      <c r="P540" s="82" t="str">
        <f>VLOOKUP(H540,'3-Productie normen'!A:T,20,FALSE)</f>
        <v>V</v>
      </c>
      <c r="Q540" s="447" t="s">
        <v>792</v>
      </c>
      <c r="S540" s="356">
        <f t="shared" si="45"/>
        <v>3266.24</v>
      </c>
    </row>
    <row r="541" spans="1:19" ht="14.1" customHeight="1">
      <c r="A541" s="72">
        <f t="shared" si="47"/>
        <v>541</v>
      </c>
      <c r="B541" s="50" t="s">
        <v>810</v>
      </c>
      <c r="C541" s="50" t="s">
        <v>830</v>
      </c>
      <c r="D541" s="427" t="s">
        <v>1034</v>
      </c>
      <c r="E541" s="426" t="s">
        <v>612</v>
      </c>
      <c r="F541" s="349" t="s">
        <v>245</v>
      </c>
      <c r="G541" s="86" t="s">
        <v>402</v>
      </c>
      <c r="H541" s="65" t="s">
        <v>16</v>
      </c>
      <c r="I541" s="86" t="s">
        <v>781</v>
      </c>
      <c r="J541" s="343">
        <v>8.75</v>
      </c>
      <c r="K541" s="351">
        <f t="shared" si="46"/>
        <v>236</v>
      </c>
      <c r="L541" s="352">
        <v>236</v>
      </c>
      <c r="M541" s="448" t="str">
        <f>IF(L541="nio","",VLOOKUP(L541,'3-Productie normen'!$B$31:$H$45,3,FALSE))</f>
        <v>5 x per week (40 weken) + (12x3 vakantie)</v>
      </c>
      <c r="N541" s="353" t="e">
        <f t="shared" si="44"/>
        <v>#DIV/0!</v>
      </c>
      <c r="O541" s="354">
        <f>IF(L541="nio",0,IF(L541&gt;0,VLOOKUP(H541,'3-Productie normen'!A:P,VLOOKUP(L541,'3-Productie normen'!$B$31:$C$45,2,FALSE),FALSE)))/VLOOKUP(B541,'2-Kosten per locatie'!$A$13:$D$36,4,FALSE)</f>
        <v>0</v>
      </c>
      <c r="P541" s="82" t="str">
        <f>VLOOKUP(H541,'3-Productie normen'!A:T,20,FALSE)</f>
        <v>S</v>
      </c>
      <c r="Q541" s="447" t="s">
        <v>894</v>
      </c>
      <c r="S541" s="356">
        <f t="shared" si="45"/>
        <v>2065</v>
      </c>
    </row>
    <row r="542" spans="1:19" ht="14.1" customHeight="1">
      <c r="A542" s="72">
        <f t="shared" si="47"/>
        <v>542</v>
      </c>
      <c r="B542" s="50" t="s">
        <v>810</v>
      </c>
      <c r="C542" s="50" t="s">
        <v>830</v>
      </c>
      <c r="D542" s="427" t="s">
        <v>1034</v>
      </c>
      <c r="E542" s="426" t="s">
        <v>612</v>
      </c>
      <c r="F542" s="349" t="s">
        <v>330</v>
      </c>
      <c r="G542" s="86" t="s">
        <v>396</v>
      </c>
      <c r="H542" s="65" t="s">
        <v>1040</v>
      </c>
      <c r="I542" s="86" t="s">
        <v>780</v>
      </c>
      <c r="J542" s="343">
        <v>4.22</v>
      </c>
      <c r="K542" s="351">
        <f t="shared" si="46"/>
        <v>12</v>
      </c>
      <c r="L542" s="352">
        <v>12</v>
      </c>
      <c r="M542" s="448" t="str">
        <f>IF(L542="nio","",VLOOKUP(L542,'3-Productie normen'!$B$31:$H$45,3,FALSE))</f>
        <v>1 x per maand</v>
      </c>
      <c r="N542" s="353" t="e">
        <f t="shared" si="44"/>
        <v>#DIV/0!</v>
      </c>
      <c r="O542" s="354">
        <f>IF(L542="nio",0,IF(L542&gt;0,VLOOKUP(H542,'3-Productie normen'!A:P,VLOOKUP(L542,'3-Productie normen'!$B$31:$C$45,2,FALSE),FALSE)))/VLOOKUP(B542,'2-Kosten per locatie'!$A$13:$D$36,4,FALSE)</f>
        <v>0</v>
      </c>
      <c r="P542" s="82" t="str">
        <f>VLOOKUP(H542,'3-Productie normen'!A:T,20,FALSE)</f>
        <v>V</v>
      </c>
      <c r="Q542" s="447" t="s">
        <v>792</v>
      </c>
      <c r="S542" s="356">
        <f t="shared" si="45"/>
        <v>50.64</v>
      </c>
    </row>
    <row r="543" spans="1:19" ht="14.1" customHeight="1">
      <c r="A543" s="72">
        <f t="shared" si="47"/>
        <v>543</v>
      </c>
      <c r="B543" s="50" t="s">
        <v>810</v>
      </c>
      <c r="C543" s="50" t="s">
        <v>830</v>
      </c>
      <c r="D543" s="427" t="s">
        <v>1034</v>
      </c>
      <c r="E543" s="426" t="s">
        <v>612</v>
      </c>
      <c r="F543" s="349" t="s">
        <v>331</v>
      </c>
      <c r="G543" s="86" t="s">
        <v>402</v>
      </c>
      <c r="H543" s="65" t="s">
        <v>16</v>
      </c>
      <c r="I543" s="86" t="s">
        <v>781</v>
      </c>
      <c r="J543" s="343">
        <v>5.32</v>
      </c>
      <c r="K543" s="351">
        <f t="shared" si="46"/>
        <v>236</v>
      </c>
      <c r="L543" s="352">
        <v>236</v>
      </c>
      <c r="M543" s="448" t="str">
        <f>IF(L543="nio","",VLOOKUP(L543,'3-Productie normen'!$B$31:$H$45,3,FALSE))</f>
        <v>5 x per week (40 weken) + (12x3 vakantie)</v>
      </c>
      <c r="N543" s="353" t="e">
        <f t="shared" si="44"/>
        <v>#DIV/0!</v>
      </c>
      <c r="O543" s="354">
        <f>IF(L543="nio",0,IF(L543&gt;0,VLOOKUP(H543,'3-Productie normen'!A:P,VLOOKUP(L543,'3-Productie normen'!$B$31:$C$45,2,FALSE),FALSE)))/VLOOKUP(B543,'2-Kosten per locatie'!$A$13:$D$36,4,FALSE)</f>
        <v>0</v>
      </c>
      <c r="P543" s="82" t="str">
        <f>VLOOKUP(H543,'3-Productie normen'!A:T,20,FALSE)</f>
        <v>S</v>
      </c>
      <c r="Q543" s="447" t="s">
        <v>855</v>
      </c>
      <c r="S543" s="356">
        <f t="shared" si="45"/>
        <v>1255.52</v>
      </c>
    </row>
    <row r="544" spans="1:19" ht="14.1" customHeight="1">
      <c r="A544" s="72">
        <f t="shared" si="47"/>
        <v>544</v>
      </c>
      <c r="B544" s="50" t="s">
        <v>810</v>
      </c>
      <c r="C544" s="50" t="s">
        <v>830</v>
      </c>
      <c r="D544" s="427" t="s">
        <v>1034</v>
      </c>
      <c r="E544" s="426" t="s">
        <v>612</v>
      </c>
      <c r="F544" s="349" t="s">
        <v>332</v>
      </c>
      <c r="G544" s="86" t="s">
        <v>396</v>
      </c>
      <c r="H544" s="65" t="s">
        <v>1040</v>
      </c>
      <c r="I544" s="86" t="s">
        <v>780</v>
      </c>
      <c r="J544" s="343">
        <v>6.4000000953674299</v>
      </c>
      <c r="K544" s="351">
        <f t="shared" si="46"/>
        <v>12</v>
      </c>
      <c r="L544" s="352">
        <v>12</v>
      </c>
      <c r="M544" s="448" t="str">
        <f>IF(L544="nio","",VLOOKUP(L544,'3-Productie normen'!$B$31:$H$45,3,FALSE))</f>
        <v>1 x per maand</v>
      </c>
      <c r="N544" s="353" t="e">
        <f t="shared" si="44"/>
        <v>#DIV/0!</v>
      </c>
      <c r="O544" s="354">
        <f>IF(L544="nio",0,IF(L544&gt;0,VLOOKUP(H544,'3-Productie normen'!A:P,VLOOKUP(L544,'3-Productie normen'!$B$31:$C$45,2,FALSE),FALSE)))/VLOOKUP(B544,'2-Kosten per locatie'!$A$13:$D$36,4,FALSE)</f>
        <v>0</v>
      </c>
      <c r="P544" s="82" t="str">
        <f>VLOOKUP(H544,'3-Productie normen'!A:T,20,FALSE)</f>
        <v>V</v>
      </c>
      <c r="Q544" s="447" t="s">
        <v>792</v>
      </c>
      <c r="S544" s="356">
        <f t="shared" si="45"/>
        <v>76.800001144409151</v>
      </c>
    </row>
    <row r="545" spans="1:19" ht="14.1" customHeight="1">
      <c r="A545" s="72">
        <f t="shared" si="47"/>
        <v>545</v>
      </c>
      <c r="B545" s="50" t="s">
        <v>810</v>
      </c>
      <c r="C545" s="50" t="s">
        <v>830</v>
      </c>
      <c r="D545" s="427" t="s">
        <v>1033</v>
      </c>
      <c r="E545" s="426" t="s">
        <v>612</v>
      </c>
      <c r="F545" s="349" t="s">
        <v>333</v>
      </c>
      <c r="G545" s="86" t="s">
        <v>384</v>
      </c>
      <c r="H545" s="50" t="s">
        <v>241</v>
      </c>
      <c r="I545" s="86" t="s">
        <v>780</v>
      </c>
      <c r="J545" s="343">
        <v>22.95</v>
      </c>
      <c r="K545" s="351">
        <f t="shared" si="46"/>
        <v>201</v>
      </c>
      <c r="L545" s="352">
        <v>201</v>
      </c>
      <c r="M545" s="448" t="str">
        <f>IF(L545="nio","",VLOOKUP(L545,'3-Productie normen'!$B$31:$H$45,3,FALSE))</f>
        <v>5 x per week (40 weken + 1 Zomer refreshbeurt)</v>
      </c>
      <c r="N545" s="353" t="e">
        <f t="shared" si="44"/>
        <v>#DIV/0!</v>
      </c>
      <c r="O545" s="354">
        <f>IF(L545="nio",0,IF(L545&gt;0,VLOOKUP(H545,'3-Productie normen'!A:P,VLOOKUP(L545,'3-Productie normen'!$B$31:$C$45,2,FALSE),FALSE)))/VLOOKUP(B545,'2-Kosten per locatie'!$A$13:$D$36,4,FALSE)</f>
        <v>0</v>
      </c>
      <c r="P545" s="82" t="str">
        <f>VLOOKUP(H545,'3-Productie normen'!A:T,20,FALSE)</f>
        <v>L</v>
      </c>
      <c r="Q545" s="447" t="s">
        <v>792</v>
      </c>
      <c r="S545" s="356">
        <f t="shared" si="45"/>
        <v>4612.95</v>
      </c>
    </row>
    <row r="546" spans="1:19" ht="14.1" customHeight="1">
      <c r="A546" s="72">
        <f t="shared" si="47"/>
        <v>546</v>
      </c>
      <c r="B546" s="50" t="s">
        <v>810</v>
      </c>
      <c r="C546" s="50" t="s">
        <v>830</v>
      </c>
      <c r="D546" s="427" t="s">
        <v>1033</v>
      </c>
      <c r="E546" s="426" t="s">
        <v>612</v>
      </c>
      <c r="F546" s="349" t="s">
        <v>334</v>
      </c>
      <c r="G546" s="86" t="s">
        <v>209</v>
      </c>
      <c r="H546" s="63" t="s">
        <v>1040</v>
      </c>
      <c r="I546" s="86" t="s">
        <v>780</v>
      </c>
      <c r="J546" s="343">
        <v>5.03</v>
      </c>
      <c r="K546" s="351">
        <f t="shared" si="46"/>
        <v>12</v>
      </c>
      <c r="L546" s="352">
        <v>12</v>
      </c>
      <c r="M546" s="448" t="str">
        <f>IF(L546="nio","",VLOOKUP(L546,'3-Productie normen'!$B$31:$H$45,3,FALSE))</f>
        <v>1 x per maand</v>
      </c>
      <c r="N546" s="353" t="e">
        <f t="shared" si="44"/>
        <v>#DIV/0!</v>
      </c>
      <c r="O546" s="354">
        <f>IF(L546="nio",0,IF(L546&gt;0,VLOOKUP(H546,'3-Productie normen'!A:P,VLOOKUP(L546,'3-Productie normen'!$B$31:$C$45,2,FALSE),FALSE)))/VLOOKUP(B546,'2-Kosten per locatie'!$A$13:$D$36,4,FALSE)</f>
        <v>0</v>
      </c>
      <c r="P546" s="82" t="str">
        <f>VLOOKUP(H546,'3-Productie normen'!A:T,20,FALSE)</f>
        <v>V</v>
      </c>
      <c r="Q546" s="447" t="s">
        <v>792</v>
      </c>
      <c r="S546" s="356">
        <f t="shared" si="45"/>
        <v>60.36</v>
      </c>
    </row>
    <row r="547" spans="1:19" ht="14.1" customHeight="1">
      <c r="A547" s="72">
        <f t="shared" si="47"/>
        <v>547</v>
      </c>
      <c r="B547" s="50" t="s">
        <v>810</v>
      </c>
      <c r="C547" s="50" t="s">
        <v>830</v>
      </c>
      <c r="D547" s="427" t="s">
        <v>1033</v>
      </c>
      <c r="E547" s="426" t="s">
        <v>612</v>
      </c>
      <c r="F547" s="349" t="s">
        <v>336</v>
      </c>
      <c r="G547" s="86" t="s">
        <v>222</v>
      </c>
      <c r="H547" s="85" t="s">
        <v>16</v>
      </c>
      <c r="I547" s="86" t="s">
        <v>781</v>
      </c>
      <c r="J547" s="343">
        <v>3.94</v>
      </c>
      <c r="K547" s="351">
        <f t="shared" si="46"/>
        <v>201</v>
      </c>
      <c r="L547" s="352">
        <v>201</v>
      </c>
      <c r="M547" s="448" t="str">
        <f>IF(L547="nio","",VLOOKUP(L547,'3-Productie normen'!$B$31:$H$45,3,FALSE))</f>
        <v>5 x per week (40 weken + 1 Zomer refreshbeurt)</v>
      </c>
      <c r="N547" s="353" t="e">
        <f t="shared" si="44"/>
        <v>#DIV/0!</v>
      </c>
      <c r="O547" s="354">
        <f>IF(L547="nio",0,IF(L547&gt;0,VLOOKUP(H547,'3-Productie normen'!A:P,VLOOKUP(L547,'3-Productie normen'!$B$31:$C$45,2,FALSE),FALSE)))/VLOOKUP(B547,'2-Kosten per locatie'!$A$13:$D$36,4,FALSE)</f>
        <v>0</v>
      </c>
      <c r="P547" s="82" t="str">
        <f>VLOOKUP(H547,'3-Productie normen'!A:T,20,FALSE)</f>
        <v>S</v>
      </c>
      <c r="Q547" s="447" t="s">
        <v>970</v>
      </c>
      <c r="S547" s="356">
        <f t="shared" si="45"/>
        <v>791.93999999999994</v>
      </c>
    </row>
    <row r="548" spans="1:19" ht="14.1" customHeight="1">
      <c r="A548" s="72">
        <f t="shared" si="47"/>
        <v>548</v>
      </c>
      <c r="B548" s="50" t="s">
        <v>810</v>
      </c>
      <c r="C548" s="50" t="s">
        <v>830</v>
      </c>
      <c r="D548" s="427" t="s">
        <v>1033</v>
      </c>
      <c r="E548" s="426" t="s">
        <v>612</v>
      </c>
      <c r="F548" s="349" t="s">
        <v>337</v>
      </c>
      <c r="G548" s="86" t="s">
        <v>368</v>
      </c>
      <c r="H548" s="432" t="s">
        <v>198</v>
      </c>
      <c r="I548" s="86" t="s">
        <v>780</v>
      </c>
      <c r="J548" s="343">
        <v>12.300000190734901</v>
      </c>
      <c r="K548" s="351">
        <f t="shared" si="46"/>
        <v>200</v>
      </c>
      <c r="L548" s="352">
        <v>200</v>
      </c>
      <c r="M548" s="448" t="str">
        <f>IF(L548="nio","",VLOOKUP(L548,'3-Productie normen'!$B$31:$H$45,3,FALSE))</f>
        <v>5 x per week (40 weken)</v>
      </c>
      <c r="N548" s="353" t="e">
        <f t="shared" si="44"/>
        <v>#DIV/0!</v>
      </c>
      <c r="O548" s="354">
        <f>IF(L548="nio",0,IF(L548&gt;0,VLOOKUP(H548,'3-Productie normen'!A:P,VLOOKUP(L548,'3-Productie normen'!$B$31:$C$45,2,FALSE),FALSE)))/VLOOKUP(B548,'2-Kosten per locatie'!$A$13:$D$36,4,FALSE)</f>
        <v>0</v>
      </c>
      <c r="P548" s="82" t="str">
        <f>VLOOKUP(H548,'3-Productie normen'!A:T,20,FALSE)</f>
        <v>V</v>
      </c>
      <c r="Q548" s="447" t="s">
        <v>792</v>
      </c>
      <c r="S548" s="356">
        <f t="shared" si="45"/>
        <v>2460.0000381469799</v>
      </c>
    </row>
    <row r="549" spans="1:19" ht="14.1" customHeight="1">
      <c r="A549" s="72">
        <f t="shared" si="47"/>
        <v>549</v>
      </c>
      <c r="B549" s="50" t="s">
        <v>810</v>
      </c>
      <c r="C549" s="50" t="s">
        <v>830</v>
      </c>
      <c r="D549" s="427" t="s">
        <v>1033</v>
      </c>
      <c r="E549" s="426" t="s">
        <v>612</v>
      </c>
      <c r="F549" s="349" t="s">
        <v>338</v>
      </c>
      <c r="G549" s="86" t="s">
        <v>201</v>
      </c>
      <c r="H549" s="432" t="s">
        <v>198</v>
      </c>
      <c r="I549" s="86" t="s">
        <v>780</v>
      </c>
      <c r="J549" s="343">
        <v>31.19</v>
      </c>
      <c r="K549" s="351">
        <f t="shared" si="46"/>
        <v>200</v>
      </c>
      <c r="L549" s="352">
        <v>200</v>
      </c>
      <c r="M549" s="448" t="str">
        <f>IF(L549="nio","",VLOOKUP(L549,'3-Productie normen'!$B$31:$H$45,3,FALSE))</f>
        <v>5 x per week (40 weken)</v>
      </c>
      <c r="N549" s="353" t="e">
        <f t="shared" si="44"/>
        <v>#DIV/0!</v>
      </c>
      <c r="O549" s="354">
        <f>IF(L549="nio",0,IF(L549&gt;0,VLOOKUP(H549,'3-Productie normen'!A:P,VLOOKUP(L549,'3-Productie normen'!$B$31:$C$45,2,FALSE),FALSE)))/VLOOKUP(B549,'2-Kosten per locatie'!$A$13:$D$36,4,FALSE)</f>
        <v>0</v>
      </c>
      <c r="P549" s="82" t="str">
        <f>VLOOKUP(H549,'3-Productie normen'!A:T,20,FALSE)</f>
        <v>V</v>
      </c>
      <c r="Q549" s="447" t="s">
        <v>792</v>
      </c>
      <c r="S549" s="356">
        <f t="shared" si="45"/>
        <v>6238</v>
      </c>
    </row>
    <row r="550" spans="1:19" ht="14.1" customHeight="1">
      <c r="A550" s="72">
        <f t="shared" si="47"/>
        <v>550</v>
      </c>
      <c r="B550" s="50" t="s">
        <v>810</v>
      </c>
      <c r="C550" s="50" t="s">
        <v>830</v>
      </c>
      <c r="D550" s="427" t="s">
        <v>1033</v>
      </c>
      <c r="E550" s="426" t="s">
        <v>612</v>
      </c>
      <c r="F550" s="349" t="s">
        <v>410</v>
      </c>
      <c r="G550" s="86" t="s">
        <v>209</v>
      </c>
      <c r="H550" s="63" t="s">
        <v>1040</v>
      </c>
      <c r="I550" s="86" t="s">
        <v>92</v>
      </c>
      <c r="J550" s="343">
        <v>4.84</v>
      </c>
      <c r="K550" s="351">
        <f t="shared" si="46"/>
        <v>12</v>
      </c>
      <c r="L550" s="352">
        <v>12</v>
      </c>
      <c r="M550" s="448" t="str">
        <f>IF(L550="nio","",VLOOKUP(L550,'3-Productie normen'!$B$31:$H$45,3,FALSE))</f>
        <v>1 x per maand</v>
      </c>
      <c r="N550" s="353" t="e">
        <f t="shared" si="44"/>
        <v>#DIV/0!</v>
      </c>
      <c r="O550" s="354">
        <f>IF(L550="nio",0,IF(L550&gt;0,VLOOKUP(H550,'3-Productie normen'!A:P,VLOOKUP(L550,'3-Productie normen'!$B$31:$C$45,2,FALSE),FALSE)))/VLOOKUP(B550,'2-Kosten per locatie'!$A$13:$D$36,4,FALSE)</f>
        <v>0</v>
      </c>
      <c r="P550" s="82" t="str">
        <f>VLOOKUP(H550,'3-Productie normen'!A:T,20,FALSE)</f>
        <v>V</v>
      </c>
      <c r="Q550" s="447" t="s">
        <v>792</v>
      </c>
      <c r="S550" s="356">
        <f t="shared" si="45"/>
        <v>58.08</v>
      </c>
    </row>
    <row r="551" spans="1:19" ht="14.1" customHeight="1">
      <c r="A551" s="72">
        <f t="shared" si="47"/>
        <v>551</v>
      </c>
      <c r="B551" s="50" t="s">
        <v>810</v>
      </c>
      <c r="C551" s="50" t="s">
        <v>830</v>
      </c>
      <c r="D551" s="427" t="s">
        <v>1033</v>
      </c>
      <c r="E551" s="426" t="s">
        <v>612</v>
      </c>
      <c r="F551" s="349" t="s">
        <v>339</v>
      </c>
      <c r="G551" s="86" t="s">
        <v>384</v>
      </c>
      <c r="H551" s="86" t="s">
        <v>241</v>
      </c>
      <c r="I551" s="86" t="s">
        <v>780</v>
      </c>
      <c r="J551" s="343">
        <v>38.26</v>
      </c>
      <c r="K551" s="351">
        <f t="shared" si="46"/>
        <v>201</v>
      </c>
      <c r="L551" s="352">
        <v>201</v>
      </c>
      <c r="M551" s="448" t="str">
        <f>IF(L551="nio","",VLOOKUP(L551,'3-Productie normen'!$B$31:$H$45,3,FALSE))</f>
        <v>5 x per week (40 weken + 1 Zomer refreshbeurt)</v>
      </c>
      <c r="N551" s="353" t="e">
        <f t="shared" si="44"/>
        <v>#DIV/0!</v>
      </c>
      <c r="O551" s="354">
        <f>IF(L551="nio",0,IF(L551&gt;0,VLOOKUP(H551,'3-Productie normen'!A:P,VLOOKUP(L551,'3-Productie normen'!$B$31:$C$45,2,FALSE),FALSE)))/VLOOKUP(B551,'2-Kosten per locatie'!$A$13:$D$36,4,FALSE)</f>
        <v>0</v>
      </c>
      <c r="P551" s="82" t="str">
        <f>VLOOKUP(H551,'3-Productie normen'!A:T,20,FALSE)</f>
        <v>L</v>
      </c>
      <c r="Q551" s="447" t="s">
        <v>792</v>
      </c>
      <c r="S551" s="356">
        <f t="shared" si="45"/>
        <v>7690.2599999999993</v>
      </c>
    </row>
    <row r="552" spans="1:19" ht="14.1" customHeight="1">
      <c r="A552" s="72">
        <f t="shared" si="47"/>
        <v>552</v>
      </c>
      <c r="B552" s="50" t="s">
        <v>810</v>
      </c>
      <c r="C552" s="50" t="s">
        <v>830</v>
      </c>
      <c r="D552" s="427" t="s">
        <v>1033</v>
      </c>
      <c r="E552" s="426" t="s">
        <v>612</v>
      </c>
      <c r="F552" s="349" t="s">
        <v>340</v>
      </c>
      <c r="G552" s="86" t="s">
        <v>298</v>
      </c>
      <c r="H552" s="50" t="s">
        <v>241</v>
      </c>
      <c r="I552" s="86" t="s">
        <v>780</v>
      </c>
      <c r="J552" s="343">
        <v>55.73</v>
      </c>
      <c r="K552" s="351">
        <f t="shared" si="46"/>
        <v>201</v>
      </c>
      <c r="L552" s="352">
        <v>201</v>
      </c>
      <c r="M552" s="448" t="str">
        <f>IF(L552="nio","",VLOOKUP(L552,'3-Productie normen'!$B$31:$H$45,3,FALSE))</f>
        <v>5 x per week (40 weken + 1 Zomer refreshbeurt)</v>
      </c>
      <c r="N552" s="353" t="e">
        <f t="shared" si="44"/>
        <v>#DIV/0!</v>
      </c>
      <c r="O552" s="354">
        <f>IF(L552="nio",0,IF(L552&gt;0,VLOOKUP(H552,'3-Productie normen'!A:P,VLOOKUP(L552,'3-Productie normen'!$B$31:$C$45,2,FALSE),FALSE)))/VLOOKUP(B552,'2-Kosten per locatie'!$A$13:$D$36,4,FALSE)</f>
        <v>0</v>
      </c>
      <c r="P552" s="82" t="str">
        <f>VLOOKUP(H552,'3-Productie normen'!A:T,20,FALSE)</f>
        <v>L</v>
      </c>
      <c r="Q552" s="447" t="s">
        <v>875</v>
      </c>
      <c r="S552" s="356">
        <f t="shared" si="45"/>
        <v>11201.73</v>
      </c>
    </row>
    <row r="553" spans="1:19" ht="14.1" customHeight="1">
      <c r="A553" s="72">
        <f t="shared" si="47"/>
        <v>553</v>
      </c>
      <c r="B553" s="50" t="s">
        <v>810</v>
      </c>
      <c r="C553" s="50" t="s">
        <v>830</v>
      </c>
      <c r="D553" s="427" t="s">
        <v>1033</v>
      </c>
      <c r="E553" s="426" t="s">
        <v>612</v>
      </c>
      <c r="F553" s="349" t="s">
        <v>341</v>
      </c>
      <c r="G553" s="86" t="s">
        <v>209</v>
      </c>
      <c r="H553" s="63" t="s">
        <v>1040</v>
      </c>
      <c r="I553" s="86" t="s">
        <v>780</v>
      </c>
      <c r="J553" s="343">
        <v>3.31</v>
      </c>
      <c r="K553" s="351">
        <f t="shared" si="46"/>
        <v>12</v>
      </c>
      <c r="L553" s="352">
        <v>12</v>
      </c>
      <c r="M553" s="448" t="str">
        <f>IF(L553="nio","",VLOOKUP(L553,'3-Productie normen'!$B$31:$H$45,3,FALSE))</f>
        <v>1 x per maand</v>
      </c>
      <c r="N553" s="353" t="e">
        <f t="shared" si="44"/>
        <v>#DIV/0!</v>
      </c>
      <c r="O553" s="354">
        <f>IF(L553="nio",0,IF(L553&gt;0,VLOOKUP(H553,'3-Productie normen'!A:P,VLOOKUP(L553,'3-Productie normen'!$B$31:$C$45,2,FALSE),FALSE)))/VLOOKUP(B553,'2-Kosten per locatie'!$A$13:$D$36,4,FALSE)</f>
        <v>0</v>
      </c>
      <c r="P553" s="82" t="str">
        <f>VLOOKUP(H553,'3-Productie normen'!A:T,20,FALSE)</f>
        <v>V</v>
      </c>
      <c r="Q553" s="447" t="s">
        <v>792</v>
      </c>
      <c r="S553" s="356">
        <f t="shared" si="45"/>
        <v>39.72</v>
      </c>
    </row>
    <row r="554" spans="1:19" ht="14.1" customHeight="1">
      <c r="A554" s="72">
        <f t="shared" si="47"/>
        <v>554</v>
      </c>
      <c r="B554" s="50" t="s">
        <v>810</v>
      </c>
      <c r="C554" s="50" t="s">
        <v>830</v>
      </c>
      <c r="D554" s="427" t="s">
        <v>1033</v>
      </c>
      <c r="E554" s="426" t="s">
        <v>612</v>
      </c>
      <c r="F554" s="349" t="s">
        <v>342</v>
      </c>
      <c r="G554" s="86" t="s">
        <v>209</v>
      </c>
      <c r="H554" s="63" t="s">
        <v>1040</v>
      </c>
      <c r="I554" s="86" t="s">
        <v>780</v>
      </c>
      <c r="J554" s="343">
        <v>3.4</v>
      </c>
      <c r="K554" s="351">
        <f t="shared" si="46"/>
        <v>12</v>
      </c>
      <c r="L554" s="352">
        <v>12</v>
      </c>
      <c r="M554" s="448" t="str">
        <f>IF(L554="nio","",VLOOKUP(L554,'3-Productie normen'!$B$31:$H$45,3,FALSE))</f>
        <v>1 x per maand</v>
      </c>
      <c r="N554" s="353" t="e">
        <f t="shared" si="44"/>
        <v>#DIV/0!</v>
      </c>
      <c r="O554" s="354">
        <f>IF(L554="nio",0,IF(L554&gt;0,VLOOKUP(H554,'3-Productie normen'!A:P,VLOOKUP(L554,'3-Productie normen'!$B$31:$C$45,2,FALSE),FALSE)))/VLOOKUP(B554,'2-Kosten per locatie'!$A$13:$D$36,4,FALSE)</f>
        <v>0</v>
      </c>
      <c r="P554" s="82" t="str">
        <f>VLOOKUP(H554,'3-Productie normen'!A:T,20,FALSE)</f>
        <v>V</v>
      </c>
      <c r="Q554" s="447" t="s">
        <v>792</v>
      </c>
      <c r="S554" s="356">
        <f t="shared" si="45"/>
        <v>40.799999999999997</v>
      </c>
    </row>
    <row r="555" spans="1:19" ht="14.1" customHeight="1">
      <c r="A555" s="72">
        <f t="shared" si="47"/>
        <v>555</v>
      </c>
      <c r="B555" s="50" t="s">
        <v>810</v>
      </c>
      <c r="C555" s="50" t="s">
        <v>830</v>
      </c>
      <c r="D555" s="427" t="s">
        <v>1033</v>
      </c>
      <c r="E555" s="426" t="s">
        <v>612</v>
      </c>
      <c r="F555" s="349" t="s">
        <v>343</v>
      </c>
      <c r="G555" s="86" t="s">
        <v>419</v>
      </c>
      <c r="H555" s="432" t="s">
        <v>198</v>
      </c>
      <c r="I555" s="86" t="s">
        <v>780</v>
      </c>
      <c r="J555" s="343">
        <v>8.66</v>
      </c>
      <c r="K555" s="351">
        <f t="shared" si="46"/>
        <v>200</v>
      </c>
      <c r="L555" s="352">
        <v>200</v>
      </c>
      <c r="M555" s="448" t="str">
        <f>IF(L555="nio","",VLOOKUP(L555,'3-Productie normen'!$B$31:$H$45,3,FALSE))</f>
        <v>5 x per week (40 weken)</v>
      </c>
      <c r="N555" s="353" t="e">
        <f t="shared" si="44"/>
        <v>#DIV/0!</v>
      </c>
      <c r="O555" s="354">
        <f>IF(L555="nio",0,IF(L555&gt;0,VLOOKUP(H555,'3-Productie normen'!A:P,VLOOKUP(L555,'3-Productie normen'!$B$31:$C$45,2,FALSE),FALSE)))/VLOOKUP(B555,'2-Kosten per locatie'!$A$13:$D$36,4,FALSE)</f>
        <v>0</v>
      </c>
      <c r="P555" s="82" t="str">
        <f>VLOOKUP(H555,'3-Productie normen'!A:T,20,FALSE)</f>
        <v>V</v>
      </c>
      <c r="Q555" s="447" t="s">
        <v>792</v>
      </c>
      <c r="S555" s="356">
        <f t="shared" si="45"/>
        <v>1732</v>
      </c>
    </row>
    <row r="556" spans="1:19" ht="14.1" customHeight="1">
      <c r="A556" s="72">
        <f t="shared" si="47"/>
        <v>556</v>
      </c>
      <c r="B556" s="50" t="s">
        <v>810</v>
      </c>
      <c r="C556" s="50" t="s">
        <v>830</v>
      </c>
      <c r="D556" s="427" t="s">
        <v>1033</v>
      </c>
      <c r="E556" s="426" t="s">
        <v>612</v>
      </c>
      <c r="F556" s="349" t="s">
        <v>344</v>
      </c>
      <c r="G556" s="86" t="s">
        <v>298</v>
      </c>
      <c r="H556" s="86" t="s">
        <v>241</v>
      </c>
      <c r="I556" s="86" t="s">
        <v>780</v>
      </c>
      <c r="J556" s="343">
        <v>56.2</v>
      </c>
      <c r="K556" s="351">
        <f t="shared" si="46"/>
        <v>201</v>
      </c>
      <c r="L556" s="352">
        <v>201</v>
      </c>
      <c r="M556" s="448" t="str">
        <f>IF(L556="nio","",VLOOKUP(L556,'3-Productie normen'!$B$31:$H$45,3,FALSE))</f>
        <v>5 x per week (40 weken + 1 Zomer refreshbeurt)</v>
      </c>
      <c r="N556" s="353" t="e">
        <f t="shared" ref="N556:N579" si="48">IF(L556="nio",0,IF(L556&gt;0,L556*J556/O556,0))</f>
        <v>#DIV/0!</v>
      </c>
      <c r="O556" s="354">
        <f>IF(L556="nio",0,IF(L556&gt;0,VLOOKUP(H556,'3-Productie normen'!A:P,VLOOKUP(L556,'3-Productie normen'!$B$31:$C$45,2,FALSE),FALSE)))/VLOOKUP(B556,'2-Kosten per locatie'!$A$13:$D$36,4,FALSE)</f>
        <v>0</v>
      </c>
      <c r="P556" s="82" t="str">
        <f>VLOOKUP(H556,'3-Productie normen'!A:T,20,FALSE)</f>
        <v>L</v>
      </c>
      <c r="Q556" s="447" t="s">
        <v>879</v>
      </c>
      <c r="S556" s="356">
        <f t="shared" ref="S556:S574" si="49">IF(L556="nio",0,K556*J556)</f>
        <v>11296.2</v>
      </c>
    </row>
    <row r="557" spans="1:19" ht="14.1" customHeight="1">
      <c r="A557" s="72">
        <f t="shared" si="47"/>
        <v>557</v>
      </c>
      <c r="B557" s="50" t="s">
        <v>810</v>
      </c>
      <c r="C557" s="50" t="s">
        <v>830</v>
      </c>
      <c r="D557" s="427" t="s">
        <v>1033</v>
      </c>
      <c r="E557" s="426" t="s">
        <v>612</v>
      </c>
      <c r="F557" s="349" t="s">
        <v>345</v>
      </c>
      <c r="G557" s="86" t="s">
        <v>298</v>
      </c>
      <c r="H557" s="50" t="s">
        <v>241</v>
      </c>
      <c r="I557" s="86" t="s">
        <v>780</v>
      </c>
      <c r="J557" s="343">
        <v>56.49</v>
      </c>
      <c r="K557" s="351">
        <f t="shared" ref="K557:K579" si="50">L557</f>
        <v>201</v>
      </c>
      <c r="L557" s="352">
        <v>201</v>
      </c>
      <c r="M557" s="448" t="str">
        <f>IF(L557="nio","",VLOOKUP(L557,'3-Productie normen'!$B$31:$H$45,3,FALSE))</f>
        <v>5 x per week (40 weken + 1 Zomer refreshbeurt)</v>
      </c>
      <c r="N557" s="353" t="e">
        <f t="shared" si="48"/>
        <v>#DIV/0!</v>
      </c>
      <c r="O557" s="354">
        <f>IF(L557="nio",0,IF(L557&gt;0,VLOOKUP(H557,'3-Productie normen'!A:P,VLOOKUP(L557,'3-Productie normen'!$B$31:$C$45,2,FALSE),FALSE)))/VLOOKUP(B557,'2-Kosten per locatie'!$A$13:$D$36,4,FALSE)</f>
        <v>0</v>
      </c>
      <c r="P557" s="82" t="str">
        <f>VLOOKUP(H557,'3-Productie normen'!A:T,20,FALSE)</f>
        <v>L</v>
      </c>
      <c r="Q557" s="447" t="s">
        <v>884</v>
      </c>
      <c r="S557" s="356">
        <f t="shared" si="49"/>
        <v>11354.49</v>
      </c>
    </row>
    <row r="558" spans="1:19" ht="14.1" customHeight="1">
      <c r="A558" s="72">
        <f t="shared" si="47"/>
        <v>558</v>
      </c>
      <c r="B558" s="50" t="s">
        <v>810</v>
      </c>
      <c r="C558" s="50" t="s">
        <v>830</v>
      </c>
      <c r="D558" s="427" t="s">
        <v>1033</v>
      </c>
      <c r="E558" s="426" t="s">
        <v>612</v>
      </c>
      <c r="F558" s="349" t="s">
        <v>346</v>
      </c>
      <c r="G558" s="86" t="s">
        <v>209</v>
      </c>
      <c r="H558" s="63" t="s">
        <v>1040</v>
      </c>
      <c r="I558" s="86" t="s">
        <v>780</v>
      </c>
      <c r="J558" s="343">
        <v>2.67</v>
      </c>
      <c r="K558" s="351">
        <f t="shared" si="50"/>
        <v>12</v>
      </c>
      <c r="L558" s="352">
        <v>12</v>
      </c>
      <c r="M558" s="448" t="str">
        <f>IF(L558="nio","",VLOOKUP(L558,'3-Productie normen'!$B$31:$H$45,3,FALSE))</f>
        <v>1 x per maand</v>
      </c>
      <c r="N558" s="353" t="e">
        <f t="shared" si="48"/>
        <v>#DIV/0!</v>
      </c>
      <c r="O558" s="354">
        <f>IF(L558="nio",0,IF(L558&gt;0,VLOOKUP(H558,'3-Productie normen'!A:P,VLOOKUP(L558,'3-Productie normen'!$B$31:$C$45,2,FALSE),FALSE)))/VLOOKUP(B558,'2-Kosten per locatie'!$A$13:$D$36,4,FALSE)</f>
        <v>0</v>
      </c>
      <c r="P558" s="82" t="str">
        <f>VLOOKUP(H558,'3-Productie normen'!A:T,20,FALSE)</f>
        <v>V</v>
      </c>
      <c r="Q558" s="447" t="s">
        <v>792</v>
      </c>
      <c r="S558" s="356">
        <f t="shared" si="49"/>
        <v>32.04</v>
      </c>
    </row>
    <row r="559" spans="1:19" ht="14.1" customHeight="1">
      <c r="A559" s="72">
        <f t="shared" si="47"/>
        <v>559</v>
      </c>
      <c r="B559" s="50" t="s">
        <v>810</v>
      </c>
      <c r="C559" s="50" t="s">
        <v>830</v>
      </c>
      <c r="D559" s="427" t="s">
        <v>1033</v>
      </c>
      <c r="E559" s="426" t="s">
        <v>612</v>
      </c>
      <c r="F559" s="349" t="s">
        <v>348</v>
      </c>
      <c r="G559" s="86" t="s">
        <v>281</v>
      </c>
      <c r="H559" s="86" t="s">
        <v>203</v>
      </c>
      <c r="I559" s="86" t="s">
        <v>780</v>
      </c>
      <c r="J559" s="343">
        <v>14</v>
      </c>
      <c r="K559" s="351">
        <f t="shared" si="50"/>
        <v>120</v>
      </c>
      <c r="L559" s="352">
        <v>120</v>
      </c>
      <c r="M559" s="448" t="str">
        <f>IF(L559="nio","",VLOOKUP(L559,'3-Productie normen'!$B$31:$H$45,3,FALSE))</f>
        <v>3 x per week (40 weken)</v>
      </c>
      <c r="N559" s="353" t="e">
        <f t="shared" si="48"/>
        <v>#DIV/0!</v>
      </c>
      <c r="O559" s="354">
        <f>IF(L559="nio",0,IF(L559&gt;0,VLOOKUP(H559,'3-Productie normen'!A:P,VLOOKUP(L559,'3-Productie normen'!$B$31:$C$45,2,FALSE),FALSE)))/VLOOKUP(B559,'2-Kosten per locatie'!$A$13:$D$36,4,FALSE)</f>
        <v>0</v>
      </c>
      <c r="P559" s="82" t="str">
        <f>VLOOKUP(H559,'3-Productie normen'!A:T,20,FALSE)</f>
        <v>B</v>
      </c>
      <c r="Q559" s="447" t="s">
        <v>792</v>
      </c>
      <c r="S559" s="356">
        <f t="shared" si="49"/>
        <v>1680</v>
      </c>
    </row>
    <row r="560" spans="1:19" ht="14.1" customHeight="1">
      <c r="A560" s="72">
        <f t="shared" si="47"/>
        <v>560</v>
      </c>
      <c r="B560" s="50" t="s">
        <v>810</v>
      </c>
      <c r="C560" s="50" t="s">
        <v>830</v>
      </c>
      <c r="D560" s="427" t="s">
        <v>1033</v>
      </c>
      <c r="E560" s="426" t="s">
        <v>612</v>
      </c>
      <c r="F560" s="349" t="s">
        <v>349</v>
      </c>
      <c r="G560" s="86" t="s">
        <v>212</v>
      </c>
      <c r="H560" s="65" t="s">
        <v>1053</v>
      </c>
      <c r="I560" s="86" t="s">
        <v>786</v>
      </c>
      <c r="J560" s="343">
        <v>12.07</v>
      </c>
      <c r="K560" s="351" t="str">
        <f t="shared" si="50"/>
        <v>nio</v>
      </c>
      <c r="L560" s="352" t="s">
        <v>804</v>
      </c>
      <c r="M560" s="448" t="str">
        <f>IF(L560="nio","",VLOOKUP(L560,'3-Productie normen'!$B$31:$H$45,3,FALSE))</f>
        <v/>
      </c>
      <c r="N560" s="353">
        <f t="shared" si="48"/>
        <v>0</v>
      </c>
      <c r="O560" s="354">
        <f>IF(L560="nio",0,IF(L560&gt;0,VLOOKUP(H560,'3-Productie normen'!A:P,VLOOKUP(L560,'3-Productie normen'!$B$31:$C$45,2,FALSE),FALSE)))/VLOOKUP(B560,'2-Kosten per locatie'!$A$13:$D$36,4,FALSE)</f>
        <v>0</v>
      </c>
      <c r="P560" s="82">
        <f>VLOOKUP(H560,'3-Productie normen'!A:T,20,FALSE)</f>
        <v>0</v>
      </c>
      <c r="Q560" s="447" t="s">
        <v>792</v>
      </c>
      <c r="S560" s="356">
        <f t="shared" si="49"/>
        <v>0</v>
      </c>
    </row>
    <row r="561" spans="1:19" ht="14.1" customHeight="1">
      <c r="A561" s="72">
        <f t="shared" si="47"/>
        <v>561</v>
      </c>
      <c r="B561" s="50" t="s">
        <v>810</v>
      </c>
      <c r="C561" s="50" t="s">
        <v>830</v>
      </c>
      <c r="D561" s="427" t="s">
        <v>1033</v>
      </c>
      <c r="E561" s="426" t="s">
        <v>612</v>
      </c>
      <c r="F561" s="349" t="s">
        <v>305</v>
      </c>
      <c r="G561" s="86" t="s">
        <v>232</v>
      </c>
      <c r="H561" s="430" t="s">
        <v>1046</v>
      </c>
      <c r="I561" s="86" t="s">
        <v>92</v>
      </c>
      <c r="J561" s="343">
        <v>11.300000190734901</v>
      </c>
      <c r="K561" s="351">
        <f t="shared" si="50"/>
        <v>200</v>
      </c>
      <c r="L561" s="352">
        <v>200</v>
      </c>
      <c r="M561" s="448" t="str">
        <f>IF(L561="nio","",VLOOKUP(L561,'3-Productie normen'!$B$31:$H$45,3,FALSE))</f>
        <v>5 x per week (40 weken)</v>
      </c>
      <c r="N561" s="353" t="e">
        <f t="shared" si="48"/>
        <v>#DIV/0!</v>
      </c>
      <c r="O561" s="354">
        <f>IF(L561="nio",0,IF(L561&gt;0,VLOOKUP(H561,'3-Productie normen'!A:P,VLOOKUP(L561,'3-Productie normen'!$B$31:$C$45,2,FALSE),FALSE)))/VLOOKUP(B561,'2-Kosten per locatie'!$A$13:$D$36,4,FALSE)</f>
        <v>0</v>
      </c>
      <c r="P561" s="82" t="str">
        <f>VLOOKUP(H561,'3-Productie normen'!A:T,20,FALSE)</f>
        <v>V</v>
      </c>
      <c r="Q561" s="447" t="s">
        <v>971</v>
      </c>
      <c r="S561" s="356">
        <f t="shared" si="49"/>
        <v>2260.0000381469799</v>
      </c>
    </row>
    <row r="562" spans="1:19" ht="14.1" customHeight="1">
      <c r="A562" s="72">
        <f t="shared" si="47"/>
        <v>562</v>
      </c>
      <c r="B562" s="50" t="s">
        <v>810</v>
      </c>
      <c r="C562" s="50" t="s">
        <v>830</v>
      </c>
      <c r="D562" s="427" t="s">
        <v>1033</v>
      </c>
      <c r="E562" s="426" t="s">
        <v>275</v>
      </c>
      <c r="F562" s="349" t="s">
        <v>307</v>
      </c>
      <c r="G562" s="86" t="s">
        <v>201</v>
      </c>
      <c r="H562" s="432" t="s">
        <v>198</v>
      </c>
      <c r="I562" s="86" t="s">
        <v>780</v>
      </c>
      <c r="J562" s="343">
        <v>14.26</v>
      </c>
      <c r="K562" s="351">
        <f t="shared" si="50"/>
        <v>200</v>
      </c>
      <c r="L562" s="352">
        <v>200</v>
      </c>
      <c r="M562" s="448" t="str">
        <f>IF(L562="nio","",VLOOKUP(L562,'3-Productie normen'!$B$31:$H$45,3,FALSE))</f>
        <v>5 x per week (40 weken)</v>
      </c>
      <c r="N562" s="353" t="e">
        <f t="shared" si="48"/>
        <v>#DIV/0!</v>
      </c>
      <c r="O562" s="354">
        <f>IF(L562="nio",0,IF(L562&gt;0,VLOOKUP(H562,'3-Productie normen'!A:P,VLOOKUP(L562,'3-Productie normen'!$B$31:$C$45,2,FALSE),FALSE)))/VLOOKUP(B562,'2-Kosten per locatie'!$A$13:$D$36,4,FALSE)</f>
        <v>0</v>
      </c>
      <c r="P562" s="82" t="str">
        <f>VLOOKUP(H562,'3-Productie normen'!A:T,20,FALSE)</f>
        <v>V</v>
      </c>
      <c r="Q562" s="447" t="s">
        <v>792</v>
      </c>
      <c r="S562" s="356">
        <f t="shared" si="49"/>
        <v>2852</v>
      </c>
    </row>
    <row r="563" spans="1:19" ht="14.1" customHeight="1">
      <c r="A563" s="72">
        <f t="shared" si="47"/>
        <v>563</v>
      </c>
      <c r="B563" s="50" t="s">
        <v>810</v>
      </c>
      <c r="C563" s="50" t="s">
        <v>830</v>
      </c>
      <c r="D563" s="427" t="s">
        <v>1033</v>
      </c>
      <c r="E563" s="426" t="s">
        <v>275</v>
      </c>
      <c r="F563" s="349" t="s">
        <v>308</v>
      </c>
      <c r="G563" s="86" t="s">
        <v>215</v>
      </c>
      <c r="H563" s="63" t="s">
        <v>1040</v>
      </c>
      <c r="I563" s="86" t="s">
        <v>781</v>
      </c>
      <c r="J563" s="343">
        <v>1.65</v>
      </c>
      <c r="K563" s="351">
        <f t="shared" si="50"/>
        <v>12</v>
      </c>
      <c r="L563" s="352">
        <v>12</v>
      </c>
      <c r="M563" s="448" t="str">
        <f>IF(L563="nio","",VLOOKUP(L563,'3-Productie normen'!$B$31:$H$45,3,FALSE))</f>
        <v>1 x per maand</v>
      </c>
      <c r="N563" s="353" t="e">
        <f t="shared" si="48"/>
        <v>#DIV/0!</v>
      </c>
      <c r="O563" s="354">
        <f>IF(L563="nio",0,IF(L563&gt;0,VLOOKUP(H563,'3-Productie normen'!A:P,VLOOKUP(L563,'3-Productie normen'!$B$31:$C$45,2,FALSE),FALSE)))/VLOOKUP(B563,'2-Kosten per locatie'!$A$13:$D$36,4,FALSE)</f>
        <v>0</v>
      </c>
      <c r="P563" s="82" t="str">
        <f>VLOOKUP(H563,'3-Productie normen'!A:T,20,FALSE)</f>
        <v>V</v>
      </c>
      <c r="Q563" s="447" t="s">
        <v>853</v>
      </c>
      <c r="S563" s="356">
        <f t="shared" si="49"/>
        <v>19.799999999999997</v>
      </c>
    </row>
    <row r="564" spans="1:19" ht="14.1" customHeight="1">
      <c r="A564" s="72">
        <f t="shared" si="47"/>
        <v>564</v>
      </c>
      <c r="B564" s="50" t="s">
        <v>810</v>
      </c>
      <c r="C564" s="50" t="s">
        <v>830</v>
      </c>
      <c r="D564" s="427" t="s">
        <v>1033</v>
      </c>
      <c r="E564" s="426" t="s">
        <v>275</v>
      </c>
      <c r="F564" s="349" t="s">
        <v>310</v>
      </c>
      <c r="G564" s="86" t="s">
        <v>226</v>
      </c>
      <c r="H564" s="50" t="s">
        <v>16</v>
      </c>
      <c r="I564" s="86" t="s">
        <v>781</v>
      </c>
      <c r="J564" s="343">
        <v>12.4</v>
      </c>
      <c r="K564" s="351">
        <f t="shared" si="50"/>
        <v>201</v>
      </c>
      <c r="L564" s="352">
        <v>201</v>
      </c>
      <c r="M564" s="448" t="str">
        <f>IF(L564="nio","",VLOOKUP(L564,'3-Productie normen'!$B$31:$H$45,3,FALSE))</f>
        <v>5 x per week (40 weken + 1 Zomer refreshbeurt)</v>
      </c>
      <c r="N564" s="353" t="e">
        <f t="shared" si="48"/>
        <v>#DIV/0!</v>
      </c>
      <c r="O564" s="354">
        <f>IF(L564="nio",0,IF(L564&gt;0,VLOOKUP(H564,'3-Productie normen'!A:P,VLOOKUP(L564,'3-Productie normen'!$B$31:$C$45,2,FALSE),FALSE)))/VLOOKUP(B564,'2-Kosten per locatie'!$A$13:$D$36,4,FALSE)</f>
        <v>0</v>
      </c>
      <c r="P564" s="82" t="str">
        <f>VLOOKUP(H564,'3-Productie normen'!A:T,20,FALSE)</f>
        <v>S</v>
      </c>
      <c r="Q564" s="447" t="s">
        <v>912</v>
      </c>
      <c r="S564" s="356">
        <f t="shared" si="49"/>
        <v>2492.4</v>
      </c>
    </row>
    <row r="565" spans="1:19" ht="14.1" customHeight="1">
      <c r="A565" s="72">
        <f t="shared" si="47"/>
        <v>565</v>
      </c>
      <c r="B565" s="50" t="s">
        <v>810</v>
      </c>
      <c r="C565" s="50" t="s">
        <v>830</v>
      </c>
      <c r="D565" s="427" t="s">
        <v>1033</v>
      </c>
      <c r="E565" s="426" t="s">
        <v>275</v>
      </c>
      <c r="F565" s="349" t="s">
        <v>312</v>
      </c>
      <c r="G565" s="86" t="s">
        <v>209</v>
      </c>
      <c r="H565" s="63" t="s">
        <v>1040</v>
      </c>
      <c r="I565" s="86" t="s">
        <v>780</v>
      </c>
      <c r="J565" s="343">
        <v>6</v>
      </c>
      <c r="K565" s="351">
        <f t="shared" si="50"/>
        <v>12</v>
      </c>
      <c r="L565" s="352">
        <v>12</v>
      </c>
      <c r="M565" s="448" t="str">
        <f>IF(L565="nio","",VLOOKUP(L565,'3-Productie normen'!$B$31:$H$45,3,FALSE))</f>
        <v>1 x per maand</v>
      </c>
      <c r="N565" s="353" t="e">
        <f t="shared" si="48"/>
        <v>#DIV/0!</v>
      </c>
      <c r="O565" s="354">
        <f>IF(L565="nio",0,IF(L565&gt;0,VLOOKUP(H565,'3-Productie normen'!A:P,VLOOKUP(L565,'3-Productie normen'!$B$31:$C$45,2,FALSE),FALSE)))/VLOOKUP(B565,'2-Kosten per locatie'!$A$13:$D$36,4,FALSE)</f>
        <v>0</v>
      </c>
      <c r="P565" s="82" t="str">
        <f>VLOOKUP(H565,'3-Productie normen'!A:T,20,FALSE)</f>
        <v>V</v>
      </c>
      <c r="Q565" s="447" t="s">
        <v>792</v>
      </c>
      <c r="S565" s="356">
        <f t="shared" si="49"/>
        <v>72</v>
      </c>
    </row>
    <row r="566" spans="1:19" ht="14.1" customHeight="1">
      <c r="A566" s="72">
        <f t="shared" si="47"/>
        <v>566</v>
      </c>
      <c r="B566" s="50" t="s">
        <v>810</v>
      </c>
      <c r="C566" s="50" t="s">
        <v>830</v>
      </c>
      <c r="D566" s="427" t="s">
        <v>1033</v>
      </c>
      <c r="E566" s="426" t="s">
        <v>275</v>
      </c>
      <c r="F566" s="349" t="s">
        <v>313</v>
      </c>
      <c r="G566" s="86" t="s">
        <v>298</v>
      </c>
      <c r="H566" s="86" t="s">
        <v>241</v>
      </c>
      <c r="I566" s="86" t="s">
        <v>780</v>
      </c>
      <c r="J566" s="343">
        <v>64.790000000000006</v>
      </c>
      <c r="K566" s="351">
        <f t="shared" si="50"/>
        <v>201</v>
      </c>
      <c r="L566" s="352">
        <v>201</v>
      </c>
      <c r="M566" s="448" t="str">
        <f>IF(L566="nio","",VLOOKUP(L566,'3-Productie normen'!$B$31:$H$45,3,FALSE))</f>
        <v>5 x per week (40 weken + 1 Zomer refreshbeurt)</v>
      </c>
      <c r="N566" s="353" t="e">
        <f t="shared" si="48"/>
        <v>#DIV/0!</v>
      </c>
      <c r="O566" s="354">
        <f>IF(L566="nio",0,IF(L566&gt;0,VLOOKUP(H566,'3-Productie normen'!A:P,VLOOKUP(L566,'3-Productie normen'!$B$31:$C$45,2,FALSE),FALSE)))/VLOOKUP(B566,'2-Kosten per locatie'!$A$13:$D$36,4,FALSE)</f>
        <v>0</v>
      </c>
      <c r="P566" s="82" t="str">
        <f>VLOOKUP(H566,'3-Productie normen'!A:T,20,FALSE)</f>
        <v>L</v>
      </c>
      <c r="Q566" s="447" t="s">
        <v>881</v>
      </c>
      <c r="S566" s="356">
        <f t="shared" si="49"/>
        <v>13022.79</v>
      </c>
    </row>
    <row r="567" spans="1:19" ht="14.1" customHeight="1">
      <c r="A567" s="72">
        <f t="shared" si="47"/>
        <v>567</v>
      </c>
      <c r="B567" s="50" t="s">
        <v>810</v>
      </c>
      <c r="C567" s="50" t="s">
        <v>830</v>
      </c>
      <c r="D567" s="427" t="s">
        <v>1033</v>
      </c>
      <c r="E567" s="426" t="s">
        <v>275</v>
      </c>
      <c r="F567" s="349" t="s">
        <v>314</v>
      </c>
      <c r="G567" s="86" t="s">
        <v>298</v>
      </c>
      <c r="H567" s="50" t="s">
        <v>241</v>
      </c>
      <c r="I567" s="86" t="s">
        <v>780</v>
      </c>
      <c r="J567" s="343">
        <v>62.1</v>
      </c>
      <c r="K567" s="351">
        <f t="shared" si="50"/>
        <v>201</v>
      </c>
      <c r="L567" s="352">
        <v>201</v>
      </c>
      <c r="M567" s="448" t="str">
        <f>IF(L567="nio","",VLOOKUP(L567,'3-Productie normen'!$B$31:$H$45,3,FALSE))</f>
        <v>5 x per week (40 weken + 1 Zomer refreshbeurt)</v>
      </c>
      <c r="N567" s="353" t="e">
        <f t="shared" si="48"/>
        <v>#DIV/0!</v>
      </c>
      <c r="O567" s="354">
        <f>IF(L567="nio",0,IF(L567&gt;0,VLOOKUP(H567,'3-Productie normen'!A:P,VLOOKUP(L567,'3-Productie normen'!$B$31:$C$45,2,FALSE),FALSE)))/VLOOKUP(B567,'2-Kosten per locatie'!$A$13:$D$36,4,FALSE)</f>
        <v>0</v>
      </c>
      <c r="P567" s="82" t="str">
        <f>VLOOKUP(H567,'3-Productie normen'!A:T,20,FALSE)</f>
        <v>L</v>
      </c>
      <c r="Q567" s="447" t="s">
        <v>881</v>
      </c>
      <c r="S567" s="356">
        <f t="shared" si="49"/>
        <v>12482.1</v>
      </c>
    </row>
    <row r="568" spans="1:19" ht="14.1" customHeight="1">
      <c r="A568" s="72">
        <f t="shared" si="47"/>
        <v>568</v>
      </c>
      <c r="B568" s="50" t="s">
        <v>810</v>
      </c>
      <c r="C568" s="50" t="s">
        <v>830</v>
      </c>
      <c r="D568" s="427" t="s">
        <v>1033</v>
      </c>
      <c r="E568" s="426" t="s">
        <v>275</v>
      </c>
      <c r="F568" s="349" t="s">
        <v>315</v>
      </c>
      <c r="G568" s="86" t="s">
        <v>209</v>
      </c>
      <c r="H568" s="63" t="s">
        <v>1040</v>
      </c>
      <c r="I568" s="86" t="s">
        <v>780</v>
      </c>
      <c r="J568" s="343">
        <v>1.85</v>
      </c>
      <c r="K568" s="351">
        <f t="shared" si="50"/>
        <v>12</v>
      </c>
      <c r="L568" s="352">
        <v>12</v>
      </c>
      <c r="M568" s="448" t="str">
        <f>IF(L568="nio","",VLOOKUP(L568,'3-Productie normen'!$B$31:$H$45,3,FALSE))</f>
        <v>1 x per maand</v>
      </c>
      <c r="N568" s="353" t="e">
        <f t="shared" si="48"/>
        <v>#DIV/0!</v>
      </c>
      <c r="O568" s="354">
        <f>IF(L568="nio",0,IF(L568&gt;0,VLOOKUP(H568,'3-Productie normen'!A:P,VLOOKUP(L568,'3-Productie normen'!$B$31:$C$45,2,FALSE),FALSE)))/VLOOKUP(B568,'2-Kosten per locatie'!$A$13:$D$36,4,FALSE)</f>
        <v>0</v>
      </c>
      <c r="P568" s="82" t="str">
        <f>VLOOKUP(H568,'3-Productie normen'!A:T,20,FALSE)</f>
        <v>V</v>
      </c>
      <c r="Q568" s="447" t="s">
        <v>792</v>
      </c>
      <c r="S568" s="356">
        <f t="shared" si="49"/>
        <v>22.200000000000003</v>
      </c>
    </row>
    <row r="569" spans="1:19" ht="14.1" customHeight="1">
      <c r="A569" s="72">
        <f t="shared" si="47"/>
        <v>569</v>
      </c>
      <c r="B569" s="50" t="s">
        <v>810</v>
      </c>
      <c r="C569" s="50" t="s">
        <v>830</v>
      </c>
      <c r="D569" s="427" t="s">
        <v>1033</v>
      </c>
      <c r="E569" s="426" t="s">
        <v>275</v>
      </c>
      <c r="F569" s="349" t="s">
        <v>316</v>
      </c>
      <c r="G569" s="86" t="s">
        <v>209</v>
      </c>
      <c r="H569" s="63" t="s">
        <v>1040</v>
      </c>
      <c r="I569" s="86" t="s">
        <v>92</v>
      </c>
      <c r="J569" s="343">
        <v>11.03</v>
      </c>
      <c r="K569" s="351">
        <f t="shared" si="50"/>
        <v>12</v>
      </c>
      <c r="L569" s="352">
        <v>12</v>
      </c>
      <c r="M569" s="448" t="str">
        <f>IF(L569="nio","",VLOOKUP(L569,'3-Productie normen'!$B$31:$H$45,3,FALSE))</f>
        <v>1 x per maand</v>
      </c>
      <c r="N569" s="353" t="e">
        <f t="shared" si="48"/>
        <v>#DIV/0!</v>
      </c>
      <c r="O569" s="354">
        <f>IF(L569="nio",0,IF(L569&gt;0,VLOOKUP(H569,'3-Productie normen'!A:P,VLOOKUP(L569,'3-Productie normen'!$B$31:$C$45,2,FALSE),FALSE)))/VLOOKUP(B569,'2-Kosten per locatie'!$A$13:$D$36,4,FALSE)</f>
        <v>0</v>
      </c>
      <c r="P569" s="82" t="str">
        <f>VLOOKUP(H569,'3-Productie normen'!A:T,20,FALSE)</f>
        <v>V</v>
      </c>
      <c r="Q569" s="447" t="s">
        <v>972</v>
      </c>
      <c r="S569" s="356">
        <f t="shared" si="49"/>
        <v>132.35999999999999</v>
      </c>
    </row>
    <row r="570" spans="1:19" ht="14.1" customHeight="1">
      <c r="A570" s="72">
        <f t="shared" si="47"/>
        <v>570</v>
      </c>
      <c r="B570" s="50" t="s">
        <v>810</v>
      </c>
      <c r="C570" s="50" t="s">
        <v>830</v>
      </c>
      <c r="D570" s="427" t="s">
        <v>1033</v>
      </c>
      <c r="E570" s="426" t="s">
        <v>275</v>
      </c>
      <c r="F570" s="349" t="s">
        <v>317</v>
      </c>
      <c r="G570" s="86" t="s">
        <v>209</v>
      </c>
      <c r="H570" s="63" t="s">
        <v>1040</v>
      </c>
      <c r="I570" s="86" t="s">
        <v>92</v>
      </c>
      <c r="J570" s="343">
        <v>10.98</v>
      </c>
      <c r="K570" s="351">
        <f t="shared" si="50"/>
        <v>12</v>
      </c>
      <c r="L570" s="352">
        <v>12</v>
      </c>
      <c r="M570" s="448" t="str">
        <f>IF(L570="nio","",VLOOKUP(L570,'3-Productie normen'!$B$31:$H$45,3,FALSE))</f>
        <v>1 x per maand</v>
      </c>
      <c r="N570" s="353" t="e">
        <f t="shared" si="48"/>
        <v>#DIV/0!</v>
      </c>
      <c r="O570" s="354">
        <f>IF(L570="nio",0,IF(L570&gt;0,VLOOKUP(H570,'3-Productie normen'!A:P,VLOOKUP(L570,'3-Productie normen'!$B$31:$C$45,2,FALSE),FALSE)))/VLOOKUP(B570,'2-Kosten per locatie'!$A$13:$D$36,4,FALSE)</f>
        <v>0</v>
      </c>
      <c r="P570" s="82" t="str">
        <f>VLOOKUP(H570,'3-Productie normen'!A:T,20,FALSE)</f>
        <v>V</v>
      </c>
      <c r="Q570" s="447" t="s">
        <v>972</v>
      </c>
      <c r="S570" s="356">
        <f t="shared" si="49"/>
        <v>131.76</v>
      </c>
    </row>
    <row r="571" spans="1:19" ht="14.1" customHeight="1">
      <c r="A571" s="72">
        <f t="shared" si="47"/>
        <v>571</v>
      </c>
      <c r="B571" s="51" t="s">
        <v>811</v>
      </c>
      <c r="C571" s="50" t="s">
        <v>1076</v>
      </c>
      <c r="D571" s="427" t="s">
        <v>1034</v>
      </c>
      <c r="E571" s="426" t="s">
        <v>612</v>
      </c>
      <c r="F571" s="349" t="s">
        <v>1077</v>
      </c>
      <c r="G571" s="86" t="s">
        <v>256</v>
      </c>
      <c r="H571" s="65" t="s">
        <v>731</v>
      </c>
      <c r="I571" s="86" t="s">
        <v>780</v>
      </c>
      <c r="J571" s="343">
        <v>58.6</v>
      </c>
      <c r="K571" s="351">
        <f>L571</f>
        <v>255</v>
      </c>
      <c r="L571" s="352">
        <v>255</v>
      </c>
      <c r="M571" s="448" t="str">
        <f>IF(L571="nio","",VLOOKUP(L571,'3-Productie normen'!$B$31:$H$45,3,FALSE))</f>
        <v>5 x per week (52 weken)</v>
      </c>
      <c r="N571" s="353" t="e">
        <f t="shared" si="48"/>
        <v>#DIV/0!</v>
      </c>
      <c r="O571" s="354">
        <f>IF(L571="nio",0,IF(L571&gt;0,VLOOKUP(H571,'3-Productie normen'!A:P,VLOOKUP(L571,'3-Productie normen'!$B$31:$C$45,2,FALSE),FALSE)))/VLOOKUP(B571,'2-Kosten per locatie'!$A$13:$D$36,4,FALSE)</f>
        <v>0</v>
      </c>
      <c r="P571" s="82" t="str">
        <f>VLOOKUP(H571,'3-Productie normen'!A:T,20,FALSE)</f>
        <v>V</v>
      </c>
      <c r="Q571" s="447"/>
      <c r="S571" s="356">
        <f t="shared" si="49"/>
        <v>14943</v>
      </c>
    </row>
    <row r="572" spans="1:19" ht="14.1" customHeight="1">
      <c r="A572" s="72">
        <f t="shared" si="47"/>
        <v>572</v>
      </c>
      <c r="B572" s="50" t="s">
        <v>811</v>
      </c>
      <c r="C572" s="50" t="s">
        <v>1076</v>
      </c>
      <c r="D572" s="427" t="s">
        <v>1034</v>
      </c>
      <c r="E572" s="426" t="s">
        <v>612</v>
      </c>
      <c r="F572" s="349" t="s">
        <v>1078</v>
      </c>
      <c r="G572" s="86" t="s">
        <v>256</v>
      </c>
      <c r="H572" s="65" t="s">
        <v>731</v>
      </c>
      <c r="I572" s="86" t="s">
        <v>780</v>
      </c>
      <c r="J572" s="343">
        <v>58.6</v>
      </c>
      <c r="K572" s="351">
        <f t="shared" si="50"/>
        <v>255</v>
      </c>
      <c r="L572" s="352">
        <v>255</v>
      </c>
      <c r="M572" s="448" t="str">
        <f>IF(L572="nio","",VLOOKUP(L572,'3-Productie normen'!$B$31:$H$45,3,FALSE))</f>
        <v>5 x per week (52 weken)</v>
      </c>
      <c r="N572" s="353" t="e">
        <f t="shared" si="48"/>
        <v>#DIV/0!</v>
      </c>
      <c r="O572" s="354">
        <f>IF(L572="nio",0,IF(L572&gt;0,VLOOKUP(H572,'3-Productie normen'!A:P,VLOOKUP(L572,'3-Productie normen'!$B$31:$C$45,2,FALSE),FALSE)))/VLOOKUP(B572,'2-Kosten per locatie'!$A$13:$D$36,4,FALSE)</f>
        <v>0</v>
      </c>
      <c r="P572" s="82" t="str">
        <f>VLOOKUP(H572,'3-Productie normen'!A:T,20,FALSE)</f>
        <v>V</v>
      </c>
      <c r="Q572" s="447"/>
      <c r="S572" s="356">
        <f t="shared" si="49"/>
        <v>14943</v>
      </c>
    </row>
    <row r="573" spans="1:19" ht="14.1" customHeight="1">
      <c r="A573" s="72">
        <f t="shared" si="47"/>
        <v>573</v>
      </c>
      <c r="B573" s="50" t="s">
        <v>811</v>
      </c>
      <c r="C573" s="50" t="s">
        <v>1076</v>
      </c>
      <c r="D573" s="427" t="s">
        <v>1034</v>
      </c>
      <c r="E573" s="426" t="s">
        <v>612</v>
      </c>
      <c r="F573" s="349" t="s">
        <v>1079</v>
      </c>
      <c r="G573" s="86" t="s">
        <v>404</v>
      </c>
      <c r="H573" s="65" t="s">
        <v>731</v>
      </c>
      <c r="I573" s="86" t="s">
        <v>780</v>
      </c>
      <c r="J573" s="343">
        <v>11.9</v>
      </c>
      <c r="K573" s="351">
        <f t="shared" si="50"/>
        <v>255</v>
      </c>
      <c r="L573" s="352">
        <v>255</v>
      </c>
      <c r="M573" s="448" t="str">
        <f>IF(L573="nio","",VLOOKUP(L573,'3-Productie normen'!$B$31:$H$45,3,FALSE))</f>
        <v>5 x per week (52 weken)</v>
      </c>
      <c r="N573" s="353" t="e">
        <f t="shared" si="48"/>
        <v>#DIV/0!</v>
      </c>
      <c r="O573" s="354">
        <f>IF(L573="nio",0,IF(L573&gt;0,VLOOKUP(H573,'3-Productie normen'!A:P,VLOOKUP(L573,'3-Productie normen'!$B$31:$C$45,2,FALSE),FALSE)))/VLOOKUP(B573,'2-Kosten per locatie'!$A$13:$D$36,4,FALSE)</f>
        <v>0</v>
      </c>
      <c r="P573" s="82" t="str">
        <f>VLOOKUP(H573,'3-Productie normen'!A:T,20,FALSE)</f>
        <v>V</v>
      </c>
      <c r="Q573" s="447"/>
      <c r="S573" s="356">
        <f t="shared" si="49"/>
        <v>3034.5</v>
      </c>
    </row>
    <row r="574" spans="1:19" ht="14.1" customHeight="1">
      <c r="A574" s="72">
        <f t="shared" si="47"/>
        <v>574</v>
      </c>
      <c r="B574" s="50" t="s">
        <v>811</v>
      </c>
      <c r="C574" s="50" t="s">
        <v>1076</v>
      </c>
      <c r="D574" s="427" t="s">
        <v>1034</v>
      </c>
      <c r="E574" s="426" t="s">
        <v>612</v>
      </c>
      <c r="F574" s="349" t="s">
        <v>624</v>
      </c>
      <c r="G574" s="86" t="s">
        <v>226</v>
      </c>
      <c r="H574" s="65" t="s">
        <v>16</v>
      </c>
      <c r="I574" s="86" t="s">
        <v>91</v>
      </c>
      <c r="J574" s="343">
        <v>6.84</v>
      </c>
      <c r="K574" s="351">
        <f t="shared" si="50"/>
        <v>255</v>
      </c>
      <c r="L574" s="352">
        <v>255</v>
      </c>
      <c r="M574" s="448" t="str">
        <f>IF(L574="nio","",VLOOKUP(L574,'3-Productie normen'!$B$31:$H$45,3,FALSE))</f>
        <v>5 x per week (52 weken)</v>
      </c>
      <c r="N574" s="353" t="e">
        <f t="shared" si="48"/>
        <v>#DIV/0!</v>
      </c>
      <c r="O574" s="354">
        <f>IF(L574="nio",0,IF(L574&gt;0,VLOOKUP(H574,'3-Productie normen'!A:P,VLOOKUP(L574,'3-Productie normen'!$B$31:$C$45,2,FALSE),FALSE)))/VLOOKUP(B574,'2-Kosten per locatie'!$A$13:$D$36,4,FALSE)</f>
        <v>0</v>
      </c>
      <c r="P574" s="82" t="str">
        <f>VLOOKUP(H574,'3-Productie normen'!A:T,20,FALSE)</f>
        <v>S</v>
      </c>
      <c r="Q574" s="447"/>
      <c r="S574" s="356">
        <f t="shared" si="49"/>
        <v>1744.2</v>
      </c>
    </row>
    <row r="575" spans="1:19" ht="14.1" customHeight="1">
      <c r="A575" s="72">
        <f t="shared" si="47"/>
        <v>575</v>
      </c>
      <c r="B575" s="50" t="s">
        <v>811</v>
      </c>
      <c r="C575" s="50" t="s">
        <v>1076</v>
      </c>
      <c r="D575" s="427" t="s">
        <v>1034</v>
      </c>
      <c r="E575" s="426" t="s">
        <v>612</v>
      </c>
      <c r="F575" s="349" t="s">
        <v>1080</v>
      </c>
      <c r="G575" s="86" t="s">
        <v>199</v>
      </c>
      <c r="H575" s="65" t="s">
        <v>198</v>
      </c>
      <c r="I575" s="86" t="s">
        <v>780</v>
      </c>
      <c r="J575" s="343">
        <v>21.9</v>
      </c>
      <c r="K575" s="351">
        <f t="shared" si="50"/>
        <v>255</v>
      </c>
      <c r="L575" s="352">
        <v>255</v>
      </c>
      <c r="M575" s="448" t="str">
        <f>IF(L575="nio","",VLOOKUP(L575,'3-Productie normen'!$B$31:$H$45,3,FALSE))</f>
        <v>5 x per week (52 weken)</v>
      </c>
      <c r="N575" s="353" t="e">
        <f t="shared" si="48"/>
        <v>#DIV/0!</v>
      </c>
      <c r="O575" s="354">
        <f>IF(L575="nio",0,IF(L575&gt;0,VLOOKUP(H575,'3-Productie normen'!A:P,VLOOKUP(L575,'3-Productie normen'!$B$31:$C$45,2,FALSE),FALSE)))/VLOOKUP(B575,'2-Kosten per locatie'!$A$13:$D$36,4,FALSE)</f>
        <v>0</v>
      </c>
      <c r="P575" s="82" t="str">
        <f>VLOOKUP(H575,'3-Productie normen'!A:T,20,FALSE)</f>
        <v>V</v>
      </c>
      <c r="Q575" s="447"/>
      <c r="S575" s="356"/>
    </row>
    <row r="576" spans="1:19" ht="14.1" customHeight="1">
      <c r="A576" s="72">
        <f t="shared" si="47"/>
        <v>576</v>
      </c>
      <c r="B576" s="50" t="s">
        <v>811</v>
      </c>
      <c r="C576" s="50" t="s">
        <v>1076</v>
      </c>
      <c r="D576" s="427" t="s">
        <v>1034</v>
      </c>
      <c r="E576" s="426" t="s">
        <v>612</v>
      </c>
      <c r="F576" s="349" t="s">
        <v>1081</v>
      </c>
      <c r="G576" s="86" t="s">
        <v>201</v>
      </c>
      <c r="H576" s="65" t="s">
        <v>198</v>
      </c>
      <c r="I576" s="86" t="s">
        <v>780</v>
      </c>
      <c r="J576" s="343">
        <v>77.8</v>
      </c>
      <c r="K576" s="351">
        <f t="shared" si="50"/>
        <v>255</v>
      </c>
      <c r="L576" s="352">
        <v>255</v>
      </c>
      <c r="M576" s="448" t="str">
        <f>IF(L576="nio","",VLOOKUP(L576,'3-Productie normen'!$B$31:$H$45,3,FALSE))</f>
        <v>5 x per week (52 weken)</v>
      </c>
      <c r="N576" s="353" t="e">
        <f t="shared" si="48"/>
        <v>#DIV/0!</v>
      </c>
      <c r="O576" s="354">
        <f>IF(L576="nio",0,IF(L576&gt;0,VLOOKUP(H576,'3-Productie normen'!A:P,VLOOKUP(L576,'3-Productie normen'!$B$31:$C$45,2,FALSE),FALSE)))/VLOOKUP(B576,'2-Kosten per locatie'!$A$13:$D$36,4,FALSE)</f>
        <v>0</v>
      </c>
      <c r="P576" s="82" t="str">
        <f>VLOOKUP(H576,'3-Productie normen'!A:T,20,FALSE)</f>
        <v>V</v>
      </c>
      <c r="Q576" s="447" t="s">
        <v>1082</v>
      </c>
      <c r="S576" s="356"/>
    </row>
    <row r="577" spans="1:19" ht="14.1" customHeight="1">
      <c r="A577" s="72">
        <f t="shared" si="47"/>
        <v>577</v>
      </c>
      <c r="B577" s="50" t="s">
        <v>811</v>
      </c>
      <c r="C577" s="50" t="s">
        <v>1076</v>
      </c>
      <c r="D577" s="427" t="s">
        <v>1034</v>
      </c>
      <c r="E577" s="426" t="s">
        <v>612</v>
      </c>
      <c r="F577" s="349" t="s">
        <v>1083</v>
      </c>
      <c r="G577" s="86" t="s">
        <v>239</v>
      </c>
      <c r="H577" s="65" t="s">
        <v>731</v>
      </c>
      <c r="I577" s="86" t="s">
        <v>780</v>
      </c>
      <c r="J577" s="343">
        <v>58.6</v>
      </c>
      <c r="K577" s="351">
        <f t="shared" si="50"/>
        <v>36</v>
      </c>
      <c r="L577" s="352">
        <v>36</v>
      </c>
      <c r="M577" s="448" t="str">
        <f>IF(L577="nio","",VLOOKUP(L577,'3-Productie normen'!$B$31:$H$45,3,FALSE))</f>
        <v>3x per week (alleen vakantieweken)</v>
      </c>
      <c r="N577" s="353" t="e">
        <f t="shared" si="48"/>
        <v>#DIV/0!</v>
      </c>
      <c r="O577" s="354">
        <f>IF(L577="nio",0,IF(L577&gt;0,VLOOKUP(H577,'3-Productie normen'!A:P,VLOOKUP(L577,'3-Productie normen'!$B$31:$C$45,2,FALSE),FALSE)))/VLOOKUP(B577,'2-Kosten per locatie'!$A$13:$D$36,4,FALSE)</f>
        <v>0</v>
      </c>
      <c r="P577" s="82" t="str">
        <f>VLOOKUP(H577,'3-Productie normen'!A:T,20,FALSE)</f>
        <v>V</v>
      </c>
      <c r="Q577" s="447"/>
      <c r="S577" s="356"/>
    </row>
    <row r="578" spans="1:19" ht="14.1" customHeight="1">
      <c r="A578" s="72">
        <f t="shared" si="47"/>
        <v>578</v>
      </c>
      <c r="B578" s="50" t="s">
        <v>811</v>
      </c>
      <c r="C578" s="50" t="s">
        <v>1076</v>
      </c>
      <c r="D578" s="427" t="s">
        <v>1034</v>
      </c>
      <c r="E578" s="426" t="s">
        <v>612</v>
      </c>
      <c r="F578" s="349" t="s">
        <v>1084</v>
      </c>
      <c r="G578" s="86" t="s">
        <v>1085</v>
      </c>
      <c r="H578" s="65" t="s">
        <v>16</v>
      </c>
      <c r="I578" s="86" t="s">
        <v>91</v>
      </c>
      <c r="J578" s="343">
        <v>4.32</v>
      </c>
      <c r="K578" s="351">
        <f t="shared" si="50"/>
        <v>36</v>
      </c>
      <c r="L578" s="352">
        <v>36</v>
      </c>
      <c r="M578" s="448" t="str">
        <f>IF(L578="nio","",VLOOKUP(L578,'3-Productie normen'!$B$31:$H$45,3,FALSE))</f>
        <v>3x per week (alleen vakantieweken)</v>
      </c>
      <c r="N578" s="353" t="e">
        <f t="shared" si="48"/>
        <v>#DIV/0!</v>
      </c>
      <c r="O578" s="354">
        <f>IF(L578="nio",0,IF(L578&gt;0,VLOOKUP(H578,'3-Productie normen'!A:P,VLOOKUP(L578,'3-Productie normen'!$B$31:$C$45,2,FALSE),FALSE)))/VLOOKUP(B578,'2-Kosten per locatie'!$A$13:$D$36,4,FALSE)</f>
        <v>0</v>
      </c>
      <c r="P578" s="82" t="str">
        <f>VLOOKUP(H578,'3-Productie normen'!A:T,20,FALSE)</f>
        <v>S</v>
      </c>
      <c r="Q578" s="447"/>
      <c r="S578" s="356"/>
    </row>
    <row r="579" spans="1:19" ht="14.1" customHeight="1">
      <c r="A579" s="72">
        <f t="shared" si="47"/>
        <v>579</v>
      </c>
      <c r="B579" s="50" t="s">
        <v>811</v>
      </c>
      <c r="C579" s="50" t="s">
        <v>1076</v>
      </c>
      <c r="D579" s="427" t="s">
        <v>1034</v>
      </c>
      <c r="E579" s="426" t="s">
        <v>612</v>
      </c>
      <c r="F579" s="349"/>
      <c r="G579" s="86" t="s">
        <v>226</v>
      </c>
      <c r="H579" s="65" t="s">
        <v>16</v>
      </c>
      <c r="I579" s="86" t="s">
        <v>91</v>
      </c>
      <c r="J579" s="343">
        <v>9.26</v>
      </c>
      <c r="K579" s="351">
        <f t="shared" si="50"/>
        <v>36</v>
      </c>
      <c r="L579" s="352">
        <v>36</v>
      </c>
      <c r="M579" s="448" t="str">
        <f>IF(L579="nio","",VLOOKUP(L579,'3-Productie normen'!$B$31:$H$45,3,FALSE))</f>
        <v>3x per week (alleen vakantieweken)</v>
      </c>
      <c r="N579" s="353" t="e">
        <f t="shared" si="48"/>
        <v>#DIV/0!</v>
      </c>
      <c r="O579" s="354">
        <f>IF(L579="nio",0,IF(L579&gt;0,VLOOKUP(H579,'3-Productie normen'!A:P,VLOOKUP(L579,'3-Productie normen'!$B$31:$C$45,2,FALSE),FALSE)))/VLOOKUP(B579,'2-Kosten per locatie'!$A$13:$D$36,4,FALSE)</f>
        <v>0</v>
      </c>
      <c r="P579" s="82" t="str">
        <f>VLOOKUP(H579,'3-Productie normen'!A:T,20,FALSE)</f>
        <v>S</v>
      </c>
      <c r="Q579" s="447" t="s">
        <v>1086</v>
      </c>
      <c r="S579" s="356"/>
    </row>
    <row r="580" spans="1:19" ht="14.1" customHeight="1">
      <c r="A580" s="72">
        <f t="shared" si="47"/>
        <v>580</v>
      </c>
      <c r="B580" s="50" t="s">
        <v>812</v>
      </c>
      <c r="C580" s="50" t="s">
        <v>831</v>
      </c>
      <c r="D580" s="427" t="s">
        <v>1033</v>
      </c>
      <c r="E580" s="426" t="s">
        <v>612</v>
      </c>
      <c r="F580" s="349" t="s">
        <v>197</v>
      </c>
      <c r="G580" s="86" t="s">
        <v>199</v>
      </c>
      <c r="H580" s="432" t="s">
        <v>198</v>
      </c>
      <c r="I580" s="86" t="s">
        <v>779</v>
      </c>
      <c r="J580" s="343">
        <v>10.97</v>
      </c>
      <c r="K580" s="351">
        <f t="shared" ref="K580:K635" si="51">L580</f>
        <v>200</v>
      </c>
      <c r="L580" s="352">
        <v>200</v>
      </c>
      <c r="M580" s="448" t="str">
        <f>IF(L580="nio","",VLOOKUP(L580,'3-Productie normen'!$B$31:$H$45,3,FALSE))</f>
        <v>5 x per week (40 weken)</v>
      </c>
      <c r="N580" s="353" t="e">
        <f t="shared" ref="N580:N629" si="52">IF(L580="nio",0,IF(L580&gt;0,L580*J580/O580,0))</f>
        <v>#DIV/0!</v>
      </c>
      <c r="O580" s="354">
        <f>IF(L580="nio",0,IF(L580&gt;0,VLOOKUP(H580,'3-Productie normen'!A:P,VLOOKUP(L580,'3-Productie normen'!$B$31:$C$45,2,FALSE),FALSE)))/VLOOKUP(B580,'2-Kosten per locatie'!$A$13:$D$36,4,FALSE)</f>
        <v>0</v>
      </c>
      <c r="P580" s="82" t="str">
        <f>VLOOKUP(H580,'3-Productie normen'!A:T,20,FALSE)</f>
        <v>V</v>
      </c>
      <c r="Q580" s="447" t="s">
        <v>878</v>
      </c>
      <c r="S580" s="356">
        <f t="shared" ref="S580:S589" si="53">IF(L580="nio",0,K580*J580)</f>
        <v>2194</v>
      </c>
    </row>
    <row r="581" spans="1:19" ht="14.1" customHeight="1">
      <c r="A581" s="72">
        <f t="shared" si="47"/>
        <v>581</v>
      </c>
      <c r="B581" s="50" t="s">
        <v>812</v>
      </c>
      <c r="C581" s="50" t="s">
        <v>831</v>
      </c>
      <c r="D581" s="427" t="s">
        <v>1033</v>
      </c>
      <c r="E581" s="426" t="s">
        <v>612</v>
      </c>
      <c r="F581" s="349" t="s">
        <v>200</v>
      </c>
      <c r="G581" s="86" t="s">
        <v>242</v>
      </c>
      <c r="H581" s="86" t="s">
        <v>241</v>
      </c>
      <c r="I581" s="86" t="s">
        <v>780</v>
      </c>
      <c r="J581" s="343">
        <v>65.66</v>
      </c>
      <c r="K581" s="351">
        <f t="shared" si="51"/>
        <v>201</v>
      </c>
      <c r="L581" s="352">
        <v>201</v>
      </c>
      <c r="M581" s="448" t="str">
        <f>IF(L581="nio","",VLOOKUP(L581,'3-Productie normen'!$B$31:$H$45,3,FALSE))</f>
        <v>5 x per week (40 weken + 1 Zomer refreshbeurt)</v>
      </c>
      <c r="N581" s="353" t="e">
        <f t="shared" si="52"/>
        <v>#DIV/0!</v>
      </c>
      <c r="O581" s="354">
        <f>IF(L581="nio",0,IF(L581&gt;0,VLOOKUP(H581,'3-Productie normen'!A:P,VLOOKUP(L581,'3-Productie normen'!$B$31:$C$45,2,FALSE),FALSE)))/VLOOKUP(B581,'2-Kosten per locatie'!$A$13:$D$36,4,FALSE)</f>
        <v>0</v>
      </c>
      <c r="P581" s="82" t="str">
        <f>VLOOKUP(H581,'3-Productie normen'!A:T,20,FALSE)</f>
        <v>L</v>
      </c>
      <c r="Q581" s="447" t="s">
        <v>792</v>
      </c>
      <c r="S581" s="356">
        <f t="shared" si="53"/>
        <v>13197.66</v>
      </c>
    </row>
    <row r="582" spans="1:19" ht="14.1" customHeight="1">
      <c r="A582" s="72">
        <f t="shared" si="47"/>
        <v>582</v>
      </c>
      <c r="B582" s="50" t="s">
        <v>812</v>
      </c>
      <c r="C582" s="50" t="s">
        <v>831</v>
      </c>
      <c r="D582" s="427" t="s">
        <v>1033</v>
      </c>
      <c r="E582" s="426" t="s">
        <v>612</v>
      </c>
      <c r="F582" s="349" t="s">
        <v>202</v>
      </c>
      <c r="G582" s="86" t="s">
        <v>419</v>
      </c>
      <c r="H582" s="432" t="s">
        <v>198</v>
      </c>
      <c r="I582" s="86" t="s">
        <v>780</v>
      </c>
      <c r="J582" s="343">
        <v>5.4000000953674299</v>
      </c>
      <c r="K582" s="351">
        <f t="shared" si="51"/>
        <v>200</v>
      </c>
      <c r="L582" s="352">
        <v>200</v>
      </c>
      <c r="M582" s="448" t="str">
        <f>IF(L582="nio","",VLOOKUP(L582,'3-Productie normen'!$B$31:$H$45,3,FALSE))</f>
        <v>5 x per week (40 weken)</v>
      </c>
      <c r="N582" s="353" t="e">
        <f t="shared" si="52"/>
        <v>#DIV/0!</v>
      </c>
      <c r="O582" s="354">
        <f>IF(L582="nio",0,IF(L582&gt;0,VLOOKUP(H582,'3-Productie normen'!A:P,VLOOKUP(L582,'3-Productie normen'!$B$31:$C$45,2,FALSE),FALSE)))/VLOOKUP(B582,'2-Kosten per locatie'!$A$13:$D$36,4,FALSE)</f>
        <v>0</v>
      </c>
      <c r="P582" s="82" t="str">
        <f>VLOOKUP(H582,'3-Productie normen'!A:T,20,FALSE)</f>
        <v>V</v>
      </c>
      <c r="Q582" s="447" t="s">
        <v>792</v>
      </c>
      <c r="S582" s="356">
        <f t="shared" si="53"/>
        <v>1080.0000190734859</v>
      </c>
    </row>
    <row r="583" spans="1:19" ht="14.1" customHeight="1">
      <c r="A583" s="72">
        <f t="shared" si="47"/>
        <v>583</v>
      </c>
      <c r="B583" s="50" t="s">
        <v>812</v>
      </c>
      <c r="C583" s="50" t="s">
        <v>831</v>
      </c>
      <c r="D583" s="427" t="s">
        <v>1033</v>
      </c>
      <c r="E583" s="426" t="s">
        <v>612</v>
      </c>
      <c r="F583" s="349" t="s">
        <v>626</v>
      </c>
      <c r="G583" s="86" t="s">
        <v>226</v>
      </c>
      <c r="H583" s="50" t="s">
        <v>16</v>
      </c>
      <c r="I583" s="86" t="s">
        <v>781</v>
      </c>
      <c r="J583" s="343">
        <v>4.3600000000000003</v>
      </c>
      <c r="K583" s="351">
        <f t="shared" si="51"/>
        <v>201</v>
      </c>
      <c r="L583" s="352">
        <v>201</v>
      </c>
      <c r="M583" s="448" t="str">
        <f>IF(L583="nio","",VLOOKUP(L583,'3-Productie normen'!$B$31:$H$45,3,FALSE))</f>
        <v>5 x per week (40 weken + 1 Zomer refreshbeurt)</v>
      </c>
      <c r="N583" s="353" t="e">
        <f t="shared" si="52"/>
        <v>#DIV/0!</v>
      </c>
      <c r="O583" s="354">
        <f>IF(L583="nio",0,IF(L583&gt;0,VLOOKUP(H583,'3-Productie normen'!A:P,VLOOKUP(L583,'3-Productie normen'!$B$31:$C$45,2,FALSE),FALSE)))/VLOOKUP(B583,'2-Kosten per locatie'!$A$13:$D$36,4,FALSE)</f>
        <v>0</v>
      </c>
      <c r="P583" s="82" t="str">
        <f>VLOOKUP(H583,'3-Productie normen'!A:T,20,FALSE)</f>
        <v>S</v>
      </c>
      <c r="Q583" s="447" t="s">
        <v>855</v>
      </c>
      <c r="S583" s="356">
        <f t="shared" si="53"/>
        <v>876.36</v>
      </c>
    </row>
    <row r="584" spans="1:19" ht="14.1" customHeight="1">
      <c r="A584" s="72">
        <f t="shared" si="47"/>
        <v>584</v>
      </c>
      <c r="B584" s="50" t="s">
        <v>812</v>
      </c>
      <c r="C584" s="50" t="s">
        <v>831</v>
      </c>
      <c r="D584" s="427" t="s">
        <v>1033</v>
      </c>
      <c r="E584" s="426" t="s">
        <v>612</v>
      </c>
      <c r="F584" s="349" t="s">
        <v>208</v>
      </c>
      <c r="G584" s="86" t="s">
        <v>209</v>
      </c>
      <c r="H584" s="63" t="s">
        <v>1040</v>
      </c>
      <c r="I584" s="86" t="s">
        <v>780</v>
      </c>
      <c r="J584" s="343">
        <v>6.86</v>
      </c>
      <c r="K584" s="351">
        <f t="shared" si="51"/>
        <v>12</v>
      </c>
      <c r="L584" s="352">
        <v>12</v>
      </c>
      <c r="M584" s="448" t="str">
        <f>IF(L584="nio","",VLOOKUP(L584,'3-Productie normen'!$B$31:$H$45,3,FALSE))</f>
        <v>1 x per maand</v>
      </c>
      <c r="N584" s="353" t="e">
        <f t="shared" si="52"/>
        <v>#DIV/0!</v>
      </c>
      <c r="O584" s="354">
        <f>IF(L584="nio",0,IF(L584&gt;0,VLOOKUP(H584,'3-Productie normen'!A:P,VLOOKUP(L584,'3-Productie normen'!$B$31:$C$45,2,FALSE),FALSE)))/VLOOKUP(B584,'2-Kosten per locatie'!$A$13:$D$36,4,FALSE)</f>
        <v>0</v>
      </c>
      <c r="P584" s="82" t="str">
        <f>VLOOKUP(H584,'3-Productie normen'!A:T,20,FALSE)</f>
        <v>V</v>
      </c>
      <c r="Q584" s="447" t="s">
        <v>792</v>
      </c>
      <c r="S584" s="356">
        <f t="shared" si="53"/>
        <v>82.320000000000007</v>
      </c>
    </row>
    <row r="585" spans="1:19" ht="14.1" customHeight="1">
      <c r="A585" s="72">
        <f t="shared" si="47"/>
        <v>585</v>
      </c>
      <c r="B585" s="50" t="s">
        <v>812</v>
      </c>
      <c r="C585" s="50" t="s">
        <v>831</v>
      </c>
      <c r="D585" s="427" t="s">
        <v>1033</v>
      </c>
      <c r="E585" s="426" t="s">
        <v>612</v>
      </c>
      <c r="F585" s="349" t="s">
        <v>210</v>
      </c>
      <c r="G585" s="86" t="s">
        <v>222</v>
      </c>
      <c r="H585" s="86" t="s">
        <v>16</v>
      </c>
      <c r="I585" s="86" t="s">
        <v>781</v>
      </c>
      <c r="J585" s="343">
        <v>3.66</v>
      </c>
      <c r="K585" s="351">
        <f t="shared" si="51"/>
        <v>201</v>
      </c>
      <c r="L585" s="352">
        <v>201</v>
      </c>
      <c r="M585" s="448" t="str">
        <f>IF(L585="nio","",VLOOKUP(L585,'3-Productie normen'!$B$31:$H$45,3,FALSE))</f>
        <v>5 x per week (40 weken + 1 Zomer refreshbeurt)</v>
      </c>
      <c r="N585" s="353" t="e">
        <f t="shared" si="52"/>
        <v>#DIV/0!</v>
      </c>
      <c r="O585" s="354">
        <f>IF(L585="nio",0,IF(L585&gt;0,VLOOKUP(H585,'3-Productie normen'!A:P,VLOOKUP(L585,'3-Productie normen'!$B$31:$C$45,2,FALSE),FALSE)))/VLOOKUP(B585,'2-Kosten per locatie'!$A$13:$D$36,4,FALSE)</f>
        <v>0</v>
      </c>
      <c r="P585" s="82" t="str">
        <f>VLOOKUP(H585,'3-Productie normen'!A:T,20,FALSE)</f>
        <v>S</v>
      </c>
      <c r="Q585" s="447" t="s">
        <v>857</v>
      </c>
      <c r="S585" s="356">
        <f t="shared" si="53"/>
        <v>735.66000000000008</v>
      </c>
    </row>
    <row r="586" spans="1:19" ht="14.1" customHeight="1">
      <c r="A586" s="72">
        <f t="shared" si="47"/>
        <v>586</v>
      </c>
      <c r="B586" s="50" t="s">
        <v>812</v>
      </c>
      <c r="C586" s="50" t="s">
        <v>831</v>
      </c>
      <c r="D586" s="427" t="s">
        <v>1033</v>
      </c>
      <c r="E586" s="426" t="s">
        <v>612</v>
      </c>
      <c r="F586" s="349" t="s">
        <v>211</v>
      </c>
      <c r="G586" s="86" t="s">
        <v>222</v>
      </c>
      <c r="H586" s="86" t="s">
        <v>16</v>
      </c>
      <c r="I586" s="86" t="s">
        <v>781</v>
      </c>
      <c r="J586" s="343">
        <v>2.02</v>
      </c>
      <c r="K586" s="351">
        <f t="shared" si="51"/>
        <v>201</v>
      </c>
      <c r="L586" s="352">
        <v>201</v>
      </c>
      <c r="M586" s="448" t="str">
        <f>IF(L586="nio","",VLOOKUP(L586,'3-Productie normen'!$B$31:$H$45,3,FALSE))</f>
        <v>5 x per week (40 weken + 1 Zomer refreshbeurt)</v>
      </c>
      <c r="N586" s="353" t="e">
        <f t="shared" si="52"/>
        <v>#DIV/0!</v>
      </c>
      <c r="O586" s="354">
        <f>IF(L586="nio",0,IF(L586&gt;0,VLOOKUP(H586,'3-Productie normen'!A:P,VLOOKUP(L586,'3-Productie normen'!$B$31:$C$45,2,FALSE),FALSE)))/VLOOKUP(B586,'2-Kosten per locatie'!$A$13:$D$36,4,FALSE)</f>
        <v>0</v>
      </c>
      <c r="P586" s="82" t="str">
        <f>VLOOKUP(H586,'3-Productie normen'!A:T,20,FALSE)</f>
        <v>S</v>
      </c>
      <c r="Q586" s="447" t="s">
        <v>857</v>
      </c>
      <c r="S586" s="356">
        <f t="shared" si="53"/>
        <v>406.02</v>
      </c>
    </row>
    <row r="587" spans="1:19" ht="14.1" customHeight="1">
      <c r="A587" s="72">
        <f t="shared" ref="A587:A650" si="54">A586+1</f>
        <v>587</v>
      </c>
      <c r="B587" s="50" t="s">
        <v>812</v>
      </c>
      <c r="C587" s="50" t="s">
        <v>831</v>
      </c>
      <c r="D587" s="427" t="s">
        <v>1033</v>
      </c>
      <c r="E587" s="426" t="s">
        <v>612</v>
      </c>
      <c r="F587" s="349" t="s">
        <v>213</v>
      </c>
      <c r="G587" s="86" t="s">
        <v>215</v>
      </c>
      <c r="H587" s="63" t="s">
        <v>1040</v>
      </c>
      <c r="I587" s="86" t="s">
        <v>781</v>
      </c>
      <c r="J587" s="343">
        <v>2.02</v>
      </c>
      <c r="K587" s="351">
        <f t="shared" si="51"/>
        <v>12</v>
      </c>
      <c r="L587" s="352">
        <v>12</v>
      </c>
      <c r="M587" s="448" t="str">
        <f>IF(L587="nio","",VLOOKUP(L587,'3-Productie normen'!$B$31:$H$45,3,FALSE))</f>
        <v>1 x per maand</v>
      </c>
      <c r="N587" s="353" t="e">
        <f t="shared" si="52"/>
        <v>#DIV/0!</v>
      </c>
      <c r="O587" s="354">
        <f>IF(L587="nio",0,IF(L587&gt;0,VLOOKUP(H587,'3-Productie normen'!A:P,VLOOKUP(L587,'3-Productie normen'!$B$31:$C$45,2,FALSE),FALSE)))/VLOOKUP(B587,'2-Kosten per locatie'!$A$13:$D$36,4,FALSE)</f>
        <v>0</v>
      </c>
      <c r="P587" s="82" t="str">
        <f>VLOOKUP(H587,'3-Productie normen'!A:T,20,FALSE)</f>
        <v>V</v>
      </c>
      <c r="Q587" s="447" t="s">
        <v>853</v>
      </c>
      <c r="S587" s="356">
        <f t="shared" si="53"/>
        <v>24.240000000000002</v>
      </c>
    </row>
    <row r="588" spans="1:19" ht="14.1" customHeight="1">
      <c r="A588" s="72">
        <f t="shared" si="54"/>
        <v>588</v>
      </c>
      <c r="B588" s="50" t="s">
        <v>812</v>
      </c>
      <c r="C588" s="50" t="s">
        <v>831</v>
      </c>
      <c r="D588" s="427" t="s">
        <v>1033</v>
      </c>
      <c r="E588" s="426" t="s">
        <v>612</v>
      </c>
      <c r="F588" s="349" t="s">
        <v>214</v>
      </c>
      <c r="G588" s="86" t="s">
        <v>209</v>
      </c>
      <c r="H588" s="63" t="s">
        <v>1040</v>
      </c>
      <c r="I588" s="86" t="s">
        <v>780</v>
      </c>
      <c r="J588" s="343">
        <v>12.1</v>
      </c>
      <c r="K588" s="351">
        <f t="shared" si="51"/>
        <v>12</v>
      </c>
      <c r="L588" s="352">
        <v>12</v>
      </c>
      <c r="M588" s="448" t="str">
        <f>IF(L588="nio","",VLOOKUP(L588,'3-Productie normen'!$B$31:$H$45,3,FALSE))</f>
        <v>1 x per maand</v>
      </c>
      <c r="N588" s="353" t="e">
        <f t="shared" si="52"/>
        <v>#DIV/0!</v>
      </c>
      <c r="O588" s="354">
        <f>IF(L588="nio",0,IF(L588&gt;0,VLOOKUP(H588,'3-Productie normen'!A:P,VLOOKUP(L588,'3-Productie normen'!$B$31:$C$45,2,FALSE),FALSE)))/VLOOKUP(B588,'2-Kosten per locatie'!$A$13:$D$36,4,FALSE)</f>
        <v>0</v>
      </c>
      <c r="P588" s="82" t="str">
        <f>VLOOKUP(H588,'3-Productie normen'!A:T,20,FALSE)</f>
        <v>V</v>
      </c>
      <c r="Q588" s="447" t="s">
        <v>792</v>
      </c>
      <c r="S588" s="356">
        <f t="shared" si="53"/>
        <v>145.19999999999999</v>
      </c>
    </row>
    <row r="589" spans="1:19" ht="14.1" customHeight="1">
      <c r="A589" s="72">
        <f t="shared" si="54"/>
        <v>589</v>
      </c>
      <c r="B589" s="50" t="s">
        <v>812</v>
      </c>
      <c r="C589" s="50" t="s">
        <v>831</v>
      </c>
      <c r="D589" s="427" t="s">
        <v>1033</v>
      </c>
      <c r="E589" s="426" t="s">
        <v>612</v>
      </c>
      <c r="F589" s="349" t="s">
        <v>216</v>
      </c>
      <c r="G589" s="86" t="s">
        <v>329</v>
      </c>
      <c r="H589" s="86" t="s">
        <v>203</v>
      </c>
      <c r="I589" s="86" t="s">
        <v>780</v>
      </c>
      <c r="J589" s="343">
        <v>8.93</v>
      </c>
      <c r="K589" s="351">
        <f t="shared" si="51"/>
        <v>201</v>
      </c>
      <c r="L589" s="352">
        <v>201</v>
      </c>
      <c r="M589" s="448" t="str">
        <f>IF(L589="nio","",VLOOKUP(L589,'3-Productie normen'!$B$31:$H$45,3,FALSE))</f>
        <v>5 x per week (40 weken + 1 Zomer refreshbeurt)</v>
      </c>
      <c r="N589" s="353" t="e">
        <f t="shared" si="52"/>
        <v>#DIV/0!</v>
      </c>
      <c r="O589" s="354">
        <f>IF(L589="nio",0,IF(L589&gt;0,VLOOKUP(H589,'3-Productie normen'!A:P,VLOOKUP(L589,'3-Productie normen'!$B$31:$C$45,2,FALSE),FALSE)))/VLOOKUP(B589,'2-Kosten per locatie'!$A$13:$D$36,4,FALSE)</f>
        <v>0</v>
      </c>
      <c r="P589" s="82" t="str">
        <f>VLOOKUP(H589,'3-Productie normen'!A:T,20,FALSE)</f>
        <v>B</v>
      </c>
      <c r="Q589" s="447" t="s">
        <v>792</v>
      </c>
      <c r="S589" s="356">
        <f t="shared" si="53"/>
        <v>1794.9299999999998</v>
      </c>
    </row>
    <row r="590" spans="1:19" ht="14.1" customHeight="1">
      <c r="A590" s="72">
        <f t="shared" si="54"/>
        <v>590</v>
      </c>
      <c r="B590" s="50" t="s">
        <v>812</v>
      </c>
      <c r="C590" s="50" t="s">
        <v>831</v>
      </c>
      <c r="D590" s="427" t="s">
        <v>1033</v>
      </c>
      <c r="E590" s="426" t="s">
        <v>612</v>
      </c>
      <c r="F590" s="349" t="s">
        <v>217</v>
      </c>
      <c r="G590" s="86" t="s">
        <v>419</v>
      </c>
      <c r="H590" s="432" t="s">
        <v>198</v>
      </c>
      <c r="I590" s="86" t="s">
        <v>780</v>
      </c>
      <c r="J590" s="343">
        <v>5.4000000953674299</v>
      </c>
      <c r="K590" s="351">
        <f t="shared" si="51"/>
        <v>200</v>
      </c>
      <c r="L590" s="352">
        <v>200</v>
      </c>
      <c r="M590" s="448" t="str">
        <f>IF(L590="nio","",VLOOKUP(L590,'3-Productie normen'!$B$31:$H$45,3,FALSE))</f>
        <v>5 x per week (40 weken)</v>
      </c>
      <c r="N590" s="353" t="e">
        <f t="shared" si="52"/>
        <v>#DIV/0!</v>
      </c>
      <c r="O590" s="354">
        <f>IF(L590="nio",0,IF(L590&gt;0,VLOOKUP(H590,'3-Productie normen'!A:P,VLOOKUP(L590,'3-Productie normen'!$B$31:$C$45,2,FALSE),FALSE)))/VLOOKUP(B590,'2-Kosten per locatie'!$A$13:$D$36,4,FALSE)</f>
        <v>0</v>
      </c>
      <c r="P590" s="82" t="str">
        <f>VLOOKUP(H590,'3-Productie normen'!A:T,20,FALSE)</f>
        <v>V</v>
      </c>
      <c r="Q590" s="447" t="s">
        <v>792</v>
      </c>
      <c r="S590" s="356">
        <f t="shared" ref="S590:S653" si="55">IF(L590="nio",0,K590*J590)</f>
        <v>1080.0000190734859</v>
      </c>
    </row>
    <row r="591" spans="1:19" ht="14.1" customHeight="1">
      <c r="A591" s="72">
        <f t="shared" si="54"/>
        <v>591</v>
      </c>
      <c r="B591" s="50" t="s">
        <v>812</v>
      </c>
      <c r="C591" s="50" t="s">
        <v>831</v>
      </c>
      <c r="D591" s="427" t="s">
        <v>1033</v>
      </c>
      <c r="E591" s="426" t="s">
        <v>612</v>
      </c>
      <c r="F591" s="349" t="s">
        <v>627</v>
      </c>
      <c r="G591" s="86" t="s">
        <v>226</v>
      </c>
      <c r="H591" s="50" t="s">
        <v>16</v>
      </c>
      <c r="I591" s="86" t="s">
        <v>781</v>
      </c>
      <c r="J591" s="343">
        <v>4.3600000000000003</v>
      </c>
      <c r="K591" s="351">
        <f t="shared" si="51"/>
        <v>201</v>
      </c>
      <c r="L591" s="352">
        <v>201</v>
      </c>
      <c r="M591" s="448" t="str">
        <f>IF(L591="nio","",VLOOKUP(L591,'3-Productie normen'!$B$31:$H$45,3,FALSE))</f>
        <v>5 x per week (40 weken + 1 Zomer refreshbeurt)</v>
      </c>
      <c r="N591" s="353" t="e">
        <f t="shared" si="52"/>
        <v>#DIV/0!</v>
      </c>
      <c r="O591" s="354">
        <f>IF(L591="nio",0,IF(L591&gt;0,VLOOKUP(H591,'3-Productie normen'!A:P,VLOOKUP(L591,'3-Productie normen'!$B$31:$C$45,2,FALSE),FALSE)))/VLOOKUP(B591,'2-Kosten per locatie'!$A$13:$D$36,4,FALSE)</f>
        <v>0</v>
      </c>
      <c r="P591" s="82" t="str">
        <f>VLOOKUP(H591,'3-Productie normen'!A:T,20,FALSE)</f>
        <v>S</v>
      </c>
      <c r="Q591" s="447" t="s">
        <v>855</v>
      </c>
      <c r="S591" s="356">
        <f t="shared" si="55"/>
        <v>876.36</v>
      </c>
    </row>
    <row r="592" spans="1:19" ht="14.1" customHeight="1">
      <c r="A592" s="72">
        <f t="shared" si="54"/>
        <v>592</v>
      </c>
      <c r="B592" s="50" t="s">
        <v>812</v>
      </c>
      <c r="C592" s="50" t="s">
        <v>831</v>
      </c>
      <c r="D592" s="427" t="s">
        <v>1033</v>
      </c>
      <c r="E592" s="426" t="s">
        <v>612</v>
      </c>
      <c r="F592" s="349" t="s">
        <v>220</v>
      </c>
      <c r="G592" s="86" t="s">
        <v>209</v>
      </c>
      <c r="H592" s="63" t="s">
        <v>1040</v>
      </c>
      <c r="I592" s="86" t="s">
        <v>780</v>
      </c>
      <c r="J592" s="343">
        <v>6.9000000953674299</v>
      </c>
      <c r="K592" s="351">
        <f t="shared" si="51"/>
        <v>12</v>
      </c>
      <c r="L592" s="352">
        <v>12</v>
      </c>
      <c r="M592" s="448" t="str">
        <f>IF(L592="nio","",VLOOKUP(L592,'3-Productie normen'!$B$31:$H$45,3,FALSE))</f>
        <v>1 x per maand</v>
      </c>
      <c r="N592" s="353" t="e">
        <f t="shared" si="52"/>
        <v>#DIV/0!</v>
      </c>
      <c r="O592" s="354">
        <f>IF(L592="nio",0,IF(L592&gt;0,VLOOKUP(H592,'3-Productie normen'!A:P,VLOOKUP(L592,'3-Productie normen'!$B$31:$C$45,2,FALSE),FALSE)))/VLOOKUP(B592,'2-Kosten per locatie'!$A$13:$D$36,4,FALSE)</f>
        <v>0</v>
      </c>
      <c r="P592" s="82" t="str">
        <f>VLOOKUP(H592,'3-Productie normen'!A:T,20,FALSE)</f>
        <v>V</v>
      </c>
      <c r="Q592" s="447" t="s">
        <v>792</v>
      </c>
      <c r="S592" s="356">
        <f t="shared" si="55"/>
        <v>82.800001144409151</v>
      </c>
    </row>
    <row r="593" spans="1:19" ht="14.1" customHeight="1">
      <c r="A593" s="72">
        <f t="shared" si="54"/>
        <v>593</v>
      </c>
      <c r="B593" s="50" t="s">
        <v>812</v>
      </c>
      <c r="C593" s="50" t="s">
        <v>831</v>
      </c>
      <c r="D593" s="427" t="s">
        <v>1033</v>
      </c>
      <c r="E593" s="426" t="s">
        <v>612</v>
      </c>
      <c r="F593" s="349" t="s">
        <v>221</v>
      </c>
      <c r="G593" s="86" t="s">
        <v>242</v>
      </c>
      <c r="H593" s="81" t="s">
        <v>241</v>
      </c>
      <c r="I593" s="86" t="s">
        <v>780</v>
      </c>
      <c r="J593" s="343">
        <v>63.68</v>
      </c>
      <c r="K593" s="351">
        <f t="shared" si="51"/>
        <v>201</v>
      </c>
      <c r="L593" s="352">
        <v>201</v>
      </c>
      <c r="M593" s="448" t="str">
        <f>IF(L593="nio","",VLOOKUP(L593,'3-Productie normen'!$B$31:$H$45,3,FALSE))</f>
        <v>5 x per week (40 weken + 1 Zomer refreshbeurt)</v>
      </c>
      <c r="N593" s="353" t="e">
        <f t="shared" si="52"/>
        <v>#DIV/0!</v>
      </c>
      <c r="O593" s="354">
        <f>IF(L593="nio",0,IF(L593&gt;0,VLOOKUP(H593,'3-Productie normen'!A:P,VLOOKUP(L593,'3-Productie normen'!$B$31:$C$45,2,FALSE),FALSE)))/VLOOKUP(B593,'2-Kosten per locatie'!$A$13:$D$36,4,FALSE)</f>
        <v>0</v>
      </c>
      <c r="P593" s="82" t="str">
        <f>VLOOKUP(H593,'3-Productie normen'!A:T,20,FALSE)</f>
        <v>L</v>
      </c>
      <c r="Q593" s="447" t="s">
        <v>944</v>
      </c>
      <c r="S593" s="356">
        <f t="shared" si="55"/>
        <v>12799.68</v>
      </c>
    </row>
    <row r="594" spans="1:19" ht="14.1" customHeight="1">
      <c r="A594" s="72">
        <f t="shared" si="54"/>
        <v>594</v>
      </c>
      <c r="B594" s="50" t="s">
        <v>812</v>
      </c>
      <c r="C594" s="50" t="s">
        <v>831</v>
      </c>
      <c r="D594" s="427" t="s">
        <v>1033</v>
      </c>
      <c r="E594" s="426" t="s">
        <v>612</v>
      </c>
      <c r="F594" s="349" t="s">
        <v>223</v>
      </c>
      <c r="G594" s="86" t="s">
        <v>279</v>
      </c>
      <c r="H594" s="85" t="s">
        <v>203</v>
      </c>
      <c r="I594" s="86" t="s">
        <v>789</v>
      </c>
      <c r="J594" s="343">
        <v>26.99</v>
      </c>
      <c r="K594" s="351">
        <f t="shared" si="51"/>
        <v>201</v>
      </c>
      <c r="L594" s="352">
        <v>201</v>
      </c>
      <c r="M594" s="448" t="str">
        <f>IF(L594="nio","",VLOOKUP(L594,'3-Productie normen'!$B$31:$H$45,3,FALSE))</f>
        <v>5 x per week (40 weken + 1 Zomer refreshbeurt)</v>
      </c>
      <c r="N594" s="353" t="e">
        <f t="shared" si="52"/>
        <v>#DIV/0!</v>
      </c>
      <c r="O594" s="354">
        <f>IF(L594="nio",0,IF(L594&gt;0,VLOOKUP(H594,'3-Productie normen'!A:P,VLOOKUP(L594,'3-Productie normen'!$B$31:$C$45,2,FALSE),FALSE)))/VLOOKUP(B594,'2-Kosten per locatie'!$A$13:$D$36,4,FALSE)</f>
        <v>0</v>
      </c>
      <c r="P594" s="82" t="str">
        <f>VLOOKUP(H594,'3-Productie normen'!A:T,20,FALSE)</f>
        <v>B</v>
      </c>
      <c r="Q594" s="447" t="s">
        <v>792</v>
      </c>
      <c r="S594" s="356">
        <f t="shared" si="55"/>
        <v>5424.99</v>
      </c>
    </row>
    <row r="595" spans="1:19" ht="14.1" customHeight="1">
      <c r="A595" s="72">
        <f t="shared" si="54"/>
        <v>595</v>
      </c>
      <c r="B595" s="50" t="s">
        <v>812</v>
      </c>
      <c r="C595" s="50" t="s">
        <v>831</v>
      </c>
      <c r="D595" s="427" t="s">
        <v>1033</v>
      </c>
      <c r="E595" s="426" t="s">
        <v>612</v>
      </c>
      <c r="F595" s="349" t="s">
        <v>224</v>
      </c>
      <c r="G595" s="86" t="s">
        <v>368</v>
      </c>
      <c r="H595" s="432" t="s">
        <v>198</v>
      </c>
      <c r="I595" s="86" t="s">
        <v>789</v>
      </c>
      <c r="J595" s="343">
        <v>17.329999999999998</v>
      </c>
      <c r="K595" s="351">
        <f t="shared" si="51"/>
        <v>200</v>
      </c>
      <c r="L595" s="352">
        <v>200</v>
      </c>
      <c r="M595" s="448" t="str">
        <f>IF(L595="nio","",VLOOKUP(L595,'3-Productie normen'!$B$31:$H$45,3,FALSE))</f>
        <v>5 x per week (40 weken)</v>
      </c>
      <c r="N595" s="353" t="e">
        <f t="shared" si="52"/>
        <v>#DIV/0!</v>
      </c>
      <c r="O595" s="354">
        <f>IF(L595="nio",0,IF(L595&gt;0,VLOOKUP(H595,'3-Productie normen'!A:P,VLOOKUP(L595,'3-Productie normen'!$B$31:$C$45,2,FALSE),FALSE)))/VLOOKUP(B595,'2-Kosten per locatie'!$A$13:$D$36,4,FALSE)</f>
        <v>0</v>
      </c>
      <c r="P595" s="82" t="str">
        <f>VLOOKUP(H595,'3-Productie normen'!A:T,20,FALSE)</f>
        <v>V</v>
      </c>
      <c r="Q595" s="447" t="s">
        <v>792</v>
      </c>
      <c r="S595" s="356">
        <f t="shared" si="55"/>
        <v>3465.9999999999995</v>
      </c>
    </row>
    <row r="596" spans="1:19" ht="14.1" customHeight="1">
      <c r="A596" s="72">
        <f t="shared" si="54"/>
        <v>596</v>
      </c>
      <c r="B596" s="50" t="s">
        <v>812</v>
      </c>
      <c r="C596" s="50" t="s">
        <v>831</v>
      </c>
      <c r="D596" s="427" t="s">
        <v>1033</v>
      </c>
      <c r="E596" s="426" t="s">
        <v>612</v>
      </c>
      <c r="F596" s="349" t="s">
        <v>225</v>
      </c>
      <c r="G596" s="86" t="s">
        <v>328</v>
      </c>
      <c r="H596" s="86" t="s">
        <v>241</v>
      </c>
      <c r="I596" s="86" t="s">
        <v>789</v>
      </c>
      <c r="J596" s="343">
        <v>19.739999999999998</v>
      </c>
      <c r="K596" s="351">
        <f t="shared" si="51"/>
        <v>120</v>
      </c>
      <c r="L596" s="352">
        <v>120</v>
      </c>
      <c r="M596" s="448" t="str">
        <f>IF(L596="nio","",VLOOKUP(L596,'3-Productie normen'!$B$31:$H$45,3,FALSE))</f>
        <v>3 x per week (40 weken)</v>
      </c>
      <c r="N596" s="353" t="e">
        <f t="shared" si="52"/>
        <v>#DIV/0!</v>
      </c>
      <c r="O596" s="354">
        <f>IF(L596="nio",0,IF(L596&gt;0,VLOOKUP(H596,'3-Productie normen'!A:P,VLOOKUP(L596,'3-Productie normen'!$B$31:$C$45,2,FALSE),FALSE)))/VLOOKUP(B596,'2-Kosten per locatie'!$A$13:$D$36,4,FALSE)</f>
        <v>0</v>
      </c>
      <c r="P596" s="82" t="str">
        <f>VLOOKUP(H596,'3-Productie normen'!A:T,20,FALSE)</f>
        <v>L</v>
      </c>
      <c r="Q596" s="447" t="s">
        <v>792</v>
      </c>
      <c r="S596" s="356">
        <f t="shared" si="55"/>
        <v>2368.7999999999997</v>
      </c>
    </row>
    <row r="597" spans="1:19" ht="14.1" customHeight="1">
      <c r="A597" s="72">
        <f t="shared" si="54"/>
        <v>597</v>
      </c>
      <c r="B597" s="50" t="s">
        <v>812</v>
      </c>
      <c r="C597" s="50" t="s">
        <v>831</v>
      </c>
      <c r="D597" s="427" t="s">
        <v>1033</v>
      </c>
      <c r="E597" s="426" t="s">
        <v>612</v>
      </c>
      <c r="F597" s="349" t="s">
        <v>227</v>
      </c>
      <c r="G597" s="86" t="s">
        <v>328</v>
      </c>
      <c r="H597" s="81" t="s">
        <v>241</v>
      </c>
      <c r="I597" s="86" t="s">
        <v>789</v>
      </c>
      <c r="J597" s="343">
        <v>20.96</v>
      </c>
      <c r="K597" s="351">
        <f t="shared" si="51"/>
        <v>120</v>
      </c>
      <c r="L597" s="352">
        <v>120</v>
      </c>
      <c r="M597" s="448" t="str">
        <f>IF(L597="nio","",VLOOKUP(L597,'3-Productie normen'!$B$31:$H$45,3,FALSE))</f>
        <v>3 x per week (40 weken)</v>
      </c>
      <c r="N597" s="353" t="e">
        <f t="shared" si="52"/>
        <v>#DIV/0!</v>
      </c>
      <c r="O597" s="354">
        <f>IF(L597="nio",0,IF(L597&gt;0,VLOOKUP(H597,'3-Productie normen'!A:P,VLOOKUP(L597,'3-Productie normen'!$B$31:$C$45,2,FALSE),FALSE)))/VLOOKUP(B597,'2-Kosten per locatie'!$A$13:$D$36,4,FALSE)</f>
        <v>0</v>
      </c>
      <c r="P597" s="82" t="str">
        <f>VLOOKUP(H597,'3-Productie normen'!A:T,20,FALSE)</f>
        <v>L</v>
      </c>
      <c r="Q597" s="447" t="s">
        <v>792</v>
      </c>
      <c r="S597" s="356">
        <f t="shared" si="55"/>
        <v>2515.2000000000003</v>
      </c>
    </row>
    <row r="598" spans="1:19" ht="14.1" customHeight="1">
      <c r="A598" s="72">
        <f t="shared" si="54"/>
        <v>598</v>
      </c>
      <c r="B598" s="50" t="s">
        <v>812</v>
      </c>
      <c r="C598" s="50" t="s">
        <v>831</v>
      </c>
      <c r="D598" s="427" t="s">
        <v>1033</v>
      </c>
      <c r="E598" s="426" t="s">
        <v>612</v>
      </c>
      <c r="F598" s="349" t="s">
        <v>228</v>
      </c>
      <c r="G598" s="86" t="s">
        <v>1131</v>
      </c>
      <c r="H598" s="65" t="s">
        <v>731</v>
      </c>
      <c r="I598" s="86" t="s">
        <v>780</v>
      </c>
      <c r="J598" s="343">
        <v>58.799999237060497</v>
      </c>
      <c r="K598" s="351">
        <f t="shared" si="51"/>
        <v>201</v>
      </c>
      <c r="L598" s="352">
        <v>201</v>
      </c>
      <c r="M598" s="448" t="str">
        <f>IF(L598="nio","",VLOOKUP(L598,'3-Productie normen'!$B$31:$H$45,3,FALSE))</f>
        <v>5 x per week (40 weken + 1 Zomer refreshbeurt)</v>
      </c>
      <c r="N598" s="353" t="e">
        <f t="shared" si="52"/>
        <v>#DIV/0!</v>
      </c>
      <c r="O598" s="354">
        <f>IF(L598="nio",0,IF(L598&gt;0,VLOOKUP(H598,'3-Productie normen'!A:P,VLOOKUP(L598,'3-Productie normen'!$B$31:$C$45,2,FALSE),FALSE)))/VLOOKUP(B598,'2-Kosten per locatie'!$A$13:$D$36,4,FALSE)</f>
        <v>0</v>
      </c>
      <c r="P598" s="82" t="str">
        <f>VLOOKUP(H598,'3-Productie normen'!A:T,20,FALSE)</f>
        <v>V</v>
      </c>
      <c r="Q598" s="447" t="s">
        <v>792</v>
      </c>
      <c r="S598" s="356">
        <f t="shared" si="55"/>
        <v>11818.799846649161</v>
      </c>
    </row>
    <row r="599" spans="1:19" ht="14.1" customHeight="1">
      <c r="A599" s="72">
        <f t="shared" si="54"/>
        <v>599</v>
      </c>
      <c r="B599" s="50" t="s">
        <v>812</v>
      </c>
      <c r="C599" s="50" t="s">
        <v>831</v>
      </c>
      <c r="D599" s="427" t="s">
        <v>1033</v>
      </c>
      <c r="E599" s="426" t="s">
        <v>612</v>
      </c>
      <c r="F599" s="349" t="s">
        <v>230</v>
      </c>
      <c r="G599" s="86" t="s">
        <v>199</v>
      </c>
      <c r="H599" s="432" t="s">
        <v>198</v>
      </c>
      <c r="I599" s="86" t="s">
        <v>779</v>
      </c>
      <c r="J599" s="343">
        <v>13.4</v>
      </c>
      <c r="K599" s="351">
        <f t="shared" si="51"/>
        <v>200</v>
      </c>
      <c r="L599" s="352">
        <v>200</v>
      </c>
      <c r="M599" s="448" t="str">
        <f>IF(L599="nio","",VLOOKUP(L599,'3-Productie normen'!$B$31:$H$45,3,FALSE))</f>
        <v>5 x per week (40 weken)</v>
      </c>
      <c r="N599" s="353" t="e">
        <f t="shared" si="52"/>
        <v>#DIV/0!</v>
      </c>
      <c r="O599" s="354">
        <f>IF(L599="nio",0,IF(L599&gt;0,VLOOKUP(H599,'3-Productie normen'!A:P,VLOOKUP(L599,'3-Productie normen'!$B$31:$C$45,2,FALSE),FALSE)))/VLOOKUP(B599,'2-Kosten per locatie'!$A$13:$D$36,4,FALSE)</f>
        <v>0</v>
      </c>
      <c r="P599" s="82" t="str">
        <f>VLOOKUP(H599,'3-Productie normen'!A:T,20,FALSE)</f>
        <v>V</v>
      </c>
      <c r="Q599" s="447" t="s">
        <v>878</v>
      </c>
      <c r="S599" s="356">
        <f t="shared" si="55"/>
        <v>2680</v>
      </c>
    </row>
    <row r="600" spans="1:19" ht="14.1" customHeight="1">
      <c r="A600" s="72">
        <f t="shared" si="54"/>
        <v>600</v>
      </c>
      <c r="B600" s="50" t="s">
        <v>812</v>
      </c>
      <c r="C600" s="50" t="s">
        <v>831</v>
      </c>
      <c r="D600" s="427" t="s">
        <v>1033</v>
      </c>
      <c r="E600" s="426" t="s">
        <v>612</v>
      </c>
      <c r="F600" s="349" t="s">
        <v>628</v>
      </c>
      <c r="G600" s="86" t="s">
        <v>226</v>
      </c>
      <c r="H600" s="50" t="s">
        <v>16</v>
      </c>
      <c r="I600" s="86" t="s">
        <v>781</v>
      </c>
      <c r="J600" s="343">
        <v>7.1</v>
      </c>
      <c r="K600" s="351">
        <f t="shared" si="51"/>
        <v>201</v>
      </c>
      <c r="L600" s="352">
        <v>201</v>
      </c>
      <c r="M600" s="448" t="str">
        <f>IF(L600="nio","",VLOOKUP(L600,'3-Productie normen'!$B$31:$H$45,3,FALSE))</f>
        <v>5 x per week (40 weken + 1 Zomer refreshbeurt)</v>
      </c>
      <c r="N600" s="353" t="e">
        <f t="shared" si="52"/>
        <v>#DIV/0!</v>
      </c>
      <c r="O600" s="354">
        <f>IF(L600="nio",0,IF(L600&gt;0,VLOOKUP(H600,'3-Productie normen'!A:P,VLOOKUP(L600,'3-Productie normen'!$B$31:$C$45,2,FALSE),FALSE)))/VLOOKUP(B600,'2-Kosten per locatie'!$A$13:$D$36,4,FALSE)</f>
        <v>0</v>
      </c>
      <c r="P600" s="82" t="str">
        <f>VLOOKUP(H600,'3-Productie normen'!A:T,20,FALSE)</f>
        <v>S</v>
      </c>
      <c r="Q600" s="447" t="s">
        <v>894</v>
      </c>
      <c r="S600" s="356">
        <f t="shared" si="55"/>
        <v>1427.1</v>
      </c>
    </row>
    <row r="601" spans="1:19" ht="14.1" customHeight="1">
      <c r="A601" s="72">
        <f t="shared" si="54"/>
        <v>601</v>
      </c>
      <c r="B601" s="50" t="s">
        <v>812</v>
      </c>
      <c r="C601" s="50" t="s">
        <v>831</v>
      </c>
      <c r="D601" s="427" t="s">
        <v>1033</v>
      </c>
      <c r="E601" s="426" t="s">
        <v>612</v>
      </c>
      <c r="F601" s="349" t="s">
        <v>236</v>
      </c>
      <c r="G601" s="86" t="s">
        <v>209</v>
      </c>
      <c r="H601" s="63" t="s">
        <v>1040</v>
      </c>
      <c r="I601" s="86" t="s">
        <v>780</v>
      </c>
      <c r="J601" s="343">
        <v>3.95</v>
      </c>
      <c r="K601" s="351">
        <f t="shared" si="51"/>
        <v>12</v>
      </c>
      <c r="L601" s="352">
        <v>12</v>
      </c>
      <c r="M601" s="448" t="str">
        <f>IF(L601="nio","",VLOOKUP(L601,'3-Productie normen'!$B$31:$H$45,3,FALSE))</f>
        <v>1 x per maand</v>
      </c>
      <c r="N601" s="353" t="e">
        <f t="shared" si="52"/>
        <v>#DIV/0!</v>
      </c>
      <c r="O601" s="354">
        <f>IF(L601="nio",0,IF(L601&gt;0,VLOOKUP(H601,'3-Productie normen'!A:P,VLOOKUP(L601,'3-Productie normen'!$B$31:$C$45,2,FALSE),FALSE)))/VLOOKUP(B601,'2-Kosten per locatie'!$A$13:$D$36,4,FALSE)</f>
        <v>0</v>
      </c>
      <c r="P601" s="82" t="str">
        <f>VLOOKUP(H601,'3-Productie normen'!A:T,20,FALSE)</f>
        <v>V</v>
      </c>
      <c r="Q601" s="447" t="s">
        <v>792</v>
      </c>
      <c r="S601" s="356">
        <f t="shared" si="55"/>
        <v>47.400000000000006</v>
      </c>
    </row>
    <row r="602" spans="1:19" ht="14.1" customHeight="1">
      <c r="A602" s="72">
        <f t="shared" si="54"/>
        <v>602</v>
      </c>
      <c r="B602" s="50" t="s">
        <v>812</v>
      </c>
      <c r="C602" s="50" t="s">
        <v>831</v>
      </c>
      <c r="D602" s="427" t="s">
        <v>1033</v>
      </c>
      <c r="E602" s="426" t="s">
        <v>612</v>
      </c>
      <c r="F602" s="349" t="s">
        <v>237</v>
      </c>
      <c r="G602" s="86" t="s">
        <v>298</v>
      </c>
      <c r="H602" s="86" t="s">
        <v>241</v>
      </c>
      <c r="I602" s="86" t="s">
        <v>780</v>
      </c>
      <c r="J602" s="343">
        <v>55.37</v>
      </c>
      <c r="K602" s="351">
        <f t="shared" si="51"/>
        <v>201</v>
      </c>
      <c r="L602" s="352">
        <v>201</v>
      </c>
      <c r="M602" s="448" t="str">
        <f>IF(L602="nio","",VLOOKUP(L602,'3-Productie normen'!$B$31:$H$45,3,FALSE))</f>
        <v>5 x per week (40 weken + 1 Zomer refreshbeurt)</v>
      </c>
      <c r="N602" s="353" t="e">
        <f t="shared" si="52"/>
        <v>#DIV/0!</v>
      </c>
      <c r="O602" s="354">
        <f>IF(L602="nio",0,IF(L602&gt;0,VLOOKUP(H602,'3-Productie normen'!A:P,VLOOKUP(L602,'3-Productie normen'!$B$31:$C$45,2,FALSE),FALSE)))/VLOOKUP(B602,'2-Kosten per locatie'!$A$13:$D$36,4,FALSE)</f>
        <v>0</v>
      </c>
      <c r="P602" s="82" t="str">
        <f>VLOOKUP(H602,'3-Productie normen'!A:T,20,FALSE)</f>
        <v>L</v>
      </c>
      <c r="Q602" s="447" t="s">
        <v>914</v>
      </c>
      <c r="S602" s="356">
        <f t="shared" si="55"/>
        <v>11129.369999999999</v>
      </c>
    </row>
    <row r="603" spans="1:19" ht="14.1" customHeight="1">
      <c r="A603" s="72">
        <f t="shared" si="54"/>
        <v>603</v>
      </c>
      <c r="B603" s="50" t="s">
        <v>812</v>
      </c>
      <c r="C603" s="50" t="s">
        <v>831</v>
      </c>
      <c r="D603" s="427" t="s">
        <v>1033</v>
      </c>
      <c r="E603" s="426" t="s">
        <v>612</v>
      </c>
      <c r="F603" s="349" t="s">
        <v>240</v>
      </c>
      <c r="G603" s="86" t="s">
        <v>298</v>
      </c>
      <c r="H603" s="65" t="s">
        <v>241</v>
      </c>
      <c r="I603" s="86" t="s">
        <v>780</v>
      </c>
      <c r="J603" s="343">
        <v>55.37</v>
      </c>
      <c r="K603" s="351">
        <f t="shared" si="51"/>
        <v>201</v>
      </c>
      <c r="L603" s="352">
        <v>201</v>
      </c>
      <c r="M603" s="448" t="str">
        <f>IF(L603="nio","",VLOOKUP(L603,'3-Productie normen'!$B$31:$H$45,3,FALSE))</f>
        <v>5 x per week (40 weken + 1 Zomer refreshbeurt)</v>
      </c>
      <c r="N603" s="353" t="e">
        <f t="shared" si="52"/>
        <v>#DIV/0!</v>
      </c>
      <c r="O603" s="354">
        <f>IF(L603="nio",0,IF(L603&gt;0,VLOOKUP(H603,'3-Productie normen'!A:P,VLOOKUP(L603,'3-Productie normen'!$B$31:$C$45,2,FALSE),FALSE)))/VLOOKUP(B603,'2-Kosten per locatie'!$A$13:$D$36,4,FALSE)</f>
        <v>0</v>
      </c>
      <c r="P603" s="82" t="str">
        <f>VLOOKUP(H603,'3-Productie normen'!A:T,20,FALSE)</f>
        <v>L</v>
      </c>
      <c r="Q603" s="447" t="s">
        <v>913</v>
      </c>
      <c r="S603" s="356">
        <f t="shared" si="55"/>
        <v>11129.369999999999</v>
      </c>
    </row>
    <row r="604" spans="1:19" ht="14.1" customHeight="1">
      <c r="A604" s="72">
        <f t="shared" si="54"/>
        <v>604</v>
      </c>
      <c r="B604" s="50" t="s">
        <v>812</v>
      </c>
      <c r="C604" s="50" t="s">
        <v>831</v>
      </c>
      <c r="D604" s="427" t="s">
        <v>1033</v>
      </c>
      <c r="E604" s="426" t="s">
        <v>612</v>
      </c>
      <c r="F604" s="349" t="s">
        <v>243</v>
      </c>
      <c r="G604" s="86" t="s">
        <v>199</v>
      </c>
      <c r="H604" s="432" t="s">
        <v>198</v>
      </c>
      <c r="I604" s="86" t="s">
        <v>779</v>
      </c>
      <c r="J604" s="343">
        <v>13.41</v>
      </c>
      <c r="K604" s="351">
        <f t="shared" si="51"/>
        <v>200</v>
      </c>
      <c r="L604" s="352">
        <v>200</v>
      </c>
      <c r="M604" s="448" t="str">
        <f>IF(L604="nio","",VLOOKUP(L604,'3-Productie normen'!$B$31:$H$45,3,FALSE))</f>
        <v>5 x per week (40 weken)</v>
      </c>
      <c r="N604" s="353" t="e">
        <f t="shared" si="52"/>
        <v>#DIV/0!</v>
      </c>
      <c r="O604" s="354">
        <f>IF(L604="nio",0,IF(L604&gt;0,VLOOKUP(H604,'3-Productie normen'!A:P,VLOOKUP(L604,'3-Productie normen'!$B$31:$C$45,2,FALSE),FALSE)))/VLOOKUP(B604,'2-Kosten per locatie'!$A$13:$D$36,4,FALSE)</f>
        <v>0</v>
      </c>
      <c r="P604" s="82" t="str">
        <f>VLOOKUP(H604,'3-Productie normen'!A:T,20,FALSE)</f>
        <v>V</v>
      </c>
      <c r="Q604" s="447" t="s">
        <v>878</v>
      </c>
      <c r="S604" s="356">
        <f t="shared" si="55"/>
        <v>2682</v>
      </c>
    </row>
    <row r="605" spans="1:19" ht="14.1" customHeight="1">
      <c r="A605" s="72">
        <f t="shared" si="54"/>
        <v>605</v>
      </c>
      <c r="B605" s="50" t="s">
        <v>812</v>
      </c>
      <c r="C605" s="50" t="s">
        <v>831</v>
      </c>
      <c r="D605" s="427" t="s">
        <v>1033</v>
      </c>
      <c r="E605" s="426" t="s">
        <v>612</v>
      </c>
      <c r="F605" s="349" t="s">
        <v>629</v>
      </c>
      <c r="G605" s="86" t="s">
        <v>222</v>
      </c>
      <c r="H605" s="50" t="s">
        <v>16</v>
      </c>
      <c r="I605" s="86" t="s">
        <v>781</v>
      </c>
      <c r="J605" s="343">
        <v>7.65</v>
      </c>
      <c r="K605" s="351">
        <f t="shared" si="51"/>
        <v>201</v>
      </c>
      <c r="L605" s="352">
        <v>201</v>
      </c>
      <c r="M605" s="448" t="str">
        <f>IF(L605="nio","",VLOOKUP(L605,'3-Productie normen'!$B$31:$H$45,3,FALSE))</f>
        <v>5 x per week (40 weken + 1 Zomer refreshbeurt)</v>
      </c>
      <c r="N605" s="353" t="e">
        <f t="shared" si="52"/>
        <v>#DIV/0!</v>
      </c>
      <c r="O605" s="354">
        <f>IF(L605="nio",0,IF(L605&gt;0,VLOOKUP(H605,'3-Productie normen'!A:P,VLOOKUP(L605,'3-Productie normen'!$B$31:$C$45,2,FALSE),FALSE)))/VLOOKUP(B605,'2-Kosten per locatie'!$A$13:$D$36,4,FALSE)</f>
        <v>0</v>
      </c>
      <c r="P605" s="82" t="str">
        <f>VLOOKUP(H605,'3-Productie normen'!A:T,20,FALSE)</f>
        <v>S</v>
      </c>
      <c r="Q605" s="447" t="s">
        <v>894</v>
      </c>
      <c r="S605" s="356">
        <f t="shared" si="55"/>
        <v>1537.65</v>
      </c>
    </row>
    <row r="606" spans="1:19" ht="14.1" customHeight="1">
      <c r="A606" s="72">
        <f t="shared" si="54"/>
        <v>606</v>
      </c>
      <c r="B606" s="50" t="s">
        <v>812</v>
      </c>
      <c r="C606" s="50" t="s">
        <v>831</v>
      </c>
      <c r="D606" s="427" t="s">
        <v>1033</v>
      </c>
      <c r="E606" s="426" t="s">
        <v>612</v>
      </c>
      <c r="F606" s="349" t="s">
        <v>330</v>
      </c>
      <c r="G606" s="86" t="s">
        <v>209</v>
      </c>
      <c r="H606" s="63" t="s">
        <v>1040</v>
      </c>
      <c r="I606" s="86" t="s">
        <v>780</v>
      </c>
      <c r="J606" s="343">
        <v>8.11</v>
      </c>
      <c r="K606" s="351">
        <f t="shared" si="51"/>
        <v>12</v>
      </c>
      <c r="L606" s="352">
        <v>12</v>
      </c>
      <c r="M606" s="448" t="str">
        <f>IF(L606="nio","",VLOOKUP(L606,'3-Productie normen'!$B$31:$H$45,3,FALSE))</f>
        <v>1 x per maand</v>
      </c>
      <c r="N606" s="353" t="e">
        <f t="shared" si="52"/>
        <v>#DIV/0!</v>
      </c>
      <c r="O606" s="354">
        <f>IF(L606="nio",0,IF(L606&gt;0,VLOOKUP(H606,'3-Productie normen'!A:P,VLOOKUP(L606,'3-Productie normen'!$B$31:$C$45,2,FALSE),FALSE)))/VLOOKUP(B606,'2-Kosten per locatie'!$A$13:$D$36,4,FALSE)</f>
        <v>0</v>
      </c>
      <c r="P606" s="82" t="str">
        <f>VLOOKUP(H606,'3-Productie normen'!A:T,20,FALSE)</f>
        <v>V</v>
      </c>
      <c r="Q606" s="447" t="s">
        <v>792</v>
      </c>
      <c r="S606" s="356">
        <f t="shared" si="55"/>
        <v>97.32</v>
      </c>
    </row>
    <row r="607" spans="1:19" ht="14.1" customHeight="1">
      <c r="A607" s="72">
        <f t="shared" si="54"/>
        <v>607</v>
      </c>
      <c r="B607" s="50" t="s">
        <v>812</v>
      </c>
      <c r="C607" s="50" t="s">
        <v>831</v>
      </c>
      <c r="D607" s="427" t="s">
        <v>1033</v>
      </c>
      <c r="E607" s="426" t="s">
        <v>612</v>
      </c>
      <c r="F607" s="349" t="s">
        <v>331</v>
      </c>
      <c r="G607" s="86" t="s">
        <v>298</v>
      </c>
      <c r="H607" s="86" t="s">
        <v>241</v>
      </c>
      <c r="I607" s="86" t="s">
        <v>780</v>
      </c>
      <c r="J607" s="343">
        <v>55.5</v>
      </c>
      <c r="K607" s="351">
        <f t="shared" si="51"/>
        <v>201</v>
      </c>
      <c r="L607" s="352">
        <v>201</v>
      </c>
      <c r="M607" s="448" t="str">
        <f>IF(L607="nio","",VLOOKUP(L607,'3-Productie normen'!$B$31:$H$45,3,FALSE))</f>
        <v>5 x per week (40 weken + 1 Zomer refreshbeurt)</v>
      </c>
      <c r="N607" s="353" t="e">
        <f t="shared" si="52"/>
        <v>#DIV/0!</v>
      </c>
      <c r="O607" s="354">
        <f>IF(L607="nio",0,IF(L607&gt;0,VLOOKUP(H607,'3-Productie normen'!A:P,VLOOKUP(L607,'3-Productie normen'!$B$31:$C$45,2,FALSE),FALSE)))/VLOOKUP(B607,'2-Kosten per locatie'!$A$13:$D$36,4,FALSE)</f>
        <v>0</v>
      </c>
      <c r="P607" s="82" t="str">
        <f>VLOOKUP(H607,'3-Productie normen'!A:T,20,FALSE)</f>
        <v>L</v>
      </c>
      <c r="Q607" s="447" t="s">
        <v>974</v>
      </c>
      <c r="S607" s="356">
        <f t="shared" si="55"/>
        <v>11155.5</v>
      </c>
    </row>
    <row r="608" spans="1:19" ht="14.1" customHeight="1">
      <c r="A608" s="72">
        <f t="shared" si="54"/>
        <v>608</v>
      </c>
      <c r="B608" s="50" t="s">
        <v>812</v>
      </c>
      <c r="C608" s="50" t="s">
        <v>831</v>
      </c>
      <c r="D608" s="427" t="s">
        <v>1033</v>
      </c>
      <c r="E608" s="426" t="s">
        <v>612</v>
      </c>
      <c r="F608" s="349" t="s">
        <v>332</v>
      </c>
      <c r="G608" s="86" t="s">
        <v>311</v>
      </c>
      <c r="H608" s="86" t="s">
        <v>203</v>
      </c>
      <c r="I608" s="86" t="s">
        <v>789</v>
      </c>
      <c r="J608" s="343">
        <v>16.84</v>
      </c>
      <c r="K608" s="351">
        <f t="shared" si="51"/>
        <v>120</v>
      </c>
      <c r="L608" s="352">
        <v>120</v>
      </c>
      <c r="M608" s="448" t="str">
        <f>IF(L608="nio","",VLOOKUP(L608,'3-Productie normen'!$B$31:$H$45,3,FALSE))</f>
        <v>3 x per week (40 weken)</v>
      </c>
      <c r="N608" s="353" t="e">
        <f t="shared" si="52"/>
        <v>#DIV/0!</v>
      </c>
      <c r="O608" s="354">
        <f>IF(L608="nio",0,IF(L608&gt;0,VLOOKUP(H608,'3-Productie normen'!A:P,VLOOKUP(L608,'3-Productie normen'!$B$31:$C$45,2,FALSE),FALSE)))/VLOOKUP(B608,'2-Kosten per locatie'!$A$13:$D$36,4,FALSE)</f>
        <v>0</v>
      </c>
      <c r="P608" s="82" t="str">
        <f>VLOOKUP(H608,'3-Productie normen'!A:T,20,FALSE)</f>
        <v>B</v>
      </c>
      <c r="Q608" s="447" t="s">
        <v>792</v>
      </c>
      <c r="S608" s="356">
        <f t="shared" si="55"/>
        <v>2020.8</v>
      </c>
    </row>
    <row r="609" spans="1:19" ht="14.1" customHeight="1">
      <c r="A609" s="72">
        <f t="shared" si="54"/>
        <v>609</v>
      </c>
      <c r="B609" s="50" t="s">
        <v>812</v>
      </c>
      <c r="C609" s="50" t="s">
        <v>831</v>
      </c>
      <c r="D609" s="427" t="s">
        <v>1033</v>
      </c>
      <c r="E609" s="426" t="s">
        <v>612</v>
      </c>
      <c r="F609" s="349" t="s">
        <v>333</v>
      </c>
      <c r="G609" s="86" t="s">
        <v>281</v>
      </c>
      <c r="H609" s="86" t="s">
        <v>203</v>
      </c>
      <c r="I609" s="86" t="s">
        <v>789</v>
      </c>
      <c r="J609" s="343">
        <v>16.32</v>
      </c>
      <c r="K609" s="351">
        <f t="shared" si="51"/>
        <v>120</v>
      </c>
      <c r="L609" s="352">
        <v>120</v>
      </c>
      <c r="M609" s="448" t="str">
        <f>IF(L609="nio","",VLOOKUP(L609,'3-Productie normen'!$B$31:$H$45,3,FALSE))</f>
        <v>3 x per week (40 weken)</v>
      </c>
      <c r="N609" s="353" t="e">
        <f t="shared" si="52"/>
        <v>#DIV/0!</v>
      </c>
      <c r="O609" s="354">
        <f>IF(L609="nio",0,IF(L609&gt;0,VLOOKUP(H609,'3-Productie normen'!A:P,VLOOKUP(L609,'3-Productie normen'!$B$31:$C$45,2,FALSE),FALSE)))/VLOOKUP(B609,'2-Kosten per locatie'!$A$13:$D$36,4,FALSE)</f>
        <v>0</v>
      </c>
      <c r="P609" s="82" t="str">
        <f>VLOOKUP(H609,'3-Productie normen'!A:T,20,FALSE)</f>
        <v>B</v>
      </c>
      <c r="Q609" s="447" t="s">
        <v>792</v>
      </c>
      <c r="S609" s="356">
        <f t="shared" si="55"/>
        <v>1958.4</v>
      </c>
    </row>
    <row r="610" spans="1:19" ht="14.1" customHeight="1">
      <c r="A610" s="72">
        <f t="shared" si="54"/>
        <v>610</v>
      </c>
      <c r="B610" s="50" t="s">
        <v>812</v>
      </c>
      <c r="C610" s="50" t="s">
        <v>831</v>
      </c>
      <c r="D610" s="427" t="s">
        <v>1033</v>
      </c>
      <c r="E610" s="426" t="s">
        <v>612</v>
      </c>
      <c r="F610" s="349" t="s">
        <v>334</v>
      </c>
      <c r="G610" s="86" t="s">
        <v>393</v>
      </c>
      <c r="H610" s="432" t="s">
        <v>198</v>
      </c>
      <c r="I610" s="86" t="s">
        <v>780</v>
      </c>
      <c r="J610" s="343">
        <v>64.540000000000006</v>
      </c>
      <c r="K610" s="351">
        <f t="shared" si="51"/>
        <v>200</v>
      </c>
      <c r="L610" s="352">
        <v>200</v>
      </c>
      <c r="M610" s="448" t="str">
        <f>IF(L610="nio","",VLOOKUP(L610,'3-Productie normen'!$B$31:$H$45,3,FALSE))</f>
        <v>5 x per week (40 weken)</v>
      </c>
      <c r="N610" s="353" t="e">
        <f t="shared" si="52"/>
        <v>#DIV/0!</v>
      </c>
      <c r="O610" s="354">
        <f>IF(L610="nio",0,IF(L610&gt;0,VLOOKUP(H610,'3-Productie normen'!A:P,VLOOKUP(L610,'3-Productie normen'!$B$31:$C$45,2,FALSE),FALSE)))/VLOOKUP(B610,'2-Kosten per locatie'!$A$13:$D$36,4,FALSE)</f>
        <v>0</v>
      </c>
      <c r="P610" s="82" t="str">
        <f>VLOOKUP(H610,'3-Productie normen'!A:T,20,FALSE)</f>
        <v>V</v>
      </c>
      <c r="Q610" s="447" t="s">
        <v>792</v>
      </c>
      <c r="S610" s="356">
        <f t="shared" si="55"/>
        <v>12908.000000000002</v>
      </c>
    </row>
    <row r="611" spans="1:19" ht="14.1" customHeight="1">
      <c r="A611" s="72">
        <f t="shared" si="54"/>
        <v>611</v>
      </c>
      <c r="B611" s="50" t="s">
        <v>812</v>
      </c>
      <c r="C611" s="50" t="s">
        <v>831</v>
      </c>
      <c r="D611" s="427" t="s">
        <v>1033</v>
      </c>
      <c r="E611" s="426" t="s">
        <v>612</v>
      </c>
      <c r="F611" s="349" t="s">
        <v>630</v>
      </c>
      <c r="G611" s="86" t="s">
        <v>393</v>
      </c>
      <c r="H611" s="432" t="s">
        <v>198</v>
      </c>
      <c r="I611" s="86" t="s">
        <v>789</v>
      </c>
      <c r="J611" s="343">
        <v>84</v>
      </c>
      <c r="K611" s="351">
        <f t="shared" si="51"/>
        <v>200</v>
      </c>
      <c r="L611" s="352">
        <v>200</v>
      </c>
      <c r="M611" s="448" t="str">
        <f>IF(L611="nio","",VLOOKUP(L611,'3-Productie normen'!$B$31:$H$45,3,FALSE))</f>
        <v>5 x per week (40 weken)</v>
      </c>
      <c r="N611" s="353" t="e">
        <f t="shared" si="52"/>
        <v>#DIV/0!</v>
      </c>
      <c r="O611" s="354">
        <f>IF(L611="nio",0,IF(L611&gt;0,VLOOKUP(H611,'3-Productie normen'!A:P,VLOOKUP(L611,'3-Productie normen'!$B$31:$C$45,2,FALSE),FALSE)))/VLOOKUP(B611,'2-Kosten per locatie'!$A$13:$D$36,4,FALSE)</f>
        <v>0</v>
      </c>
      <c r="P611" s="82" t="str">
        <f>VLOOKUP(H611,'3-Productie normen'!A:T,20,FALSE)</f>
        <v>V</v>
      </c>
      <c r="Q611" s="447" t="s">
        <v>792</v>
      </c>
      <c r="S611" s="356">
        <f t="shared" si="55"/>
        <v>16800</v>
      </c>
    </row>
    <row r="612" spans="1:19" ht="14.1" customHeight="1">
      <c r="A612" s="72">
        <f t="shared" si="54"/>
        <v>612</v>
      </c>
      <c r="B612" s="50" t="s">
        <v>812</v>
      </c>
      <c r="C612" s="50" t="s">
        <v>831</v>
      </c>
      <c r="D612" s="427" t="s">
        <v>1033</v>
      </c>
      <c r="E612" s="426" t="s">
        <v>612</v>
      </c>
      <c r="F612" s="349" t="s">
        <v>631</v>
      </c>
      <c r="G612" s="86" t="s">
        <v>347</v>
      </c>
      <c r="H612" s="432" t="s">
        <v>198</v>
      </c>
      <c r="I612" s="86" t="s">
        <v>180</v>
      </c>
      <c r="J612" s="343">
        <v>22</v>
      </c>
      <c r="K612" s="351">
        <f t="shared" si="51"/>
        <v>200</v>
      </c>
      <c r="L612" s="352">
        <v>200</v>
      </c>
      <c r="M612" s="448" t="str">
        <f>IF(L612="nio","",VLOOKUP(L612,'3-Productie normen'!$B$31:$H$45,3,FALSE))</f>
        <v>5 x per week (40 weken)</v>
      </c>
      <c r="N612" s="353" t="e">
        <f t="shared" si="52"/>
        <v>#DIV/0!</v>
      </c>
      <c r="O612" s="354">
        <f>IF(L612="nio",0,IF(L612&gt;0,VLOOKUP(H612,'3-Productie normen'!A:P,VLOOKUP(L612,'3-Productie normen'!$B$31:$C$45,2,FALSE),FALSE)))/VLOOKUP(B612,'2-Kosten per locatie'!$A$13:$D$36,4,FALSE)</f>
        <v>0</v>
      </c>
      <c r="P612" s="82" t="str">
        <f>VLOOKUP(H612,'3-Productie normen'!A:T,20,FALSE)</f>
        <v>V</v>
      </c>
      <c r="Q612" s="447" t="s">
        <v>792</v>
      </c>
      <c r="S612" s="356">
        <f t="shared" si="55"/>
        <v>4400</v>
      </c>
    </row>
    <row r="613" spans="1:19" ht="14.1" customHeight="1">
      <c r="A613" s="72">
        <f t="shared" si="54"/>
        <v>613</v>
      </c>
      <c r="B613" s="50" t="s">
        <v>812</v>
      </c>
      <c r="C613" s="50" t="s">
        <v>831</v>
      </c>
      <c r="D613" s="427" t="s">
        <v>1033</v>
      </c>
      <c r="E613" s="426" t="s">
        <v>612</v>
      </c>
      <c r="F613" s="349" t="s">
        <v>336</v>
      </c>
      <c r="G613" s="86" t="s">
        <v>212</v>
      </c>
      <c r="H613" s="65" t="s">
        <v>1053</v>
      </c>
      <c r="I613" s="86" t="s">
        <v>786</v>
      </c>
      <c r="J613" s="343">
        <v>13.699999809265099</v>
      </c>
      <c r="K613" s="351" t="str">
        <f t="shared" si="51"/>
        <v>nio</v>
      </c>
      <c r="L613" s="352" t="s">
        <v>804</v>
      </c>
      <c r="M613" s="448" t="str">
        <f>IF(L613="nio","",VLOOKUP(L613,'3-Productie normen'!$B$31:$H$45,3,FALSE))</f>
        <v/>
      </c>
      <c r="N613" s="353">
        <f t="shared" si="52"/>
        <v>0</v>
      </c>
      <c r="O613" s="354">
        <f>IF(L613="nio",0,IF(L613&gt;0,VLOOKUP(H613,'3-Productie normen'!A:P,VLOOKUP(L613,'3-Productie normen'!$B$31:$C$45,2,FALSE),FALSE)))/VLOOKUP(B613,'2-Kosten per locatie'!$A$13:$D$36,4,FALSE)</f>
        <v>0</v>
      </c>
      <c r="P613" s="82">
        <f>VLOOKUP(H613,'3-Productie normen'!A:T,20,FALSE)</f>
        <v>0</v>
      </c>
      <c r="Q613" s="447" t="s">
        <v>792</v>
      </c>
      <c r="S613" s="356">
        <f t="shared" si="55"/>
        <v>0</v>
      </c>
    </row>
    <row r="614" spans="1:19" ht="14.1" customHeight="1">
      <c r="A614" s="72">
        <f t="shared" si="54"/>
        <v>614</v>
      </c>
      <c r="B614" s="50" t="s">
        <v>812</v>
      </c>
      <c r="C614" s="50" t="s">
        <v>831</v>
      </c>
      <c r="D614" s="427" t="s">
        <v>1033</v>
      </c>
      <c r="E614" s="426" t="s">
        <v>612</v>
      </c>
      <c r="F614" s="349" t="s">
        <v>276</v>
      </c>
      <c r="G614" s="86" t="s">
        <v>206</v>
      </c>
      <c r="H614" s="65" t="s">
        <v>1053</v>
      </c>
      <c r="I614" s="86" t="s">
        <v>92</v>
      </c>
      <c r="J614" s="343">
        <v>38.229999999999997</v>
      </c>
      <c r="K614" s="351" t="str">
        <f t="shared" si="51"/>
        <v>nio</v>
      </c>
      <c r="L614" s="352" t="s">
        <v>804</v>
      </c>
      <c r="M614" s="448" t="str">
        <f>IF(L614="nio","",VLOOKUP(L614,'3-Productie normen'!$B$31:$H$45,3,FALSE))</f>
        <v/>
      </c>
      <c r="N614" s="353">
        <f t="shared" si="52"/>
        <v>0</v>
      </c>
      <c r="O614" s="354">
        <f>IF(L614="nio",0,IF(L614&gt;0,VLOOKUP(H614,'3-Productie normen'!A:P,VLOOKUP(L614,'3-Productie normen'!$B$31:$C$45,2,FALSE),FALSE)))/VLOOKUP(B614,'2-Kosten per locatie'!$A$13:$D$36,4,FALSE)</f>
        <v>0</v>
      </c>
      <c r="P614" s="82">
        <f>VLOOKUP(H614,'3-Productie normen'!A:T,20,FALSE)</f>
        <v>0</v>
      </c>
      <c r="Q614" s="447" t="s">
        <v>792</v>
      </c>
      <c r="S614" s="356">
        <f t="shared" si="55"/>
        <v>0</v>
      </c>
    </row>
    <row r="615" spans="1:19" ht="14.1" customHeight="1">
      <c r="A615" s="72">
        <f t="shared" si="54"/>
        <v>615</v>
      </c>
      <c r="B615" s="50" t="s">
        <v>812</v>
      </c>
      <c r="C615" s="50" t="s">
        <v>831</v>
      </c>
      <c r="D615" s="427" t="s">
        <v>1033</v>
      </c>
      <c r="E615" s="426" t="s">
        <v>612</v>
      </c>
      <c r="F615" s="349" t="s">
        <v>278</v>
      </c>
      <c r="G615" s="86" t="s">
        <v>209</v>
      </c>
      <c r="H615" s="63" t="s">
        <v>1040</v>
      </c>
      <c r="I615" s="86" t="s">
        <v>92</v>
      </c>
      <c r="J615" s="343">
        <v>77.09</v>
      </c>
      <c r="K615" s="351">
        <f t="shared" si="51"/>
        <v>12</v>
      </c>
      <c r="L615" s="352">
        <v>12</v>
      </c>
      <c r="M615" s="448" t="str">
        <f>IF(L615="nio","",VLOOKUP(L615,'3-Productie normen'!$B$31:$H$45,3,FALSE))</f>
        <v>1 x per maand</v>
      </c>
      <c r="N615" s="353" t="e">
        <f t="shared" si="52"/>
        <v>#DIV/0!</v>
      </c>
      <c r="O615" s="354">
        <f>IF(L615="nio",0,IF(L615&gt;0,VLOOKUP(H615,'3-Productie normen'!A:P,VLOOKUP(L615,'3-Productie normen'!$B$31:$C$45,2,FALSE),FALSE)))/VLOOKUP(B615,'2-Kosten per locatie'!$A$13:$D$36,4,FALSE)</f>
        <v>0</v>
      </c>
      <c r="P615" s="82" t="str">
        <f>VLOOKUP(H615,'3-Productie normen'!A:T,20,FALSE)</f>
        <v>V</v>
      </c>
      <c r="Q615" s="447" t="s">
        <v>792</v>
      </c>
      <c r="S615" s="356">
        <f t="shared" si="55"/>
        <v>925.08</v>
      </c>
    </row>
    <row r="616" spans="1:19" ht="14.1" customHeight="1">
      <c r="A616" s="72">
        <f t="shared" si="54"/>
        <v>616</v>
      </c>
      <c r="B616" s="50" t="s">
        <v>812</v>
      </c>
      <c r="C616" s="50" t="s">
        <v>831</v>
      </c>
      <c r="D616" s="427" t="s">
        <v>1033</v>
      </c>
      <c r="E616" s="426" t="s">
        <v>612</v>
      </c>
      <c r="F616" s="349" t="s">
        <v>280</v>
      </c>
      <c r="G616" s="86" t="s">
        <v>206</v>
      </c>
      <c r="H616" s="65" t="s">
        <v>1053</v>
      </c>
      <c r="I616" s="86" t="s">
        <v>92</v>
      </c>
      <c r="J616" s="343">
        <v>15.43</v>
      </c>
      <c r="K616" s="351" t="str">
        <f t="shared" si="51"/>
        <v>nio</v>
      </c>
      <c r="L616" s="352" t="s">
        <v>804</v>
      </c>
      <c r="M616" s="448" t="str">
        <f>IF(L616="nio","",VLOOKUP(L616,'3-Productie normen'!$B$31:$H$45,3,FALSE))</f>
        <v/>
      </c>
      <c r="N616" s="353">
        <f t="shared" si="52"/>
        <v>0</v>
      </c>
      <c r="O616" s="354">
        <f>IF(L616="nio",0,IF(L616&gt;0,VLOOKUP(H616,'3-Productie normen'!A:P,VLOOKUP(L616,'3-Productie normen'!$B$31:$C$45,2,FALSE),FALSE)))/VLOOKUP(B616,'2-Kosten per locatie'!$A$13:$D$36,4,FALSE)</f>
        <v>0</v>
      </c>
      <c r="P616" s="82">
        <f>VLOOKUP(H616,'3-Productie normen'!A:T,20,FALSE)</f>
        <v>0</v>
      </c>
      <c r="Q616" s="447" t="s">
        <v>792</v>
      </c>
      <c r="S616" s="356">
        <f t="shared" si="55"/>
        <v>0</v>
      </c>
    </row>
    <row r="617" spans="1:19" ht="14.1" customHeight="1">
      <c r="A617" s="72">
        <f t="shared" si="54"/>
        <v>617</v>
      </c>
      <c r="B617" s="50" t="s">
        <v>812</v>
      </c>
      <c r="C617" s="50" t="s">
        <v>831</v>
      </c>
      <c r="D617" s="427" t="s">
        <v>1033</v>
      </c>
      <c r="E617" s="426" t="s">
        <v>612</v>
      </c>
      <c r="F617" s="349" t="s">
        <v>282</v>
      </c>
      <c r="G617" s="86" t="s">
        <v>206</v>
      </c>
      <c r="H617" s="65" t="s">
        <v>1053</v>
      </c>
      <c r="I617" s="86" t="s">
        <v>92</v>
      </c>
      <c r="J617" s="343">
        <v>15.43</v>
      </c>
      <c r="K617" s="351" t="str">
        <f t="shared" si="51"/>
        <v>nio</v>
      </c>
      <c r="L617" s="352" t="s">
        <v>804</v>
      </c>
      <c r="M617" s="448" t="str">
        <f>IF(L617="nio","",VLOOKUP(L617,'3-Productie normen'!$B$31:$H$45,3,FALSE))</f>
        <v/>
      </c>
      <c r="N617" s="353">
        <f t="shared" si="52"/>
        <v>0</v>
      </c>
      <c r="O617" s="354">
        <f>IF(L617="nio",0,IF(L617&gt;0,VLOOKUP(H617,'3-Productie normen'!A:P,VLOOKUP(L617,'3-Productie normen'!$B$31:$C$45,2,FALSE),FALSE)))/VLOOKUP(B617,'2-Kosten per locatie'!$A$13:$D$36,4,FALSE)</f>
        <v>0</v>
      </c>
      <c r="P617" s="82">
        <f>VLOOKUP(H617,'3-Productie normen'!A:T,20,FALSE)</f>
        <v>0</v>
      </c>
      <c r="Q617" s="447" t="s">
        <v>792</v>
      </c>
      <c r="S617" s="356">
        <f t="shared" si="55"/>
        <v>0</v>
      </c>
    </row>
    <row r="618" spans="1:19" ht="14.1" customHeight="1">
      <c r="A618" s="72">
        <f t="shared" si="54"/>
        <v>618</v>
      </c>
      <c r="B618" s="50" t="s">
        <v>813</v>
      </c>
      <c r="C618" s="50" t="s">
        <v>832</v>
      </c>
      <c r="D618" s="427" t="s">
        <v>1033</v>
      </c>
      <c r="E618" s="426" t="s">
        <v>612</v>
      </c>
      <c r="F618" s="349" t="s">
        <v>197</v>
      </c>
      <c r="G618" s="86" t="s">
        <v>199</v>
      </c>
      <c r="H618" s="432" t="s">
        <v>198</v>
      </c>
      <c r="I618" s="86" t="s">
        <v>784</v>
      </c>
      <c r="J618" s="343">
        <v>5.9000000953674299</v>
      </c>
      <c r="K618" s="351">
        <f t="shared" si="51"/>
        <v>255</v>
      </c>
      <c r="L618" s="352">
        <v>255</v>
      </c>
      <c r="M618" s="448" t="str">
        <f>IF(L618="nio","",VLOOKUP(L618,'3-Productie normen'!$B$31:$H$45,3,FALSE))</f>
        <v>5 x per week (52 weken)</v>
      </c>
      <c r="N618" s="353" t="e">
        <f t="shared" si="52"/>
        <v>#DIV/0!</v>
      </c>
      <c r="O618" s="354">
        <f>IF(L618="nio",0,IF(L618&gt;0,VLOOKUP(H618,'3-Productie normen'!A:P,VLOOKUP(L618,'3-Productie normen'!$B$31:$C$45,2,FALSE),FALSE)))/VLOOKUP(B618,'2-Kosten per locatie'!$A$13:$D$36,4,FALSE)</f>
        <v>0</v>
      </c>
      <c r="P618" s="82" t="str">
        <f>VLOOKUP(H618,'3-Productie normen'!A:T,20,FALSE)</f>
        <v>V</v>
      </c>
      <c r="Q618" s="447" t="s">
        <v>975</v>
      </c>
      <c r="S618" s="356">
        <f t="shared" si="55"/>
        <v>1504.5000243186946</v>
      </c>
    </row>
    <row r="619" spans="1:19" ht="14.1" customHeight="1">
      <c r="A619" s="72">
        <f t="shared" si="54"/>
        <v>619</v>
      </c>
      <c r="B619" s="50" t="s">
        <v>813</v>
      </c>
      <c r="C619" s="50" t="s">
        <v>832</v>
      </c>
      <c r="D619" s="427" t="s">
        <v>1033</v>
      </c>
      <c r="E619" s="426" t="s">
        <v>612</v>
      </c>
      <c r="F619" s="349" t="s">
        <v>200</v>
      </c>
      <c r="G619" s="86" t="s">
        <v>201</v>
      </c>
      <c r="H619" s="432" t="s">
        <v>198</v>
      </c>
      <c r="I619" s="86" t="s">
        <v>780</v>
      </c>
      <c r="J619" s="343">
        <v>60.5</v>
      </c>
      <c r="K619" s="351">
        <f t="shared" si="51"/>
        <v>255</v>
      </c>
      <c r="L619" s="352">
        <v>255</v>
      </c>
      <c r="M619" s="448" t="str">
        <f>IF(L619="nio","",VLOOKUP(L619,'3-Productie normen'!$B$31:$H$45,3,FALSE))</f>
        <v>5 x per week (52 weken)</v>
      </c>
      <c r="N619" s="353" t="e">
        <f t="shared" si="52"/>
        <v>#DIV/0!</v>
      </c>
      <c r="O619" s="354">
        <f>IF(L619="nio",0,IF(L619&gt;0,VLOOKUP(H619,'3-Productie normen'!A:P,VLOOKUP(L619,'3-Productie normen'!$B$31:$C$45,2,FALSE),FALSE)))/VLOOKUP(B619,'2-Kosten per locatie'!$A$13:$D$36,4,FALSE)</f>
        <v>0</v>
      </c>
      <c r="P619" s="82" t="str">
        <f>VLOOKUP(H619,'3-Productie normen'!A:T,20,FALSE)</f>
        <v>V</v>
      </c>
      <c r="Q619" s="447" t="s">
        <v>792</v>
      </c>
      <c r="S619" s="356">
        <f t="shared" si="55"/>
        <v>15427.5</v>
      </c>
    </row>
    <row r="620" spans="1:19" ht="14.1" customHeight="1">
      <c r="A620" s="72">
        <f t="shared" si="54"/>
        <v>620</v>
      </c>
      <c r="B620" s="50" t="s">
        <v>813</v>
      </c>
      <c r="C620" s="50" t="s">
        <v>832</v>
      </c>
      <c r="D620" s="427" t="s">
        <v>1033</v>
      </c>
      <c r="E620" s="426" t="s">
        <v>612</v>
      </c>
      <c r="F620" s="349" t="s">
        <v>417</v>
      </c>
      <c r="G620" s="86" t="s">
        <v>206</v>
      </c>
      <c r="H620" s="65" t="s">
        <v>1053</v>
      </c>
      <c r="I620" s="86" t="s">
        <v>92</v>
      </c>
      <c r="J620" s="343">
        <v>0.89999997615814198</v>
      </c>
      <c r="K620" s="351" t="str">
        <f t="shared" si="51"/>
        <v>nio</v>
      </c>
      <c r="L620" s="352" t="s">
        <v>804</v>
      </c>
      <c r="M620" s="448" t="str">
        <f>IF(L620="nio","",VLOOKUP(L620,'3-Productie normen'!$B$31:$H$45,3,FALSE))</f>
        <v/>
      </c>
      <c r="N620" s="353">
        <f t="shared" si="52"/>
        <v>0</v>
      </c>
      <c r="O620" s="354">
        <f>IF(L620="nio",0,IF(L620&gt;0,VLOOKUP(H620,'3-Productie normen'!A:P,VLOOKUP(L620,'3-Productie normen'!$B$31:$C$45,2,FALSE),FALSE)))/VLOOKUP(B620,'2-Kosten per locatie'!$A$13:$D$36,4,FALSE)</f>
        <v>0</v>
      </c>
      <c r="P620" s="82">
        <f>VLOOKUP(H620,'3-Productie normen'!A:T,20,FALSE)</f>
        <v>0</v>
      </c>
      <c r="Q620" s="447" t="s">
        <v>883</v>
      </c>
      <c r="S620" s="356">
        <f t="shared" si="55"/>
        <v>0</v>
      </c>
    </row>
    <row r="621" spans="1:19" ht="14.1" customHeight="1">
      <c r="A621" s="72">
        <f t="shared" si="54"/>
        <v>621</v>
      </c>
      <c r="B621" s="50" t="s">
        <v>813</v>
      </c>
      <c r="C621" s="50" t="s">
        <v>832</v>
      </c>
      <c r="D621" s="427" t="s">
        <v>1033</v>
      </c>
      <c r="E621" s="426" t="s">
        <v>612</v>
      </c>
      <c r="F621" s="349" t="s">
        <v>202</v>
      </c>
      <c r="G621" s="86" t="s">
        <v>388</v>
      </c>
      <c r="H621" s="86" t="s">
        <v>203</v>
      </c>
      <c r="I621" s="86" t="s">
        <v>780</v>
      </c>
      <c r="J621" s="343">
        <v>19.5</v>
      </c>
      <c r="K621" s="351">
        <f t="shared" si="51"/>
        <v>120</v>
      </c>
      <c r="L621" s="352">
        <v>120</v>
      </c>
      <c r="M621" s="448" t="str">
        <f>IF(L621="nio","",VLOOKUP(L621,'3-Productie normen'!$B$31:$H$45,3,FALSE))</f>
        <v>3 x per week (40 weken)</v>
      </c>
      <c r="N621" s="353" t="e">
        <f t="shared" si="52"/>
        <v>#DIV/0!</v>
      </c>
      <c r="O621" s="354">
        <f>IF(L621="nio",0,IF(L621&gt;0,VLOOKUP(H621,'3-Productie normen'!A:P,VLOOKUP(L621,'3-Productie normen'!$B$31:$C$45,2,FALSE),FALSE)))/VLOOKUP(B621,'2-Kosten per locatie'!$A$13:$D$36,4,FALSE)</f>
        <v>0</v>
      </c>
      <c r="P621" s="82" t="str">
        <f>VLOOKUP(H621,'3-Productie normen'!A:T,20,FALSE)</f>
        <v>B</v>
      </c>
      <c r="Q621" s="447" t="s">
        <v>792</v>
      </c>
      <c r="S621" s="356">
        <f t="shared" si="55"/>
        <v>2340</v>
      </c>
    </row>
    <row r="622" spans="1:19" ht="14.1" customHeight="1">
      <c r="A622" s="72">
        <f t="shared" si="54"/>
        <v>622</v>
      </c>
      <c r="B622" s="50" t="s">
        <v>813</v>
      </c>
      <c r="C622" s="50" t="s">
        <v>832</v>
      </c>
      <c r="D622" s="427" t="s">
        <v>1033</v>
      </c>
      <c r="E622" s="426" t="s">
        <v>612</v>
      </c>
      <c r="F622" s="349" t="s">
        <v>205</v>
      </c>
      <c r="G622" s="86" t="s">
        <v>226</v>
      </c>
      <c r="H622" s="81" t="s">
        <v>16</v>
      </c>
      <c r="I622" s="86" t="s">
        <v>781</v>
      </c>
      <c r="J622" s="343">
        <v>9.07</v>
      </c>
      <c r="K622" s="351">
        <f t="shared" si="51"/>
        <v>201</v>
      </c>
      <c r="L622" s="352">
        <v>201</v>
      </c>
      <c r="M622" s="448" t="str">
        <f>IF(L622="nio","",VLOOKUP(L622,'3-Productie normen'!$B$31:$H$45,3,FALSE))</f>
        <v>5 x per week (40 weken + 1 Zomer refreshbeurt)</v>
      </c>
      <c r="N622" s="353" t="e">
        <f t="shared" si="52"/>
        <v>#DIV/0!</v>
      </c>
      <c r="O622" s="354">
        <f>IF(L622="nio",0,IF(L622&gt;0,VLOOKUP(H622,'3-Productie normen'!A:P,VLOOKUP(L622,'3-Productie normen'!$B$31:$C$45,2,FALSE),FALSE)))/VLOOKUP(B622,'2-Kosten per locatie'!$A$13:$D$36,4,FALSE)</f>
        <v>0</v>
      </c>
      <c r="P622" s="82" t="str">
        <f>VLOOKUP(H622,'3-Productie normen'!A:T,20,FALSE)</f>
        <v>S</v>
      </c>
      <c r="Q622" s="447" t="s">
        <v>912</v>
      </c>
      <c r="S622" s="356">
        <f t="shared" si="55"/>
        <v>1823.0700000000002</v>
      </c>
    </row>
    <row r="623" spans="1:19" ht="14.1" customHeight="1">
      <c r="A623" s="72">
        <f t="shared" si="54"/>
        <v>623</v>
      </c>
      <c r="B623" s="50" t="s">
        <v>813</v>
      </c>
      <c r="C623" s="50" t="s">
        <v>832</v>
      </c>
      <c r="D623" s="427" t="s">
        <v>1033</v>
      </c>
      <c r="E623" s="426" t="s">
        <v>612</v>
      </c>
      <c r="F623" s="349" t="s">
        <v>207</v>
      </c>
      <c r="G623" s="86" t="s">
        <v>246</v>
      </c>
      <c r="H623" s="81" t="s">
        <v>1039</v>
      </c>
      <c r="I623" s="86" t="s">
        <v>780</v>
      </c>
      <c r="J623" s="343">
        <v>108</v>
      </c>
      <c r="K623" s="351">
        <f t="shared" si="51"/>
        <v>200</v>
      </c>
      <c r="L623" s="352">
        <v>200</v>
      </c>
      <c r="M623" s="448" t="str">
        <f>IF(L623="nio","",VLOOKUP(L623,'3-Productie normen'!$B$31:$H$45,3,FALSE))</f>
        <v>5 x per week (40 weken)</v>
      </c>
      <c r="N623" s="353" t="e">
        <f t="shared" si="52"/>
        <v>#DIV/0!</v>
      </c>
      <c r="O623" s="354">
        <f>IF(L623="nio",0,IF(L623&gt;0,VLOOKUP(H623,'3-Productie normen'!A:P,VLOOKUP(L623,'3-Productie normen'!$B$31:$C$45,2,FALSE),FALSE)))/VLOOKUP(B623,'2-Kosten per locatie'!$A$13:$D$36,4,FALSE)</f>
        <v>0</v>
      </c>
      <c r="P623" s="82" t="str">
        <f>VLOOKUP(H623,'3-Productie normen'!A:T,20,FALSE)</f>
        <v>V</v>
      </c>
      <c r="Q623" s="447" t="s">
        <v>792</v>
      </c>
      <c r="S623" s="356">
        <f t="shared" si="55"/>
        <v>21600</v>
      </c>
    </row>
    <row r="624" spans="1:19" ht="14.1" customHeight="1">
      <c r="A624" s="72">
        <f t="shared" si="54"/>
        <v>624</v>
      </c>
      <c r="B624" s="50" t="s">
        <v>813</v>
      </c>
      <c r="C624" s="50" t="s">
        <v>832</v>
      </c>
      <c r="D624" s="427" t="s">
        <v>1033</v>
      </c>
      <c r="E624" s="426" t="s">
        <v>612</v>
      </c>
      <c r="F624" s="349" t="s">
        <v>632</v>
      </c>
      <c r="G624" s="86" t="s">
        <v>248</v>
      </c>
      <c r="H624" s="63" t="s">
        <v>1040</v>
      </c>
      <c r="I624" s="86" t="s">
        <v>780</v>
      </c>
      <c r="J624" s="343">
        <v>13.800000190734901</v>
      </c>
      <c r="K624" s="351">
        <f t="shared" si="51"/>
        <v>12</v>
      </c>
      <c r="L624" s="352">
        <v>12</v>
      </c>
      <c r="M624" s="448" t="str">
        <f>IF(L624="nio","",VLOOKUP(L624,'3-Productie normen'!$B$31:$H$45,3,FALSE))</f>
        <v>1 x per maand</v>
      </c>
      <c r="N624" s="353" t="e">
        <f t="shared" si="52"/>
        <v>#DIV/0!</v>
      </c>
      <c r="O624" s="354">
        <f>IF(L624="nio",0,IF(L624&gt;0,VLOOKUP(H624,'3-Productie normen'!A:P,VLOOKUP(L624,'3-Productie normen'!$B$31:$C$45,2,FALSE),FALSE)))/VLOOKUP(B624,'2-Kosten per locatie'!$A$13:$D$36,4,FALSE)</f>
        <v>0</v>
      </c>
      <c r="P624" s="82" t="str">
        <f>VLOOKUP(H624,'3-Productie normen'!A:T,20,FALSE)</f>
        <v>V</v>
      </c>
      <c r="Q624" s="447" t="s">
        <v>792</v>
      </c>
      <c r="S624" s="356">
        <f t="shared" si="55"/>
        <v>165.60000228881881</v>
      </c>
    </row>
    <row r="625" spans="1:19" ht="14.1" customHeight="1">
      <c r="A625" s="72">
        <f t="shared" si="54"/>
        <v>625</v>
      </c>
      <c r="B625" s="50" t="s">
        <v>813</v>
      </c>
      <c r="C625" s="50" t="s">
        <v>832</v>
      </c>
      <c r="D625" s="427" t="s">
        <v>1033</v>
      </c>
      <c r="E625" s="426" t="s">
        <v>612</v>
      </c>
      <c r="F625" s="349" t="s">
        <v>633</v>
      </c>
      <c r="G625" s="86" t="s">
        <v>206</v>
      </c>
      <c r="H625" s="65" t="s">
        <v>1053</v>
      </c>
      <c r="I625" s="86" t="s">
        <v>92</v>
      </c>
      <c r="J625" s="343">
        <v>0.44999998807907099</v>
      </c>
      <c r="K625" s="351" t="str">
        <f t="shared" si="51"/>
        <v>nio</v>
      </c>
      <c r="L625" s="352" t="s">
        <v>804</v>
      </c>
      <c r="M625" s="448" t="str">
        <f>IF(L625="nio","",VLOOKUP(L625,'3-Productie normen'!$B$31:$H$45,3,FALSE))</f>
        <v/>
      </c>
      <c r="N625" s="353">
        <f t="shared" si="52"/>
        <v>0</v>
      </c>
      <c r="O625" s="354">
        <f>IF(L625="nio",0,IF(L625&gt;0,VLOOKUP(H625,'3-Productie normen'!A:P,VLOOKUP(L625,'3-Productie normen'!$B$31:$C$45,2,FALSE),FALSE)))/VLOOKUP(B625,'2-Kosten per locatie'!$A$13:$D$36,4,FALSE)</f>
        <v>0</v>
      </c>
      <c r="P625" s="82">
        <f>VLOOKUP(H625,'3-Productie normen'!A:T,20,FALSE)</f>
        <v>0</v>
      </c>
      <c r="Q625" s="447" t="s">
        <v>866</v>
      </c>
      <c r="S625" s="356">
        <f t="shared" si="55"/>
        <v>0</v>
      </c>
    </row>
    <row r="626" spans="1:19" ht="14.1" customHeight="1">
      <c r="A626" s="72">
        <f t="shared" si="54"/>
        <v>626</v>
      </c>
      <c r="B626" s="50" t="s">
        <v>813</v>
      </c>
      <c r="C626" s="50" t="s">
        <v>832</v>
      </c>
      <c r="D626" s="427" t="s">
        <v>1033</v>
      </c>
      <c r="E626" s="426" t="s">
        <v>612</v>
      </c>
      <c r="F626" s="349" t="s">
        <v>208</v>
      </c>
      <c r="G626" s="86" t="s">
        <v>242</v>
      </c>
      <c r="H626" s="50" t="s">
        <v>241</v>
      </c>
      <c r="I626" s="86" t="s">
        <v>780</v>
      </c>
      <c r="J626" s="343">
        <v>64.699996948242202</v>
      </c>
      <c r="K626" s="351">
        <f t="shared" si="51"/>
        <v>201</v>
      </c>
      <c r="L626" s="352">
        <v>201</v>
      </c>
      <c r="M626" s="448" t="str">
        <f>IF(L626="nio","",VLOOKUP(L626,'3-Productie normen'!$B$31:$H$45,3,FALSE))</f>
        <v>5 x per week (40 weken + 1 Zomer refreshbeurt)</v>
      </c>
      <c r="N626" s="353" t="e">
        <f t="shared" si="52"/>
        <v>#DIV/0!</v>
      </c>
      <c r="O626" s="354">
        <f>IF(L626="nio",0,IF(L626&gt;0,VLOOKUP(H626,'3-Productie normen'!A:P,VLOOKUP(L626,'3-Productie normen'!$B$31:$C$45,2,FALSE),FALSE)))/VLOOKUP(B626,'2-Kosten per locatie'!$A$13:$D$36,4,FALSE)</f>
        <v>0</v>
      </c>
      <c r="P626" s="82" t="str">
        <f>VLOOKUP(H626,'3-Productie normen'!A:T,20,FALSE)</f>
        <v>L</v>
      </c>
      <c r="Q626" s="447" t="s">
        <v>874</v>
      </c>
      <c r="S626" s="356">
        <f t="shared" si="55"/>
        <v>13004.699386596683</v>
      </c>
    </row>
    <row r="627" spans="1:19" ht="14.1" customHeight="1">
      <c r="A627" s="72">
        <f t="shared" si="54"/>
        <v>627</v>
      </c>
      <c r="B627" s="50" t="s">
        <v>813</v>
      </c>
      <c r="C627" s="50" t="s">
        <v>832</v>
      </c>
      <c r="D627" s="427" t="s">
        <v>1033</v>
      </c>
      <c r="E627" s="426" t="s">
        <v>612</v>
      </c>
      <c r="F627" s="349" t="s">
        <v>585</v>
      </c>
      <c r="G627" s="86" t="s">
        <v>209</v>
      </c>
      <c r="H627" s="63" t="s">
        <v>1040</v>
      </c>
      <c r="I627" s="86" t="s">
        <v>780</v>
      </c>
      <c r="J627" s="343">
        <v>2.2699999809265101</v>
      </c>
      <c r="K627" s="351">
        <f t="shared" si="51"/>
        <v>12</v>
      </c>
      <c r="L627" s="352">
        <v>12</v>
      </c>
      <c r="M627" s="448" t="str">
        <f>IF(L627="nio","",VLOOKUP(L627,'3-Productie normen'!$B$31:$H$45,3,FALSE))</f>
        <v>1 x per maand</v>
      </c>
      <c r="N627" s="353" t="e">
        <f t="shared" si="52"/>
        <v>#DIV/0!</v>
      </c>
      <c r="O627" s="354">
        <f>IF(L627="nio",0,IF(L627&gt;0,VLOOKUP(H627,'3-Productie normen'!A:P,VLOOKUP(L627,'3-Productie normen'!$B$31:$C$45,2,FALSE),FALSE)))/VLOOKUP(B627,'2-Kosten per locatie'!$A$13:$D$36,4,FALSE)</f>
        <v>0</v>
      </c>
      <c r="P627" s="82" t="str">
        <f>VLOOKUP(H627,'3-Productie normen'!A:T,20,FALSE)</f>
        <v>V</v>
      </c>
      <c r="Q627" s="447" t="s">
        <v>792</v>
      </c>
      <c r="S627" s="356">
        <f t="shared" si="55"/>
        <v>27.239999771118121</v>
      </c>
    </row>
    <row r="628" spans="1:19" ht="14.1" customHeight="1">
      <c r="A628" s="72">
        <f t="shared" si="54"/>
        <v>628</v>
      </c>
      <c r="B628" s="50" t="s">
        <v>813</v>
      </c>
      <c r="C628" s="50" t="s">
        <v>832</v>
      </c>
      <c r="D628" s="427" t="s">
        <v>1033</v>
      </c>
      <c r="E628" s="426" t="s">
        <v>612</v>
      </c>
      <c r="F628" s="349" t="s">
        <v>210</v>
      </c>
      <c r="G628" s="86" t="s">
        <v>242</v>
      </c>
      <c r="H628" s="50" t="s">
        <v>241</v>
      </c>
      <c r="I628" s="86" t="s">
        <v>780</v>
      </c>
      <c r="J628" s="343">
        <v>64.699996948242202</v>
      </c>
      <c r="K628" s="351">
        <f t="shared" si="51"/>
        <v>201</v>
      </c>
      <c r="L628" s="352">
        <v>201</v>
      </c>
      <c r="M628" s="448" t="str">
        <f>IF(L628="nio","",VLOOKUP(L628,'3-Productie normen'!$B$31:$H$45,3,FALSE))</f>
        <v>5 x per week (40 weken + 1 Zomer refreshbeurt)</v>
      </c>
      <c r="N628" s="353" t="e">
        <f t="shared" si="52"/>
        <v>#DIV/0!</v>
      </c>
      <c r="O628" s="354">
        <f>IF(L628="nio",0,IF(L628&gt;0,VLOOKUP(H628,'3-Productie normen'!A:P,VLOOKUP(L628,'3-Productie normen'!$B$31:$C$45,2,FALSE),FALSE)))/VLOOKUP(B628,'2-Kosten per locatie'!$A$13:$D$36,4,FALSE)</f>
        <v>0</v>
      </c>
      <c r="P628" s="82" t="str">
        <f>VLOOKUP(H628,'3-Productie normen'!A:T,20,FALSE)</f>
        <v>L</v>
      </c>
      <c r="Q628" s="447" t="s">
        <v>874</v>
      </c>
      <c r="S628" s="356">
        <f t="shared" si="55"/>
        <v>13004.699386596683</v>
      </c>
    </row>
    <row r="629" spans="1:19" ht="14.1" customHeight="1">
      <c r="A629" s="72">
        <f t="shared" si="54"/>
        <v>629</v>
      </c>
      <c r="B629" s="50" t="s">
        <v>813</v>
      </c>
      <c r="C629" s="50" t="s">
        <v>832</v>
      </c>
      <c r="D629" s="427" t="s">
        <v>1033</v>
      </c>
      <c r="E629" s="426" t="s">
        <v>612</v>
      </c>
      <c r="F629" s="349" t="s">
        <v>327</v>
      </c>
      <c r="G629" s="86" t="s">
        <v>209</v>
      </c>
      <c r="H629" s="63" t="s">
        <v>1040</v>
      </c>
      <c r="I629" s="86" t="s">
        <v>780</v>
      </c>
      <c r="J629" s="343">
        <v>3.0999999046325701</v>
      </c>
      <c r="K629" s="351">
        <f t="shared" si="51"/>
        <v>12</v>
      </c>
      <c r="L629" s="352">
        <v>12</v>
      </c>
      <c r="M629" s="448" t="str">
        <f>IF(L629="nio","",VLOOKUP(L629,'3-Productie normen'!$B$31:$H$45,3,FALSE))</f>
        <v>1 x per maand</v>
      </c>
      <c r="N629" s="353" t="e">
        <f t="shared" si="52"/>
        <v>#DIV/0!</v>
      </c>
      <c r="O629" s="354">
        <f>IF(L629="nio",0,IF(L629&gt;0,VLOOKUP(H629,'3-Productie normen'!A:P,VLOOKUP(L629,'3-Productie normen'!$B$31:$C$45,2,FALSE),FALSE)))/VLOOKUP(B629,'2-Kosten per locatie'!$A$13:$D$36,4,FALSE)</f>
        <v>0</v>
      </c>
      <c r="P629" s="82" t="str">
        <f>VLOOKUP(H629,'3-Productie normen'!A:T,20,FALSE)</f>
        <v>V</v>
      </c>
      <c r="Q629" s="447" t="s">
        <v>792</v>
      </c>
      <c r="S629" s="356">
        <f t="shared" si="55"/>
        <v>37.199998855590842</v>
      </c>
    </row>
    <row r="630" spans="1:19" ht="14.1" customHeight="1">
      <c r="A630" s="72">
        <f t="shared" si="54"/>
        <v>630</v>
      </c>
      <c r="B630" s="50" t="s">
        <v>813</v>
      </c>
      <c r="C630" s="50" t="s">
        <v>832</v>
      </c>
      <c r="D630" s="427" t="s">
        <v>1034</v>
      </c>
      <c r="E630" s="426" t="s">
        <v>612</v>
      </c>
      <c r="F630" s="349" t="s">
        <v>211</v>
      </c>
      <c r="G630" s="86" t="s">
        <v>394</v>
      </c>
      <c r="H630" s="65" t="s">
        <v>731</v>
      </c>
      <c r="I630" s="86" t="s">
        <v>780</v>
      </c>
      <c r="J630" s="343">
        <v>69.900001525878906</v>
      </c>
      <c r="K630" s="351">
        <f t="shared" si="51"/>
        <v>255</v>
      </c>
      <c r="L630" s="352">
        <v>255</v>
      </c>
      <c r="M630" s="448" t="str">
        <f>IF(L630="nio","",VLOOKUP(L630,'3-Productie normen'!$B$31:$H$45,3,FALSE))</f>
        <v>5 x per week (52 weken)</v>
      </c>
      <c r="N630" s="353" t="e">
        <f t="shared" ref="N630:N693" si="56">IF(L630="nio",0,IF(L630&gt;0,L630*J630/O630,0))</f>
        <v>#DIV/0!</v>
      </c>
      <c r="O630" s="354">
        <f>IF(L630="nio",0,IF(L630&gt;0,VLOOKUP(H630,'3-Productie normen'!A:P,VLOOKUP(L630,'3-Productie normen'!$B$31:$C$45,2,FALSE),FALSE)))/VLOOKUP(B630,'2-Kosten per locatie'!$A$13:$D$36,4,FALSE)</f>
        <v>0</v>
      </c>
      <c r="P630" s="82" t="str">
        <f>VLOOKUP(H630,'3-Productie normen'!A:T,20,FALSE)</f>
        <v>V</v>
      </c>
      <c r="Q630" s="447" t="s">
        <v>792</v>
      </c>
      <c r="S630" s="356">
        <f t="shared" si="55"/>
        <v>17824.500389099121</v>
      </c>
    </row>
    <row r="631" spans="1:19" ht="14.1" customHeight="1">
      <c r="A631" s="72">
        <f t="shared" si="54"/>
        <v>631</v>
      </c>
      <c r="B631" s="50" t="s">
        <v>813</v>
      </c>
      <c r="C631" s="50" t="s">
        <v>832</v>
      </c>
      <c r="D631" s="427" t="s">
        <v>1034</v>
      </c>
      <c r="E631" s="426" t="s">
        <v>612</v>
      </c>
      <c r="F631" s="349" t="s">
        <v>634</v>
      </c>
      <c r="G631" s="86" t="s">
        <v>396</v>
      </c>
      <c r="H631" s="63" t="s">
        <v>1040</v>
      </c>
      <c r="I631" s="86" t="s">
        <v>780</v>
      </c>
      <c r="J631" s="343">
        <v>4</v>
      </c>
      <c r="K631" s="351">
        <f t="shared" si="51"/>
        <v>12</v>
      </c>
      <c r="L631" s="352">
        <v>12</v>
      </c>
      <c r="M631" s="448" t="str">
        <f>IF(L631="nio","",VLOOKUP(L631,'3-Productie normen'!$B$31:$H$45,3,FALSE))</f>
        <v>1 x per maand</v>
      </c>
      <c r="N631" s="353" t="e">
        <f t="shared" si="56"/>
        <v>#DIV/0!</v>
      </c>
      <c r="O631" s="354">
        <f>IF(L631="nio",0,IF(L631&gt;0,VLOOKUP(H631,'3-Productie normen'!A:P,VLOOKUP(L631,'3-Productie normen'!$B$31:$C$45,2,FALSE),FALSE)))/VLOOKUP(B631,'2-Kosten per locatie'!$A$13:$D$36,4,FALSE)</f>
        <v>0</v>
      </c>
      <c r="P631" s="82" t="str">
        <f>VLOOKUP(H631,'3-Productie normen'!A:T,20,FALSE)</f>
        <v>V</v>
      </c>
      <c r="Q631" s="447" t="s">
        <v>792</v>
      </c>
      <c r="S631" s="356">
        <f t="shared" si="55"/>
        <v>48</v>
      </c>
    </row>
    <row r="632" spans="1:19" ht="14.1" customHeight="1">
      <c r="A632" s="72">
        <f t="shared" si="54"/>
        <v>632</v>
      </c>
      <c r="B632" s="50" t="s">
        <v>813</v>
      </c>
      <c r="C632" s="50" t="s">
        <v>832</v>
      </c>
      <c r="D632" s="427" t="s">
        <v>1034</v>
      </c>
      <c r="E632" s="426" t="s">
        <v>612</v>
      </c>
      <c r="F632" s="349" t="s">
        <v>213</v>
      </c>
      <c r="G632" s="86" t="s">
        <v>402</v>
      </c>
      <c r="H632" s="86" t="s">
        <v>16</v>
      </c>
      <c r="I632" s="86" t="s">
        <v>781</v>
      </c>
      <c r="J632" s="343">
        <v>4.9400000000000004</v>
      </c>
      <c r="K632" s="351">
        <f t="shared" si="51"/>
        <v>255</v>
      </c>
      <c r="L632" s="352">
        <v>255</v>
      </c>
      <c r="M632" s="448" t="str">
        <f>IF(L632="nio","",VLOOKUP(L632,'3-Productie normen'!$B$31:$H$45,3,FALSE))</f>
        <v>5 x per week (52 weken)</v>
      </c>
      <c r="N632" s="353" t="e">
        <f t="shared" si="56"/>
        <v>#DIV/0!</v>
      </c>
      <c r="O632" s="354">
        <f>IF(L632="nio",0,IF(L632&gt;0,VLOOKUP(H632,'3-Productie normen'!A:P,VLOOKUP(L632,'3-Productie normen'!$B$31:$C$45,2,FALSE),FALSE)))/VLOOKUP(B632,'2-Kosten per locatie'!$A$13:$D$36,4,FALSE)</f>
        <v>0</v>
      </c>
      <c r="P632" s="82" t="str">
        <f>VLOOKUP(H632,'3-Productie normen'!A:T,20,FALSE)</f>
        <v>S</v>
      </c>
      <c r="Q632" s="447" t="s">
        <v>855</v>
      </c>
      <c r="S632" s="356">
        <f t="shared" si="55"/>
        <v>1259.7</v>
      </c>
    </row>
    <row r="633" spans="1:19" ht="14.1" customHeight="1">
      <c r="A633" s="72">
        <f t="shared" si="54"/>
        <v>633</v>
      </c>
      <c r="B633" s="50" t="s">
        <v>813</v>
      </c>
      <c r="C633" s="50" t="s">
        <v>832</v>
      </c>
      <c r="D633" s="427" t="s">
        <v>1033</v>
      </c>
      <c r="E633" s="426" t="s">
        <v>612</v>
      </c>
      <c r="F633" s="349" t="s">
        <v>214</v>
      </c>
      <c r="G633" s="86" t="s">
        <v>222</v>
      </c>
      <c r="H633" s="50" t="s">
        <v>16</v>
      </c>
      <c r="I633" s="86" t="s">
        <v>781</v>
      </c>
      <c r="J633" s="343">
        <v>4.2699999999999996</v>
      </c>
      <c r="K633" s="351">
        <f t="shared" si="51"/>
        <v>255</v>
      </c>
      <c r="L633" s="352">
        <v>255</v>
      </c>
      <c r="M633" s="448" t="str">
        <f>IF(L633="nio","",VLOOKUP(L633,'3-Productie normen'!$B$31:$H$45,3,FALSE))</f>
        <v>5 x per week (52 weken)</v>
      </c>
      <c r="N633" s="353" t="e">
        <f t="shared" si="56"/>
        <v>#DIV/0!</v>
      </c>
      <c r="O633" s="354">
        <f>IF(L633="nio",0,IF(L633&gt;0,VLOOKUP(H633,'3-Productie normen'!A:P,VLOOKUP(L633,'3-Productie normen'!$B$31:$C$45,2,FALSE),FALSE)))/VLOOKUP(B633,'2-Kosten per locatie'!$A$13:$D$36,4,FALSE)</f>
        <v>0</v>
      </c>
      <c r="P633" s="82" t="str">
        <f>VLOOKUP(H633,'3-Productie normen'!A:T,20,FALSE)</f>
        <v>S</v>
      </c>
      <c r="Q633" s="447" t="s">
        <v>854</v>
      </c>
      <c r="S633" s="356">
        <f t="shared" si="55"/>
        <v>1088.8499999999999</v>
      </c>
    </row>
    <row r="634" spans="1:19" ht="14.1" customHeight="1">
      <c r="A634" s="72">
        <f t="shared" si="54"/>
        <v>634</v>
      </c>
      <c r="B634" s="50" t="s">
        <v>813</v>
      </c>
      <c r="C634" s="50" t="s">
        <v>832</v>
      </c>
      <c r="D634" s="427" t="s">
        <v>1033</v>
      </c>
      <c r="E634" s="426" t="s">
        <v>612</v>
      </c>
      <c r="F634" s="349" t="s">
        <v>216</v>
      </c>
      <c r="G634" s="86" t="s">
        <v>209</v>
      </c>
      <c r="H634" s="63" t="s">
        <v>1040</v>
      </c>
      <c r="I634" s="86" t="s">
        <v>780</v>
      </c>
      <c r="J634" s="343">
        <v>22</v>
      </c>
      <c r="K634" s="351">
        <f t="shared" si="51"/>
        <v>12</v>
      </c>
      <c r="L634" s="352">
        <v>12</v>
      </c>
      <c r="M634" s="448" t="str">
        <f>IF(L634="nio","",VLOOKUP(L634,'3-Productie normen'!$B$31:$H$45,3,FALSE))</f>
        <v>1 x per maand</v>
      </c>
      <c r="N634" s="353" t="e">
        <f t="shared" si="56"/>
        <v>#DIV/0!</v>
      </c>
      <c r="O634" s="354">
        <f>IF(L634="nio",0,IF(L634&gt;0,VLOOKUP(H634,'3-Productie normen'!A:P,VLOOKUP(L634,'3-Productie normen'!$B$31:$C$45,2,FALSE),FALSE)))/VLOOKUP(B634,'2-Kosten per locatie'!$A$13:$D$36,4,FALSE)</f>
        <v>0</v>
      </c>
      <c r="P634" s="82" t="str">
        <f>VLOOKUP(H634,'3-Productie normen'!A:T,20,FALSE)</f>
        <v>V</v>
      </c>
      <c r="Q634" s="447" t="s">
        <v>792</v>
      </c>
      <c r="S634" s="356">
        <f t="shared" si="55"/>
        <v>264</v>
      </c>
    </row>
    <row r="635" spans="1:19" ht="14.1" customHeight="1">
      <c r="A635" s="72">
        <f t="shared" si="54"/>
        <v>635</v>
      </c>
      <c r="B635" s="50" t="s">
        <v>813</v>
      </c>
      <c r="C635" s="50" t="s">
        <v>832</v>
      </c>
      <c r="D635" s="427" t="s">
        <v>1033</v>
      </c>
      <c r="E635" s="426" t="s">
        <v>612</v>
      </c>
      <c r="F635" s="349" t="s">
        <v>217</v>
      </c>
      <c r="G635" s="86" t="s">
        <v>326</v>
      </c>
      <c r="H635" s="432" t="s">
        <v>198</v>
      </c>
      <c r="I635" s="86" t="s">
        <v>780</v>
      </c>
      <c r="J635" s="343">
        <v>133.10000610351599</v>
      </c>
      <c r="K635" s="351">
        <f t="shared" si="51"/>
        <v>200</v>
      </c>
      <c r="L635" s="352">
        <v>200</v>
      </c>
      <c r="M635" s="448" t="str">
        <f>IF(L635="nio","",VLOOKUP(L635,'3-Productie normen'!$B$31:$H$45,3,FALSE))</f>
        <v>5 x per week (40 weken)</v>
      </c>
      <c r="N635" s="353" t="e">
        <f t="shared" si="56"/>
        <v>#DIV/0!</v>
      </c>
      <c r="O635" s="354">
        <f>IF(L635="nio",0,IF(L635&gt;0,VLOOKUP(H635,'3-Productie normen'!A:P,VLOOKUP(L635,'3-Productie normen'!$B$31:$C$45,2,FALSE),FALSE)))/VLOOKUP(B635,'2-Kosten per locatie'!$A$13:$D$36,4,FALSE)</f>
        <v>0</v>
      </c>
      <c r="P635" s="82" t="str">
        <f>VLOOKUP(H635,'3-Productie normen'!A:T,20,FALSE)</f>
        <v>V</v>
      </c>
      <c r="Q635" s="447" t="s">
        <v>792</v>
      </c>
      <c r="S635" s="356">
        <f t="shared" si="55"/>
        <v>26620.001220703198</v>
      </c>
    </row>
    <row r="636" spans="1:19" ht="14.1" customHeight="1">
      <c r="A636" s="72">
        <f t="shared" si="54"/>
        <v>636</v>
      </c>
      <c r="B636" s="50" t="s">
        <v>813</v>
      </c>
      <c r="C636" s="50" t="s">
        <v>832</v>
      </c>
      <c r="D636" s="427" t="s">
        <v>1033</v>
      </c>
      <c r="E636" s="426" t="s">
        <v>612</v>
      </c>
      <c r="F636" s="349" t="s">
        <v>635</v>
      </c>
      <c r="G636" s="86" t="s">
        <v>329</v>
      </c>
      <c r="H636" s="50" t="s">
        <v>203</v>
      </c>
      <c r="I636" s="86" t="s">
        <v>780</v>
      </c>
      <c r="J636" s="343">
        <v>8.3000001907348597</v>
      </c>
      <c r="K636" s="351">
        <f t="shared" ref="K636:K699" si="57">L636</f>
        <v>201</v>
      </c>
      <c r="L636" s="352">
        <v>201</v>
      </c>
      <c r="M636" s="448" t="str">
        <f>IF(L636="nio","",VLOOKUP(L636,'3-Productie normen'!$B$31:$H$45,3,FALSE))</f>
        <v>5 x per week (40 weken + 1 Zomer refreshbeurt)</v>
      </c>
      <c r="N636" s="353" t="e">
        <f t="shared" si="56"/>
        <v>#DIV/0!</v>
      </c>
      <c r="O636" s="354">
        <f>IF(L636="nio",0,IF(L636&gt;0,VLOOKUP(H636,'3-Productie normen'!A:P,VLOOKUP(L636,'3-Productie normen'!$B$31:$C$45,2,FALSE),FALSE)))/VLOOKUP(B636,'2-Kosten per locatie'!$A$13:$D$36,4,FALSE)</f>
        <v>0</v>
      </c>
      <c r="P636" s="82" t="str">
        <f>VLOOKUP(H636,'3-Productie normen'!A:T,20,FALSE)</f>
        <v>B</v>
      </c>
      <c r="Q636" s="447" t="s">
        <v>792</v>
      </c>
      <c r="S636" s="356">
        <f t="shared" si="55"/>
        <v>1668.3000383377068</v>
      </c>
    </row>
    <row r="637" spans="1:19" ht="14.1" customHeight="1">
      <c r="A637" s="72">
        <f t="shared" si="54"/>
        <v>637</v>
      </c>
      <c r="B637" s="50" t="s">
        <v>813</v>
      </c>
      <c r="C637" s="50" t="s">
        <v>832</v>
      </c>
      <c r="D637" s="427" t="s">
        <v>1033</v>
      </c>
      <c r="E637" s="426" t="s">
        <v>612</v>
      </c>
      <c r="F637" s="349" t="s">
        <v>636</v>
      </c>
      <c r="G637" s="86" t="s">
        <v>209</v>
      </c>
      <c r="H637" s="63" t="s">
        <v>1040</v>
      </c>
      <c r="I637" s="86" t="s">
        <v>780</v>
      </c>
      <c r="J637" s="343">
        <v>6.9699997901916504</v>
      </c>
      <c r="K637" s="351">
        <f t="shared" si="57"/>
        <v>12</v>
      </c>
      <c r="L637" s="352">
        <v>12</v>
      </c>
      <c r="M637" s="448" t="str">
        <f>IF(L637="nio","",VLOOKUP(L637,'3-Productie normen'!$B$31:$H$45,3,FALSE))</f>
        <v>1 x per maand</v>
      </c>
      <c r="N637" s="353" t="e">
        <f t="shared" si="56"/>
        <v>#DIV/0!</v>
      </c>
      <c r="O637" s="354">
        <f>IF(L637="nio",0,IF(L637&gt;0,VLOOKUP(H637,'3-Productie normen'!A:P,VLOOKUP(L637,'3-Productie normen'!$B$31:$C$45,2,FALSE),FALSE)))/VLOOKUP(B637,'2-Kosten per locatie'!$A$13:$D$36,4,FALSE)</f>
        <v>0</v>
      </c>
      <c r="P637" s="82" t="str">
        <f>VLOOKUP(H637,'3-Productie normen'!A:T,20,FALSE)</f>
        <v>V</v>
      </c>
      <c r="Q637" s="447" t="s">
        <v>792</v>
      </c>
      <c r="S637" s="356">
        <f t="shared" si="55"/>
        <v>83.639997482299805</v>
      </c>
    </row>
    <row r="638" spans="1:19" ht="14.1" customHeight="1">
      <c r="A638" s="72">
        <f t="shared" si="54"/>
        <v>638</v>
      </c>
      <c r="B638" s="50" t="s">
        <v>813</v>
      </c>
      <c r="C638" s="50" t="s">
        <v>832</v>
      </c>
      <c r="D638" s="427" t="s">
        <v>1033</v>
      </c>
      <c r="E638" s="426" t="s">
        <v>612</v>
      </c>
      <c r="F638" s="349" t="s">
        <v>637</v>
      </c>
      <c r="G638" s="86" t="s">
        <v>328</v>
      </c>
      <c r="H638" s="50" t="s">
        <v>241</v>
      </c>
      <c r="I638" s="86" t="s">
        <v>780</v>
      </c>
      <c r="J638" s="343">
        <v>8.8000001907348597</v>
      </c>
      <c r="K638" s="351">
        <f t="shared" si="57"/>
        <v>201</v>
      </c>
      <c r="L638" s="352">
        <v>201</v>
      </c>
      <c r="M638" s="448" t="str">
        <f>IF(L638="nio","",VLOOKUP(L638,'3-Productie normen'!$B$31:$H$45,3,FALSE))</f>
        <v>5 x per week (40 weken + 1 Zomer refreshbeurt)</v>
      </c>
      <c r="N638" s="353" t="e">
        <f t="shared" si="56"/>
        <v>#DIV/0!</v>
      </c>
      <c r="O638" s="354">
        <f>IF(L638="nio",0,IF(L638&gt;0,VLOOKUP(H638,'3-Productie normen'!A:P,VLOOKUP(L638,'3-Productie normen'!$B$31:$C$45,2,FALSE),FALSE)))/VLOOKUP(B638,'2-Kosten per locatie'!$A$13:$D$36,4,FALSE)</f>
        <v>0</v>
      </c>
      <c r="P638" s="82" t="str">
        <f>VLOOKUP(H638,'3-Productie normen'!A:T,20,FALSE)</f>
        <v>L</v>
      </c>
      <c r="Q638" s="447" t="s">
        <v>311</v>
      </c>
      <c r="S638" s="356">
        <f t="shared" si="55"/>
        <v>1768.8000383377068</v>
      </c>
    </row>
    <row r="639" spans="1:19" ht="14.1" customHeight="1">
      <c r="A639" s="72">
        <f t="shared" si="54"/>
        <v>639</v>
      </c>
      <c r="B639" s="50" t="s">
        <v>813</v>
      </c>
      <c r="C639" s="50" t="s">
        <v>832</v>
      </c>
      <c r="D639" s="427" t="s">
        <v>1033</v>
      </c>
      <c r="E639" s="426" t="s">
        <v>612</v>
      </c>
      <c r="F639" s="349" t="s">
        <v>638</v>
      </c>
      <c r="G639" s="86" t="s">
        <v>209</v>
      </c>
      <c r="H639" s="63" t="s">
        <v>1040</v>
      </c>
      <c r="I639" s="86" t="s">
        <v>780</v>
      </c>
      <c r="J639" s="343">
        <v>10.75</v>
      </c>
      <c r="K639" s="351">
        <f t="shared" si="57"/>
        <v>12</v>
      </c>
      <c r="L639" s="352">
        <v>12</v>
      </c>
      <c r="M639" s="448" t="str">
        <f>IF(L639="nio","",VLOOKUP(L639,'3-Productie normen'!$B$31:$H$45,3,FALSE))</f>
        <v>1 x per maand</v>
      </c>
      <c r="N639" s="353" t="e">
        <f t="shared" si="56"/>
        <v>#DIV/0!</v>
      </c>
      <c r="O639" s="354">
        <f>IF(L639="nio",0,IF(L639&gt;0,VLOOKUP(H639,'3-Productie normen'!A:P,VLOOKUP(L639,'3-Productie normen'!$B$31:$C$45,2,FALSE),FALSE)))/VLOOKUP(B639,'2-Kosten per locatie'!$A$13:$D$36,4,FALSE)</f>
        <v>0</v>
      </c>
      <c r="P639" s="82" t="str">
        <f>VLOOKUP(H639,'3-Productie normen'!A:T,20,FALSE)</f>
        <v>V</v>
      </c>
      <c r="Q639" s="447" t="s">
        <v>792</v>
      </c>
      <c r="S639" s="356">
        <f t="shared" si="55"/>
        <v>129</v>
      </c>
    </row>
    <row r="640" spans="1:19" ht="14.1" customHeight="1">
      <c r="A640" s="72">
        <f t="shared" si="54"/>
        <v>640</v>
      </c>
      <c r="B640" s="50" t="s">
        <v>813</v>
      </c>
      <c r="C640" s="50" t="s">
        <v>832</v>
      </c>
      <c r="D640" s="427" t="s">
        <v>1033</v>
      </c>
      <c r="E640" s="426" t="s">
        <v>612</v>
      </c>
      <c r="F640" s="349" t="s">
        <v>218</v>
      </c>
      <c r="G640" s="86" t="s">
        <v>206</v>
      </c>
      <c r="H640" s="65" t="s">
        <v>1053</v>
      </c>
      <c r="I640" s="86" t="s">
        <v>781</v>
      </c>
      <c r="J640" s="343">
        <v>5.6999998092651403</v>
      </c>
      <c r="K640" s="351" t="str">
        <f t="shared" si="57"/>
        <v>nio</v>
      </c>
      <c r="L640" s="352" t="s">
        <v>804</v>
      </c>
      <c r="M640" s="448" t="str">
        <f>IF(L640="nio","",VLOOKUP(L640,'3-Productie normen'!$B$31:$H$45,3,FALSE))</f>
        <v/>
      </c>
      <c r="N640" s="353">
        <f t="shared" si="56"/>
        <v>0</v>
      </c>
      <c r="O640" s="354">
        <f>IF(L640="nio",0,IF(L640&gt;0,VLOOKUP(H640,'3-Productie normen'!A:P,VLOOKUP(L640,'3-Productie normen'!$B$31:$C$45,2,FALSE),FALSE)))/VLOOKUP(B640,'2-Kosten per locatie'!$A$13:$D$36,4,FALSE)</f>
        <v>0</v>
      </c>
      <c r="P640" s="82">
        <f>VLOOKUP(H640,'3-Productie normen'!A:T,20,FALSE)</f>
        <v>0</v>
      </c>
      <c r="Q640" s="447" t="s">
        <v>964</v>
      </c>
      <c r="S640" s="356">
        <f t="shared" si="55"/>
        <v>0</v>
      </c>
    </row>
    <row r="641" spans="1:19" ht="14.1" customHeight="1">
      <c r="A641" s="72">
        <f t="shared" si="54"/>
        <v>641</v>
      </c>
      <c r="B641" s="50" t="s">
        <v>813</v>
      </c>
      <c r="C641" s="50" t="s">
        <v>832</v>
      </c>
      <c r="D641" s="427" t="s">
        <v>1033</v>
      </c>
      <c r="E641" s="426" t="s">
        <v>612</v>
      </c>
      <c r="F641" s="349" t="s">
        <v>639</v>
      </c>
      <c r="G641" s="86" t="s">
        <v>206</v>
      </c>
      <c r="H641" s="65" t="s">
        <v>1053</v>
      </c>
      <c r="I641" s="86" t="s">
        <v>781</v>
      </c>
      <c r="J641" s="343">
        <v>2.2000000476837198</v>
      </c>
      <c r="K641" s="351" t="str">
        <f t="shared" si="57"/>
        <v>nio</v>
      </c>
      <c r="L641" s="352" t="s">
        <v>804</v>
      </c>
      <c r="M641" s="448" t="str">
        <f>IF(L641="nio","",VLOOKUP(L641,'3-Productie normen'!$B$31:$H$45,3,FALSE))</f>
        <v/>
      </c>
      <c r="N641" s="353">
        <f t="shared" si="56"/>
        <v>0</v>
      </c>
      <c r="O641" s="354">
        <f>IF(L641="nio",0,IF(L641&gt;0,VLOOKUP(H641,'3-Productie normen'!A:P,VLOOKUP(L641,'3-Productie normen'!$B$31:$C$45,2,FALSE),FALSE)))/VLOOKUP(B641,'2-Kosten per locatie'!$A$13:$D$36,4,FALSE)</f>
        <v>0</v>
      </c>
      <c r="P641" s="82">
        <f>VLOOKUP(H641,'3-Productie normen'!A:T,20,FALSE)</f>
        <v>0</v>
      </c>
      <c r="Q641" s="447" t="s">
        <v>889</v>
      </c>
      <c r="S641" s="356">
        <f t="shared" si="55"/>
        <v>0</v>
      </c>
    </row>
    <row r="642" spans="1:19" ht="14.1" customHeight="1">
      <c r="A642" s="72">
        <f t="shared" si="54"/>
        <v>642</v>
      </c>
      <c r="B642" s="50" t="s">
        <v>813</v>
      </c>
      <c r="C642" s="50" t="s">
        <v>832</v>
      </c>
      <c r="D642" s="427" t="s">
        <v>1033</v>
      </c>
      <c r="E642" s="426" t="s">
        <v>612</v>
      </c>
      <c r="F642" s="349" t="s">
        <v>219</v>
      </c>
      <c r="G642" s="86" t="s">
        <v>279</v>
      </c>
      <c r="H642" s="86" t="s">
        <v>203</v>
      </c>
      <c r="I642" s="86" t="s">
        <v>780</v>
      </c>
      <c r="J642" s="343">
        <v>30.799999237060501</v>
      </c>
      <c r="K642" s="351">
        <f t="shared" si="57"/>
        <v>201</v>
      </c>
      <c r="L642" s="352">
        <v>201</v>
      </c>
      <c r="M642" s="448" t="str">
        <f>IF(L642="nio","",VLOOKUP(L642,'3-Productie normen'!$B$31:$H$45,3,FALSE))</f>
        <v>5 x per week (40 weken + 1 Zomer refreshbeurt)</v>
      </c>
      <c r="N642" s="353" t="e">
        <f t="shared" si="56"/>
        <v>#DIV/0!</v>
      </c>
      <c r="O642" s="354">
        <f>IF(L642="nio",0,IF(L642&gt;0,VLOOKUP(H642,'3-Productie normen'!A:P,VLOOKUP(L642,'3-Productie normen'!$B$31:$C$45,2,FALSE),FALSE)))/VLOOKUP(B642,'2-Kosten per locatie'!$A$13:$D$36,4,FALSE)</f>
        <v>0</v>
      </c>
      <c r="P642" s="82" t="str">
        <f>VLOOKUP(H642,'3-Productie normen'!A:T,20,FALSE)</f>
        <v>B</v>
      </c>
      <c r="Q642" s="447" t="s">
        <v>792</v>
      </c>
      <c r="S642" s="356">
        <f t="shared" si="55"/>
        <v>6190.7998466491608</v>
      </c>
    </row>
    <row r="643" spans="1:19" ht="14.1" customHeight="1">
      <c r="A643" s="72">
        <f t="shared" si="54"/>
        <v>643</v>
      </c>
      <c r="B643" s="50" t="s">
        <v>813</v>
      </c>
      <c r="C643" s="50" t="s">
        <v>832</v>
      </c>
      <c r="D643" s="427" t="s">
        <v>1033</v>
      </c>
      <c r="E643" s="426" t="s">
        <v>612</v>
      </c>
      <c r="F643" s="349" t="s">
        <v>220</v>
      </c>
      <c r="G643" s="86" t="s">
        <v>399</v>
      </c>
      <c r="H643" s="86" t="s">
        <v>203</v>
      </c>
      <c r="I643" s="86" t="s">
        <v>780</v>
      </c>
      <c r="J643" s="343">
        <v>13.199999809265099</v>
      </c>
      <c r="K643" s="351">
        <f t="shared" si="57"/>
        <v>120</v>
      </c>
      <c r="L643" s="352">
        <v>120</v>
      </c>
      <c r="M643" s="448" t="str">
        <f>IF(L643="nio","",VLOOKUP(L643,'3-Productie normen'!$B$31:$H$45,3,FALSE))</f>
        <v>3 x per week (40 weken)</v>
      </c>
      <c r="N643" s="353" t="e">
        <f t="shared" si="56"/>
        <v>#DIV/0!</v>
      </c>
      <c r="O643" s="354">
        <f>IF(L643="nio",0,IF(L643&gt;0,VLOOKUP(H643,'3-Productie normen'!A:P,VLOOKUP(L643,'3-Productie normen'!$B$31:$C$45,2,FALSE),FALSE)))/VLOOKUP(B643,'2-Kosten per locatie'!$A$13:$D$36,4,FALSE)</f>
        <v>0</v>
      </c>
      <c r="P643" s="82" t="str">
        <f>VLOOKUP(H643,'3-Productie normen'!A:T,20,FALSE)</f>
        <v>B</v>
      </c>
      <c r="Q643" s="447" t="s">
        <v>792</v>
      </c>
      <c r="S643" s="356">
        <f t="shared" si="55"/>
        <v>1583.9999771118119</v>
      </c>
    </row>
    <row r="644" spans="1:19" ht="14.1" customHeight="1">
      <c r="A644" s="72">
        <f t="shared" si="54"/>
        <v>644</v>
      </c>
      <c r="B644" s="50" t="s">
        <v>813</v>
      </c>
      <c r="C644" s="50" t="s">
        <v>832</v>
      </c>
      <c r="D644" s="427" t="s">
        <v>1033</v>
      </c>
      <c r="E644" s="426" t="s">
        <v>612</v>
      </c>
      <c r="F644" s="349" t="s">
        <v>221</v>
      </c>
      <c r="G644" s="86" t="s">
        <v>242</v>
      </c>
      <c r="H644" s="50" t="s">
        <v>241</v>
      </c>
      <c r="I644" s="86" t="s">
        <v>780</v>
      </c>
      <c r="J644" s="343">
        <v>54.200000762939503</v>
      </c>
      <c r="K644" s="351">
        <f t="shared" si="57"/>
        <v>201</v>
      </c>
      <c r="L644" s="352">
        <v>201</v>
      </c>
      <c r="M644" s="448" t="str">
        <f>IF(L644="nio","",VLOOKUP(L644,'3-Productie normen'!$B$31:$H$45,3,FALSE))</f>
        <v>5 x per week (40 weken + 1 Zomer refreshbeurt)</v>
      </c>
      <c r="N644" s="353" t="e">
        <f t="shared" si="56"/>
        <v>#DIV/0!</v>
      </c>
      <c r="O644" s="354">
        <f>IF(L644="nio",0,IF(L644&gt;0,VLOOKUP(H644,'3-Productie normen'!A:P,VLOOKUP(L644,'3-Productie normen'!$B$31:$C$45,2,FALSE),FALSE)))/VLOOKUP(B644,'2-Kosten per locatie'!$A$13:$D$36,4,FALSE)</f>
        <v>0</v>
      </c>
      <c r="P644" s="82" t="str">
        <f>VLOOKUP(H644,'3-Productie normen'!A:T,20,FALSE)</f>
        <v>L</v>
      </c>
      <c r="Q644" s="447" t="s">
        <v>876</v>
      </c>
      <c r="S644" s="356">
        <f t="shared" si="55"/>
        <v>10894.200153350839</v>
      </c>
    </row>
    <row r="645" spans="1:19" ht="14.1" customHeight="1">
      <c r="A645" s="72">
        <f t="shared" si="54"/>
        <v>645</v>
      </c>
      <c r="B645" s="50" t="s">
        <v>813</v>
      </c>
      <c r="C645" s="50" t="s">
        <v>832</v>
      </c>
      <c r="D645" s="427" t="s">
        <v>1033</v>
      </c>
      <c r="E645" s="426" t="s">
        <v>612</v>
      </c>
      <c r="F645" s="349" t="s">
        <v>640</v>
      </c>
      <c r="G645" s="86" t="s">
        <v>209</v>
      </c>
      <c r="H645" s="63" t="s">
        <v>1040</v>
      </c>
      <c r="I645" s="86" t="s">
        <v>780</v>
      </c>
      <c r="J645" s="343">
        <v>2.0999999046325701</v>
      </c>
      <c r="K645" s="351">
        <f t="shared" si="57"/>
        <v>12</v>
      </c>
      <c r="L645" s="352">
        <v>12</v>
      </c>
      <c r="M645" s="448" t="str">
        <f>IF(L645="nio","",VLOOKUP(L645,'3-Productie normen'!$B$31:$H$45,3,FALSE))</f>
        <v>1 x per maand</v>
      </c>
      <c r="N645" s="353" t="e">
        <f t="shared" si="56"/>
        <v>#DIV/0!</v>
      </c>
      <c r="O645" s="354">
        <f>IF(L645="nio",0,IF(L645&gt;0,VLOOKUP(H645,'3-Productie normen'!A:P,VLOOKUP(L645,'3-Productie normen'!$B$31:$C$45,2,FALSE),FALSE)))/VLOOKUP(B645,'2-Kosten per locatie'!$A$13:$D$36,4,FALSE)</f>
        <v>0</v>
      </c>
      <c r="P645" s="82" t="str">
        <f>VLOOKUP(H645,'3-Productie normen'!A:T,20,FALSE)</f>
        <v>V</v>
      </c>
      <c r="Q645" s="447" t="s">
        <v>792</v>
      </c>
      <c r="S645" s="356">
        <f t="shared" si="55"/>
        <v>25.199998855590842</v>
      </c>
    </row>
    <row r="646" spans="1:19" ht="14.1" customHeight="1">
      <c r="A646" s="72">
        <f t="shared" si="54"/>
        <v>646</v>
      </c>
      <c r="B646" s="50" t="s">
        <v>813</v>
      </c>
      <c r="C646" s="50" t="s">
        <v>832</v>
      </c>
      <c r="D646" s="427" t="s">
        <v>1033</v>
      </c>
      <c r="E646" s="426" t="s">
        <v>612</v>
      </c>
      <c r="F646" s="349" t="s">
        <v>223</v>
      </c>
      <c r="G646" s="86" t="s">
        <v>298</v>
      </c>
      <c r="H646" s="50" t="s">
        <v>241</v>
      </c>
      <c r="I646" s="86" t="s">
        <v>780</v>
      </c>
      <c r="J646" s="343">
        <v>53.700000762939503</v>
      </c>
      <c r="K646" s="351">
        <f t="shared" si="57"/>
        <v>201</v>
      </c>
      <c r="L646" s="352">
        <v>201</v>
      </c>
      <c r="M646" s="448" t="str">
        <f>IF(L646="nio","",VLOOKUP(L646,'3-Productie normen'!$B$31:$H$45,3,FALSE))</f>
        <v>5 x per week (40 weken + 1 Zomer refreshbeurt)</v>
      </c>
      <c r="N646" s="353" t="e">
        <f t="shared" si="56"/>
        <v>#DIV/0!</v>
      </c>
      <c r="O646" s="354">
        <f>IF(L646="nio",0,IF(L646&gt;0,VLOOKUP(H646,'3-Productie normen'!A:P,VLOOKUP(L646,'3-Productie normen'!$B$31:$C$45,2,FALSE),FALSE)))/VLOOKUP(B646,'2-Kosten per locatie'!$A$13:$D$36,4,FALSE)</f>
        <v>0</v>
      </c>
      <c r="P646" s="82" t="str">
        <f>VLOOKUP(H646,'3-Productie normen'!A:T,20,FALSE)</f>
        <v>L</v>
      </c>
      <c r="Q646" s="447" t="s">
        <v>875</v>
      </c>
      <c r="S646" s="356">
        <f t="shared" si="55"/>
        <v>10793.700153350839</v>
      </c>
    </row>
    <row r="647" spans="1:19" ht="14.1" customHeight="1">
      <c r="A647" s="72">
        <f t="shared" si="54"/>
        <v>647</v>
      </c>
      <c r="B647" s="50" t="s">
        <v>813</v>
      </c>
      <c r="C647" s="50" t="s">
        <v>832</v>
      </c>
      <c r="D647" s="427" t="s">
        <v>1033</v>
      </c>
      <c r="E647" s="426" t="s">
        <v>612</v>
      </c>
      <c r="F647" s="349" t="s">
        <v>641</v>
      </c>
      <c r="G647" s="86" t="s">
        <v>209</v>
      </c>
      <c r="H647" s="63" t="s">
        <v>1040</v>
      </c>
      <c r="I647" s="86" t="s">
        <v>780</v>
      </c>
      <c r="J647" s="343">
        <v>2.0999999046325701</v>
      </c>
      <c r="K647" s="351">
        <f t="shared" si="57"/>
        <v>12</v>
      </c>
      <c r="L647" s="352">
        <v>12</v>
      </c>
      <c r="M647" s="448" t="str">
        <f>IF(L647="nio","",VLOOKUP(L647,'3-Productie normen'!$B$31:$H$45,3,FALSE))</f>
        <v>1 x per maand</v>
      </c>
      <c r="N647" s="353" t="e">
        <f t="shared" si="56"/>
        <v>#DIV/0!</v>
      </c>
      <c r="O647" s="354">
        <f>IF(L647="nio",0,IF(L647&gt;0,VLOOKUP(H647,'3-Productie normen'!A:P,VLOOKUP(L647,'3-Productie normen'!$B$31:$C$45,2,FALSE),FALSE)))/VLOOKUP(B647,'2-Kosten per locatie'!$A$13:$D$36,4,FALSE)</f>
        <v>0</v>
      </c>
      <c r="P647" s="82" t="str">
        <f>VLOOKUP(H647,'3-Productie normen'!A:T,20,FALSE)</f>
        <v>V</v>
      </c>
      <c r="Q647" s="447" t="s">
        <v>792</v>
      </c>
      <c r="S647" s="356">
        <f t="shared" si="55"/>
        <v>25.199998855590842</v>
      </c>
    </row>
    <row r="648" spans="1:19" ht="14.1" customHeight="1">
      <c r="A648" s="72">
        <f t="shared" si="54"/>
        <v>648</v>
      </c>
      <c r="B648" s="50" t="s">
        <v>813</v>
      </c>
      <c r="C648" s="50" t="s">
        <v>832</v>
      </c>
      <c r="D648" s="427" t="s">
        <v>1033</v>
      </c>
      <c r="E648" s="426" t="s">
        <v>612</v>
      </c>
      <c r="F648" s="349" t="s">
        <v>224</v>
      </c>
      <c r="G648" s="86" t="s">
        <v>212</v>
      </c>
      <c r="H648" s="65" t="s">
        <v>1053</v>
      </c>
      <c r="I648" s="86" t="s">
        <v>92</v>
      </c>
      <c r="J648" s="343">
        <v>10.300000190734901</v>
      </c>
      <c r="K648" s="351" t="str">
        <f t="shared" si="57"/>
        <v>nio</v>
      </c>
      <c r="L648" s="352" t="s">
        <v>804</v>
      </c>
      <c r="M648" s="448" t="str">
        <f>IF(L648="nio","",VLOOKUP(L648,'3-Productie normen'!$B$31:$H$45,3,FALSE))</f>
        <v/>
      </c>
      <c r="N648" s="353">
        <f t="shared" si="56"/>
        <v>0</v>
      </c>
      <c r="O648" s="354">
        <f>IF(L648="nio",0,IF(L648&gt;0,VLOOKUP(H648,'3-Productie normen'!A:P,VLOOKUP(L648,'3-Productie normen'!$B$31:$C$45,2,FALSE),FALSE)))/VLOOKUP(B648,'2-Kosten per locatie'!$A$13:$D$36,4,FALSE)</f>
        <v>0</v>
      </c>
      <c r="P648" s="82">
        <f>VLOOKUP(H648,'3-Productie normen'!A:T,20,FALSE)</f>
        <v>0</v>
      </c>
      <c r="Q648" s="447" t="s">
        <v>792</v>
      </c>
      <c r="S648" s="356">
        <f t="shared" si="55"/>
        <v>0</v>
      </c>
    </row>
    <row r="649" spans="1:19" ht="14.1" customHeight="1">
      <c r="A649" s="72">
        <f t="shared" si="54"/>
        <v>649</v>
      </c>
      <c r="B649" s="50" t="s">
        <v>813</v>
      </c>
      <c r="C649" s="50" t="s">
        <v>832</v>
      </c>
      <c r="D649" s="427" t="s">
        <v>1033</v>
      </c>
      <c r="E649" s="426" t="s">
        <v>612</v>
      </c>
      <c r="F649" s="349" t="s">
        <v>225</v>
      </c>
      <c r="G649" s="86" t="s">
        <v>199</v>
      </c>
      <c r="H649" s="432" t="s">
        <v>198</v>
      </c>
      <c r="I649" s="86" t="s">
        <v>784</v>
      </c>
      <c r="J649" s="343">
        <v>15.25</v>
      </c>
      <c r="K649" s="351">
        <f t="shared" si="57"/>
        <v>200</v>
      </c>
      <c r="L649" s="352">
        <v>200</v>
      </c>
      <c r="M649" s="448" t="str">
        <f>IF(L649="nio","",VLOOKUP(L649,'3-Productie normen'!$B$31:$H$45,3,FALSE))</f>
        <v>5 x per week (40 weken)</v>
      </c>
      <c r="N649" s="353" t="e">
        <f t="shared" si="56"/>
        <v>#DIV/0!</v>
      </c>
      <c r="O649" s="354">
        <f>IF(L649="nio",0,IF(L649&gt;0,VLOOKUP(H649,'3-Productie normen'!A:P,VLOOKUP(L649,'3-Productie normen'!$B$31:$C$45,2,FALSE),FALSE)))/VLOOKUP(B649,'2-Kosten per locatie'!$A$13:$D$36,4,FALSE)</f>
        <v>0</v>
      </c>
      <c r="P649" s="82" t="str">
        <f>VLOOKUP(H649,'3-Productie normen'!A:T,20,FALSE)</f>
        <v>V</v>
      </c>
      <c r="Q649" s="447" t="s">
        <v>975</v>
      </c>
      <c r="S649" s="356">
        <f t="shared" si="55"/>
        <v>3050</v>
      </c>
    </row>
    <row r="650" spans="1:19" ht="14.1" customHeight="1">
      <c r="A650" s="72">
        <f t="shared" si="54"/>
        <v>650</v>
      </c>
      <c r="B650" s="50" t="s">
        <v>813</v>
      </c>
      <c r="C650" s="50" t="s">
        <v>832</v>
      </c>
      <c r="D650" s="427" t="s">
        <v>1033</v>
      </c>
      <c r="E650" s="426" t="s">
        <v>612</v>
      </c>
      <c r="F650" s="349" t="s">
        <v>225</v>
      </c>
      <c r="G650" s="86" t="s">
        <v>199</v>
      </c>
      <c r="H650" s="432" t="s">
        <v>198</v>
      </c>
      <c r="I650" s="86" t="s">
        <v>780</v>
      </c>
      <c r="J650" s="343">
        <v>28.25</v>
      </c>
      <c r="K650" s="351">
        <f t="shared" si="57"/>
        <v>200</v>
      </c>
      <c r="L650" s="352">
        <v>200</v>
      </c>
      <c r="M650" s="448" t="str">
        <f>IF(L650="nio","",VLOOKUP(L650,'3-Productie normen'!$B$31:$H$45,3,FALSE))</f>
        <v>5 x per week (40 weken)</v>
      </c>
      <c r="N650" s="353" t="e">
        <f t="shared" si="56"/>
        <v>#DIV/0!</v>
      </c>
      <c r="O650" s="354">
        <f>IF(L650="nio",0,IF(L650&gt;0,VLOOKUP(H650,'3-Productie normen'!A:P,VLOOKUP(L650,'3-Productie normen'!$B$31:$C$45,2,FALSE),FALSE)))/VLOOKUP(B650,'2-Kosten per locatie'!$A$13:$D$36,4,FALSE)</f>
        <v>0</v>
      </c>
      <c r="P650" s="82" t="str">
        <f>VLOOKUP(H650,'3-Productie normen'!A:T,20,FALSE)</f>
        <v>V</v>
      </c>
      <c r="Q650" s="447" t="s">
        <v>792</v>
      </c>
      <c r="S650" s="356">
        <f t="shared" si="55"/>
        <v>5650</v>
      </c>
    </row>
    <row r="651" spans="1:19" ht="14.1" customHeight="1">
      <c r="A651" s="72">
        <f t="shared" ref="A651:A714" si="58">A650+1</f>
        <v>651</v>
      </c>
      <c r="B651" s="50" t="s">
        <v>813</v>
      </c>
      <c r="C651" s="50" t="s">
        <v>832</v>
      </c>
      <c r="D651" s="427" t="s">
        <v>1033</v>
      </c>
      <c r="E651" s="426" t="s">
        <v>612</v>
      </c>
      <c r="F651" s="349" t="s">
        <v>227</v>
      </c>
      <c r="G651" s="86" t="s">
        <v>226</v>
      </c>
      <c r="H651" s="86" t="s">
        <v>16</v>
      </c>
      <c r="I651" s="86" t="s">
        <v>781</v>
      </c>
      <c r="J651" s="343">
        <v>7.04</v>
      </c>
      <c r="K651" s="351">
        <f t="shared" si="57"/>
        <v>201</v>
      </c>
      <c r="L651" s="352">
        <v>201</v>
      </c>
      <c r="M651" s="448" t="str">
        <f>IF(L651="nio","",VLOOKUP(L651,'3-Productie normen'!$B$31:$H$45,3,FALSE))</f>
        <v>5 x per week (40 weken + 1 Zomer refreshbeurt)</v>
      </c>
      <c r="N651" s="353" t="e">
        <f t="shared" si="56"/>
        <v>#DIV/0!</v>
      </c>
      <c r="O651" s="354">
        <f>IF(L651="nio",0,IF(L651&gt;0,VLOOKUP(H651,'3-Productie normen'!A:P,VLOOKUP(L651,'3-Productie normen'!$B$31:$C$45,2,FALSE),FALSE)))/VLOOKUP(B651,'2-Kosten per locatie'!$A$13:$D$36,4,FALSE)</f>
        <v>0</v>
      </c>
      <c r="P651" s="82" t="str">
        <f>VLOOKUP(H651,'3-Productie normen'!A:T,20,FALSE)</f>
        <v>S</v>
      </c>
      <c r="Q651" s="447" t="s">
        <v>855</v>
      </c>
      <c r="S651" s="356">
        <f t="shared" si="55"/>
        <v>1415.04</v>
      </c>
    </row>
    <row r="652" spans="1:19" ht="14.1" customHeight="1">
      <c r="A652" s="72">
        <f t="shared" si="58"/>
        <v>652</v>
      </c>
      <c r="B652" s="50" t="s">
        <v>813</v>
      </c>
      <c r="C652" s="50" t="s">
        <v>832</v>
      </c>
      <c r="D652" s="427" t="s">
        <v>1033</v>
      </c>
      <c r="E652" s="426" t="s">
        <v>612</v>
      </c>
      <c r="F652" s="349" t="s">
        <v>228</v>
      </c>
      <c r="G652" s="86" t="s">
        <v>226</v>
      </c>
      <c r="H652" s="86" t="s">
        <v>16</v>
      </c>
      <c r="I652" s="86" t="s">
        <v>781</v>
      </c>
      <c r="J652" s="343">
        <v>7.04</v>
      </c>
      <c r="K652" s="351">
        <f t="shared" si="57"/>
        <v>201</v>
      </c>
      <c r="L652" s="352">
        <v>201</v>
      </c>
      <c r="M652" s="448" t="str">
        <f>IF(L652="nio","",VLOOKUP(L652,'3-Productie normen'!$B$31:$H$45,3,FALSE))</f>
        <v>5 x per week (40 weken + 1 Zomer refreshbeurt)</v>
      </c>
      <c r="N652" s="353" t="e">
        <f t="shared" si="56"/>
        <v>#DIV/0!</v>
      </c>
      <c r="O652" s="354">
        <f>IF(L652="nio",0,IF(L652&gt;0,VLOOKUP(H652,'3-Productie normen'!A:P,VLOOKUP(L652,'3-Productie normen'!$B$31:$C$45,2,FALSE),FALSE)))/VLOOKUP(B652,'2-Kosten per locatie'!$A$13:$D$36,4,FALSE)</f>
        <v>0</v>
      </c>
      <c r="P652" s="82" t="str">
        <f>VLOOKUP(H652,'3-Productie normen'!A:T,20,FALSE)</f>
        <v>S</v>
      </c>
      <c r="Q652" s="447" t="s">
        <v>855</v>
      </c>
      <c r="S652" s="356">
        <f t="shared" si="55"/>
        <v>1415.04</v>
      </c>
    </row>
    <row r="653" spans="1:19" ht="14.1" customHeight="1">
      <c r="A653" s="72">
        <f t="shared" si="58"/>
        <v>653</v>
      </c>
      <c r="B653" s="50" t="s">
        <v>813</v>
      </c>
      <c r="C653" s="50" t="s">
        <v>832</v>
      </c>
      <c r="D653" s="427" t="s">
        <v>1033</v>
      </c>
      <c r="E653" s="426" t="s">
        <v>612</v>
      </c>
      <c r="F653" s="349" t="s">
        <v>234</v>
      </c>
      <c r="G653" s="86" t="s">
        <v>215</v>
      </c>
      <c r="H653" s="63" t="s">
        <v>1040</v>
      </c>
      <c r="I653" s="86" t="s">
        <v>781</v>
      </c>
      <c r="J653" s="343">
        <v>3.0999999046325701</v>
      </c>
      <c r="K653" s="351">
        <f t="shared" si="57"/>
        <v>12</v>
      </c>
      <c r="L653" s="352">
        <v>12</v>
      </c>
      <c r="M653" s="448" t="str">
        <f>IF(L653="nio","",VLOOKUP(L653,'3-Productie normen'!$B$31:$H$45,3,FALSE))</f>
        <v>1 x per maand</v>
      </c>
      <c r="N653" s="353" t="e">
        <f t="shared" si="56"/>
        <v>#DIV/0!</v>
      </c>
      <c r="O653" s="354">
        <f>IF(L653="nio",0,IF(L653&gt;0,VLOOKUP(H653,'3-Productie normen'!A:P,VLOOKUP(L653,'3-Productie normen'!$B$31:$C$45,2,FALSE),FALSE)))/VLOOKUP(B653,'2-Kosten per locatie'!$A$13:$D$36,4,FALSE)</f>
        <v>0</v>
      </c>
      <c r="P653" s="82" t="str">
        <f>VLOOKUP(H653,'3-Productie normen'!A:T,20,FALSE)</f>
        <v>V</v>
      </c>
      <c r="Q653" s="447" t="s">
        <v>895</v>
      </c>
      <c r="S653" s="356">
        <f t="shared" si="55"/>
        <v>37.199998855590842</v>
      </c>
    </row>
    <row r="654" spans="1:19" ht="14.1" customHeight="1">
      <c r="A654" s="72">
        <f t="shared" si="58"/>
        <v>654</v>
      </c>
      <c r="B654" s="50" t="s">
        <v>813</v>
      </c>
      <c r="C654" s="50" t="s">
        <v>832</v>
      </c>
      <c r="D654" s="427" t="s">
        <v>1033</v>
      </c>
      <c r="E654" s="426" t="s">
        <v>612</v>
      </c>
      <c r="F654" s="349" t="s">
        <v>277</v>
      </c>
      <c r="G654" s="86" t="s">
        <v>232</v>
      </c>
      <c r="H654" s="430" t="s">
        <v>1046</v>
      </c>
      <c r="I654" s="86" t="s">
        <v>800</v>
      </c>
      <c r="J654" s="343">
        <v>6.9000000953674299</v>
      </c>
      <c r="K654" s="351">
        <f t="shared" si="57"/>
        <v>200</v>
      </c>
      <c r="L654" s="352">
        <v>200</v>
      </c>
      <c r="M654" s="448" t="str">
        <f>IF(L654="nio","",VLOOKUP(L654,'3-Productie normen'!$B$31:$H$45,3,FALSE))</f>
        <v>5 x per week (40 weken)</v>
      </c>
      <c r="N654" s="353" t="e">
        <f t="shared" si="56"/>
        <v>#DIV/0!</v>
      </c>
      <c r="O654" s="354">
        <f>IF(L654="nio",0,IF(L654&gt;0,VLOOKUP(H654,'3-Productie normen'!A:P,VLOOKUP(L654,'3-Productie normen'!$B$31:$C$45,2,FALSE),FALSE)))/VLOOKUP(B654,'2-Kosten per locatie'!$A$13:$D$36,4,FALSE)</f>
        <v>0</v>
      </c>
      <c r="P654" s="82" t="str">
        <f>VLOOKUP(H654,'3-Productie normen'!A:T,20,FALSE)</f>
        <v>V</v>
      </c>
      <c r="Q654" s="447" t="s">
        <v>976</v>
      </c>
      <c r="S654" s="356">
        <f t="shared" ref="S654:S717" si="59">IF(L654="nio",0,K654*J654)</f>
        <v>1380.0000190734859</v>
      </c>
    </row>
    <row r="655" spans="1:19" ht="14.1" customHeight="1">
      <c r="A655" s="72">
        <f t="shared" si="58"/>
        <v>655</v>
      </c>
      <c r="B655" s="50" t="s">
        <v>813</v>
      </c>
      <c r="C655" s="50" t="s">
        <v>832</v>
      </c>
      <c r="D655" s="427" t="s">
        <v>1033</v>
      </c>
      <c r="E655" s="426" t="s">
        <v>612</v>
      </c>
      <c r="F655" s="349" t="s">
        <v>288</v>
      </c>
      <c r="G655" s="86" t="s">
        <v>232</v>
      </c>
      <c r="H655" s="430" t="s">
        <v>1046</v>
      </c>
      <c r="I655" s="86" t="s">
        <v>800</v>
      </c>
      <c r="J655" s="343">
        <v>13.8999996185303</v>
      </c>
      <c r="K655" s="351">
        <f t="shared" si="57"/>
        <v>200</v>
      </c>
      <c r="L655" s="352">
        <v>200</v>
      </c>
      <c r="M655" s="448" t="str">
        <f>IF(L655="nio","",VLOOKUP(L655,'3-Productie normen'!$B$31:$H$45,3,FALSE))</f>
        <v>5 x per week (40 weken)</v>
      </c>
      <c r="N655" s="353" t="e">
        <f t="shared" si="56"/>
        <v>#DIV/0!</v>
      </c>
      <c r="O655" s="354">
        <f>IF(L655="nio",0,IF(L655&gt;0,VLOOKUP(H655,'3-Productie normen'!A:P,VLOOKUP(L655,'3-Productie normen'!$B$31:$C$45,2,FALSE),FALSE)))/VLOOKUP(B655,'2-Kosten per locatie'!$A$13:$D$36,4,FALSE)</f>
        <v>0</v>
      </c>
      <c r="P655" s="82" t="str">
        <f>VLOOKUP(H655,'3-Productie normen'!A:T,20,FALSE)</f>
        <v>V</v>
      </c>
      <c r="Q655" s="447" t="s">
        <v>977</v>
      </c>
      <c r="S655" s="356">
        <f t="shared" si="59"/>
        <v>2779.9999237060601</v>
      </c>
    </row>
    <row r="656" spans="1:19" ht="14.1" customHeight="1">
      <c r="A656" s="72">
        <f t="shared" si="58"/>
        <v>656</v>
      </c>
      <c r="B656" s="50" t="s">
        <v>813</v>
      </c>
      <c r="C656" s="50" t="s">
        <v>832</v>
      </c>
      <c r="D656" s="427" t="s">
        <v>1033</v>
      </c>
      <c r="E656" s="426" t="s">
        <v>275</v>
      </c>
      <c r="F656" s="349" t="s">
        <v>276</v>
      </c>
      <c r="G656" s="86" t="s">
        <v>201</v>
      </c>
      <c r="H656" s="432" t="s">
        <v>198</v>
      </c>
      <c r="I656" s="86" t="s">
        <v>780</v>
      </c>
      <c r="J656" s="343">
        <v>91.300003051757798</v>
      </c>
      <c r="K656" s="351">
        <f t="shared" si="57"/>
        <v>200</v>
      </c>
      <c r="L656" s="352">
        <v>200</v>
      </c>
      <c r="M656" s="448" t="str">
        <f>IF(L656="nio","",VLOOKUP(L656,'3-Productie normen'!$B$31:$H$45,3,FALSE))</f>
        <v>5 x per week (40 weken)</v>
      </c>
      <c r="N656" s="353" t="e">
        <f t="shared" si="56"/>
        <v>#DIV/0!</v>
      </c>
      <c r="O656" s="354">
        <f>IF(L656="nio",0,IF(L656&gt;0,VLOOKUP(H656,'3-Productie normen'!A:P,VLOOKUP(L656,'3-Productie normen'!$B$31:$C$45,2,FALSE),FALSE)))/VLOOKUP(B656,'2-Kosten per locatie'!$A$13:$D$36,4,FALSE)</f>
        <v>0</v>
      </c>
      <c r="P656" s="82" t="str">
        <f>VLOOKUP(H656,'3-Productie normen'!A:T,20,FALSE)</f>
        <v>V</v>
      </c>
      <c r="Q656" s="447" t="s">
        <v>792</v>
      </c>
      <c r="S656" s="356">
        <f t="shared" si="59"/>
        <v>18260.000610351559</v>
      </c>
    </row>
    <row r="657" spans="1:19" ht="14.1" customHeight="1">
      <c r="A657" s="72">
        <f t="shared" si="58"/>
        <v>657</v>
      </c>
      <c r="B657" s="50" t="s">
        <v>813</v>
      </c>
      <c r="C657" s="50" t="s">
        <v>832</v>
      </c>
      <c r="D657" s="427" t="s">
        <v>1033</v>
      </c>
      <c r="E657" s="426" t="s">
        <v>275</v>
      </c>
      <c r="F657" s="349" t="s">
        <v>278</v>
      </c>
      <c r="G657" s="86" t="s">
        <v>298</v>
      </c>
      <c r="H657" s="50" t="s">
        <v>241</v>
      </c>
      <c r="I657" s="86" t="s">
        <v>780</v>
      </c>
      <c r="J657" s="343">
        <v>53.599998474121101</v>
      </c>
      <c r="K657" s="351">
        <f t="shared" si="57"/>
        <v>201</v>
      </c>
      <c r="L657" s="352">
        <v>201</v>
      </c>
      <c r="M657" s="448" t="str">
        <f>IF(L657="nio","",VLOOKUP(L657,'3-Productie normen'!$B$31:$H$45,3,FALSE))</f>
        <v>5 x per week (40 weken + 1 Zomer refreshbeurt)</v>
      </c>
      <c r="N657" s="353" t="e">
        <f t="shared" si="56"/>
        <v>#DIV/0!</v>
      </c>
      <c r="O657" s="354">
        <f>IF(L657="nio",0,IF(L657&gt;0,VLOOKUP(H657,'3-Productie normen'!A:P,VLOOKUP(L657,'3-Productie normen'!$B$31:$C$45,2,FALSE),FALSE)))/VLOOKUP(B657,'2-Kosten per locatie'!$A$13:$D$36,4,FALSE)</f>
        <v>0</v>
      </c>
      <c r="P657" s="82" t="str">
        <f>VLOOKUP(H657,'3-Productie normen'!A:T,20,FALSE)</f>
        <v>L</v>
      </c>
      <c r="Q657" s="447" t="s">
        <v>881</v>
      </c>
      <c r="S657" s="356">
        <f t="shared" si="59"/>
        <v>10773.599693298342</v>
      </c>
    </row>
    <row r="658" spans="1:19" ht="14.1" customHeight="1">
      <c r="A658" s="72">
        <f t="shared" si="58"/>
        <v>658</v>
      </c>
      <c r="B658" s="50" t="s">
        <v>813</v>
      </c>
      <c r="C658" s="50" t="s">
        <v>832</v>
      </c>
      <c r="D658" s="427" t="s">
        <v>1033</v>
      </c>
      <c r="E658" s="426" t="s">
        <v>275</v>
      </c>
      <c r="F658" s="349" t="s">
        <v>642</v>
      </c>
      <c r="G658" s="86" t="s">
        <v>209</v>
      </c>
      <c r="H658" s="63" t="s">
        <v>1040</v>
      </c>
      <c r="I658" s="86" t="s">
        <v>780</v>
      </c>
      <c r="J658" s="343">
        <v>2.0999999046325701</v>
      </c>
      <c r="K658" s="351">
        <f t="shared" si="57"/>
        <v>12</v>
      </c>
      <c r="L658" s="352">
        <v>12</v>
      </c>
      <c r="M658" s="448" t="str">
        <f>IF(L658="nio","",VLOOKUP(L658,'3-Productie normen'!$B$31:$H$45,3,FALSE))</f>
        <v>1 x per maand</v>
      </c>
      <c r="N658" s="353" t="e">
        <f t="shared" si="56"/>
        <v>#DIV/0!</v>
      </c>
      <c r="O658" s="354">
        <f>IF(L658="nio",0,IF(L658&gt;0,VLOOKUP(H658,'3-Productie normen'!A:P,VLOOKUP(L658,'3-Productie normen'!$B$31:$C$45,2,FALSE),FALSE)))/VLOOKUP(B658,'2-Kosten per locatie'!$A$13:$D$36,4,FALSE)</f>
        <v>0</v>
      </c>
      <c r="P658" s="82" t="str">
        <f>VLOOKUP(H658,'3-Productie normen'!A:T,20,FALSE)</f>
        <v>V</v>
      </c>
      <c r="Q658" s="447" t="s">
        <v>792</v>
      </c>
      <c r="S658" s="356">
        <f t="shared" si="59"/>
        <v>25.199998855590842</v>
      </c>
    </row>
    <row r="659" spans="1:19" ht="14.1" customHeight="1">
      <c r="A659" s="72">
        <f t="shared" si="58"/>
        <v>659</v>
      </c>
      <c r="B659" s="50" t="s">
        <v>813</v>
      </c>
      <c r="C659" s="50" t="s">
        <v>832</v>
      </c>
      <c r="D659" s="427" t="s">
        <v>1033</v>
      </c>
      <c r="E659" s="426" t="s">
        <v>275</v>
      </c>
      <c r="F659" s="349" t="s">
        <v>280</v>
      </c>
      <c r="G659" s="86" t="s">
        <v>298</v>
      </c>
      <c r="H659" s="50" t="s">
        <v>241</v>
      </c>
      <c r="I659" s="86" t="s">
        <v>780</v>
      </c>
      <c r="J659" s="343">
        <v>56.700000762939503</v>
      </c>
      <c r="K659" s="351">
        <f t="shared" si="57"/>
        <v>201</v>
      </c>
      <c r="L659" s="352">
        <v>201</v>
      </c>
      <c r="M659" s="448" t="str">
        <f>IF(L659="nio","",VLOOKUP(L659,'3-Productie normen'!$B$31:$H$45,3,FALSE))</f>
        <v>5 x per week (40 weken + 1 Zomer refreshbeurt)</v>
      </c>
      <c r="N659" s="353" t="e">
        <f t="shared" si="56"/>
        <v>#DIV/0!</v>
      </c>
      <c r="O659" s="354">
        <f>IF(L659="nio",0,IF(L659&gt;0,VLOOKUP(H659,'3-Productie normen'!A:P,VLOOKUP(L659,'3-Productie normen'!$B$31:$C$45,2,FALSE),FALSE)))/VLOOKUP(B659,'2-Kosten per locatie'!$A$13:$D$36,4,FALSE)</f>
        <v>0</v>
      </c>
      <c r="P659" s="82" t="str">
        <f>VLOOKUP(H659,'3-Productie normen'!A:T,20,FALSE)</f>
        <v>L</v>
      </c>
      <c r="Q659" s="447" t="s">
        <v>879</v>
      </c>
      <c r="S659" s="356">
        <f t="shared" si="59"/>
        <v>11396.700153350839</v>
      </c>
    </row>
    <row r="660" spans="1:19" ht="14.1" customHeight="1">
      <c r="A660" s="72">
        <f t="shared" si="58"/>
        <v>660</v>
      </c>
      <c r="B660" s="50" t="s">
        <v>813</v>
      </c>
      <c r="C660" s="50" t="s">
        <v>832</v>
      </c>
      <c r="D660" s="427" t="s">
        <v>1033</v>
      </c>
      <c r="E660" s="426" t="s">
        <v>275</v>
      </c>
      <c r="F660" s="349" t="s">
        <v>643</v>
      </c>
      <c r="G660" s="86" t="s">
        <v>209</v>
      </c>
      <c r="H660" s="63" t="s">
        <v>1040</v>
      </c>
      <c r="I660" s="86" t="s">
        <v>780</v>
      </c>
      <c r="J660" s="343">
        <v>2.2999999523162802</v>
      </c>
      <c r="K660" s="351">
        <f t="shared" si="57"/>
        <v>12</v>
      </c>
      <c r="L660" s="352">
        <v>12</v>
      </c>
      <c r="M660" s="448" t="str">
        <f>IF(L660="nio","",VLOOKUP(L660,'3-Productie normen'!$B$31:$H$45,3,FALSE))</f>
        <v>1 x per maand</v>
      </c>
      <c r="N660" s="353" t="e">
        <f t="shared" si="56"/>
        <v>#DIV/0!</v>
      </c>
      <c r="O660" s="354">
        <f>IF(L660="nio",0,IF(L660&gt;0,VLOOKUP(H660,'3-Productie normen'!A:P,VLOOKUP(L660,'3-Productie normen'!$B$31:$C$45,2,FALSE),FALSE)))/VLOOKUP(B660,'2-Kosten per locatie'!$A$13:$D$36,4,FALSE)</f>
        <v>0</v>
      </c>
      <c r="P660" s="82" t="str">
        <f>VLOOKUP(H660,'3-Productie normen'!A:T,20,FALSE)</f>
        <v>V</v>
      </c>
      <c r="Q660" s="447" t="s">
        <v>792</v>
      </c>
      <c r="S660" s="356">
        <f t="shared" si="59"/>
        <v>27.59999942779536</v>
      </c>
    </row>
    <row r="661" spans="1:19" ht="14.1" customHeight="1">
      <c r="A661" s="72">
        <f t="shared" si="58"/>
        <v>661</v>
      </c>
      <c r="B661" s="50" t="s">
        <v>813</v>
      </c>
      <c r="C661" s="50" t="s">
        <v>832</v>
      </c>
      <c r="D661" s="427" t="s">
        <v>1033</v>
      </c>
      <c r="E661" s="426" t="s">
        <v>275</v>
      </c>
      <c r="F661" s="349" t="s">
        <v>282</v>
      </c>
      <c r="G661" s="86" t="s">
        <v>298</v>
      </c>
      <c r="H661" s="50" t="s">
        <v>241</v>
      </c>
      <c r="I661" s="86" t="s">
        <v>780</v>
      </c>
      <c r="J661" s="343">
        <v>62.599998474121101</v>
      </c>
      <c r="K661" s="351">
        <f t="shared" si="57"/>
        <v>201</v>
      </c>
      <c r="L661" s="352">
        <v>201</v>
      </c>
      <c r="M661" s="448" t="str">
        <f>IF(L661="nio","",VLOOKUP(L661,'3-Productie normen'!$B$31:$H$45,3,FALSE))</f>
        <v>5 x per week (40 weken + 1 Zomer refreshbeurt)</v>
      </c>
      <c r="N661" s="353" t="e">
        <f t="shared" si="56"/>
        <v>#DIV/0!</v>
      </c>
      <c r="O661" s="354">
        <f>IF(L661="nio",0,IF(L661&gt;0,VLOOKUP(H661,'3-Productie normen'!A:P,VLOOKUP(L661,'3-Productie normen'!$B$31:$C$45,2,FALSE),FALSE)))/VLOOKUP(B661,'2-Kosten per locatie'!$A$13:$D$36,4,FALSE)</f>
        <v>0</v>
      </c>
      <c r="P661" s="82" t="str">
        <f>VLOOKUP(H661,'3-Productie normen'!A:T,20,FALSE)</f>
        <v>L</v>
      </c>
      <c r="Q661" s="447" t="s">
        <v>884</v>
      </c>
      <c r="S661" s="356">
        <f t="shared" si="59"/>
        <v>12582.599693298342</v>
      </c>
    </row>
    <row r="662" spans="1:19" ht="14.1" customHeight="1">
      <c r="A662" s="72">
        <f t="shared" si="58"/>
        <v>662</v>
      </c>
      <c r="B662" s="50" t="s">
        <v>813</v>
      </c>
      <c r="C662" s="50" t="s">
        <v>832</v>
      </c>
      <c r="D662" s="427" t="s">
        <v>1033</v>
      </c>
      <c r="E662" s="426" t="s">
        <v>275</v>
      </c>
      <c r="F662" s="349" t="s">
        <v>644</v>
      </c>
      <c r="G662" s="86" t="s">
        <v>209</v>
      </c>
      <c r="H662" s="63" t="s">
        <v>1040</v>
      </c>
      <c r="I662" s="86" t="s">
        <v>780</v>
      </c>
      <c r="J662" s="343">
        <v>2.2999999523162802</v>
      </c>
      <c r="K662" s="351">
        <f t="shared" si="57"/>
        <v>12</v>
      </c>
      <c r="L662" s="352">
        <v>12</v>
      </c>
      <c r="M662" s="448" t="str">
        <f>IF(L662="nio","",VLOOKUP(L662,'3-Productie normen'!$B$31:$H$45,3,FALSE))</f>
        <v>1 x per maand</v>
      </c>
      <c r="N662" s="353" t="e">
        <f t="shared" si="56"/>
        <v>#DIV/0!</v>
      </c>
      <c r="O662" s="354">
        <f>IF(L662="nio",0,IF(L662&gt;0,VLOOKUP(H662,'3-Productie normen'!A:P,VLOOKUP(L662,'3-Productie normen'!$B$31:$C$45,2,FALSE),FALSE)))/VLOOKUP(B662,'2-Kosten per locatie'!$A$13:$D$36,4,FALSE)</f>
        <v>0</v>
      </c>
      <c r="P662" s="82" t="str">
        <f>VLOOKUP(H662,'3-Productie normen'!A:T,20,FALSE)</f>
        <v>V</v>
      </c>
      <c r="Q662" s="447" t="s">
        <v>792</v>
      </c>
      <c r="S662" s="356">
        <f t="shared" si="59"/>
        <v>27.59999942779536</v>
      </c>
    </row>
    <row r="663" spans="1:19" ht="14.1" customHeight="1">
      <c r="A663" s="72">
        <f t="shared" si="58"/>
        <v>663</v>
      </c>
      <c r="B663" s="50" t="s">
        <v>813</v>
      </c>
      <c r="C663" s="50" t="s">
        <v>832</v>
      </c>
      <c r="D663" s="427" t="s">
        <v>1033</v>
      </c>
      <c r="E663" s="426" t="s">
        <v>275</v>
      </c>
      <c r="F663" s="349" t="s">
        <v>284</v>
      </c>
      <c r="G663" s="86" t="s">
        <v>298</v>
      </c>
      <c r="H663" s="50" t="s">
        <v>241</v>
      </c>
      <c r="I663" s="86" t="s">
        <v>780</v>
      </c>
      <c r="J663" s="343">
        <v>56.700000762939503</v>
      </c>
      <c r="K663" s="351">
        <f t="shared" si="57"/>
        <v>201</v>
      </c>
      <c r="L663" s="352">
        <v>201</v>
      </c>
      <c r="M663" s="448" t="str">
        <f>IF(L663="nio","",VLOOKUP(L663,'3-Productie normen'!$B$31:$H$45,3,FALSE))</f>
        <v>5 x per week (40 weken + 1 Zomer refreshbeurt)</v>
      </c>
      <c r="N663" s="353" t="e">
        <f t="shared" si="56"/>
        <v>#DIV/0!</v>
      </c>
      <c r="O663" s="354">
        <f>IF(L663="nio",0,IF(L663&gt;0,VLOOKUP(H663,'3-Productie normen'!A:P,VLOOKUP(L663,'3-Productie normen'!$B$31:$C$45,2,FALSE),FALSE)))/VLOOKUP(B663,'2-Kosten per locatie'!$A$13:$D$36,4,FALSE)</f>
        <v>0</v>
      </c>
      <c r="P663" s="82" t="str">
        <f>VLOOKUP(H663,'3-Productie normen'!A:T,20,FALSE)</f>
        <v>L</v>
      </c>
      <c r="Q663" s="447" t="s">
        <v>880</v>
      </c>
      <c r="S663" s="356">
        <f t="shared" si="59"/>
        <v>11396.700153350839</v>
      </c>
    </row>
    <row r="664" spans="1:19" ht="14.1" customHeight="1">
      <c r="A664" s="72">
        <f t="shared" si="58"/>
        <v>664</v>
      </c>
      <c r="B664" s="50" t="s">
        <v>813</v>
      </c>
      <c r="C664" s="50" t="s">
        <v>832</v>
      </c>
      <c r="D664" s="427" t="s">
        <v>1033</v>
      </c>
      <c r="E664" s="426" t="s">
        <v>275</v>
      </c>
      <c r="F664" s="349" t="s">
        <v>645</v>
      </c>
      <c r="G664" s="86" t="s">
        <v>209</v>
      </c>
      <c r="H664" s="63" t="s">
        <v>1040</v>
      </c>
      <c r="I664" s="86" t="s">
        <v>780</v>
      </c>
      <c r="J664" s="343">
        <v>4.1999998092651403</v>
      </c>
      <c r="K664" s="351">
        <f t="shared" si="57"/>
        <v>12</v>
      </c>
      <c r="L664" s="352">
        <v>12</v>
      </c>
      <c r="M664" s="448" t="str">
        <f>IF(L664="nio","",VLOOKUP(L664,'3-Productie normen'!$B$31:$H$45,3,FALSE))</f>
        <v>1 x per maand</v>
      </c>
      <c r="N664" s="353" t="e">
        <f t="shared" si="56"/>
        <v>#DIV/0!</v>
      </c>
      <c r="O664" s="354">
        <f>IF(L664="nio",0,IF(L664&gt;0,VLOOKUP(H664,'3-Productie normen'!A:P,VLOOKUP(L664,'3-Productie normen'!$B$31:$C$45,2,FALSE),FALSE)))/VLOOKUP(B664,'2-Kosten per locatie'!$A$13:$D$36,4,FALSE)</f>
        <v>0</v>
      </c>
      <c r="P664" s="82" t="str">
        <f>VLOOKUP(H664,'3-Productie normen'!A:T,20,FALSE)</f>
        <v>V</v>
      </c>
      <c r="Q664" s="447" t="s">
        <v>792</v>
      </c>
      <c r="S664" s="356">
        <f t="shared" si="59"/>
        <v>50.399997711181683</v>
      </c>
    </row>
    <row r="665" spans="1:19" ht="14.1" customHeight="1">
      <c r="A665" s="72">
        <f t="shared" si="58"/>
        <v>665</v>
      </c>
      <c r="B665" s="50" t="s">
        <v>813</v>
      </c>
      <c r="C665" s="50" t="s">
        <v>832</v>
      </c>
      <c r="D665" s="427" t="s">
        <v>1033</v>
      </c>
      <c r="E665" s="426" t="s">
        <v>275</v>
      </c>
      <c r="F665" s="349" t="s">
        <v>285</v>
      </c>
      <c r="G665" s="86" t="s">
        <v>298</v>
      </c>
      <c r="H665" s="50" t="s">
        <v>241</v>
      </c>
      <c r="I665" s="86" t="s">
        <v>780</v>
      </c>
      <c r="J665" s="343">
        <v>53.700000762939503</v>
      </c>
      <c r="K665" s="351">
        <f t="shared" si="57"/>
        <v>201</v>
      </c>
      <c r="L665" s="352">
        <v>201</v>
      </c>
      <c r="M665" s="448" t="str">
        <f>IF(L665="nio","",VLOOKUP(L665,'3-Productie normen'!$B$31:$H$45,3,FALSE))</f>
        <v>5 x per week (40 weken + 1 Zomer refreshbeurt)</v>
      </c>
      <c r="N665" s="353" t="e">
        <f t="shared" si="56"/>
        <v>#DIV/0!</v>
      </c>
      <c r="O665" s="354">
        <f>IF(L665="nio",0,IF(L665&gt;0,VLOOKUP(H665,'3-Productie normen'!A:P,VLOOKUP(L665,'3-Productie normen'!$B$31:$C$45,2,FALSE),FALSE)))/VLOOKUP(B665,'2-Kosten per locatie'!$A$13:$D$36,4,FALSE)</f>
        <v>0</v>
      </c>
      <c r="P665" s="82" t="str">
        <f>VLOOKUP(H665,'3-Productie normen'!A:T,20,FALSE)</f>
        <v>L</v>
      </c>
      <c r="Q665" s="447" t="s">
        <v>978</v>
      </c>
      <c r="S665" s="356">
        <f t="shared" si="59"/>
        <v>10793.700153350839</v>
      </c>
    </row>
    <row r="666" spans="1:19" ht="14.1" customHeight="1">
      <c r="A666" s="72">
        <f t="shared" si="58"/>
        <v>666</v>
      </c>
      <c r="B666" s="50" t="s">
        <v>813</v>
      </c>
      <c r="C666" s="50" t="s">
        <v>832</v>
      </c>
      <c r="D666" s="427" t="s">
        <v>1033</v>
      </c>
      <c r="E666" s="426" t="s">
        <v>275</v>
      </c>
      <c r="F666" s="349" t="s">
        <v>646</v>
      </c>
      <c r="G666" s="86" t="s">
        <v>209</v>
      </c>
      <c r="H666" s="63" t="s">
        <v>1040</v>
      </c>
      <c r="I666" s="86" t="s">
        <v>780</v>
      </c>
      <c r="J666" s="343">
        <v>2.0999999046325701</v>
      </c>
      <c r="K666" s="351">
        <f t="shared" si="57"/>
        <v>12</v>
      </c>
      <c r="L666" s="352">
        <v>12</v>
      </c>
      <c r="M666" s="448" t="str">
        <f>IF(L666="nio","",VLOOKUP(L666,'3-Productie normen'!$B$31:$H$45,3,FALSE))</f>
        <v>1 x per maand</v>
      </c>
      <c r="N666" s="353" t="e">
        <f t="shared" si="56"/>
        <v>#DIV/0!</v>
      </c>
      <c r="O666" s="354">
        <f>IF(L666="nio",0,IF(L666&gt;0,VLOOKUP(H666,'3-Productie normen'!A:P,VLOOKUP(L666,'3-Productie normen'!$B$31:$C$45,2,FALSE),FALSE)))/VLOOKUP(B666,'2-Kosten per locatie'!$A$13:$D$36,4,FALSE)</f>
        <v>0</v>
      </c>
      <c r="P666" s="82" t="str">
        <f>VLOOKUP(H666,'3-Productie normen'!A:T,20,FALSE)</f>
        <v>V</v>
      </c>
      <c r="Q666" s="447" t="s">
        <v>792</v>
      </c>
      <c r="S666" s="356">
        <f t="shared" si="59"/>
        <v>25.199998855590842</v>
      </c>
    </row>
    <row r="667" spans="1:19" ht="14.1" customHeight="1">
      <c r="A667" s="72">
        <f t="shared" si="58"/>
        <v>667</v>
      </c>
      <c r="B667" s="50" t="s">
        <v>813</v>
      </c>
      <c r="C667" s="50" t="s">
        <v>832</v>
      </c>
      <c r="D667" s="427" t="s">
        <v>1033</v>
      </c>
      <c r="E667" s="426" t="s">
        <v>275</v>
      </c>
      <c r="F667" s="349" t="s">
        <v>286</v>
      </c>
      <c r="G667" s="86" t="s">
        <v>222</v>
      </c>
      <c r="H667" s="86" t="s">
        <v>16</v>
      </c>
      <c r="I667" s="86" t="s">
        <v>781</v>
      </c>
      <c r="J667" s="343">
        <v>2.5099999999999998</v>
      </c>
      <c r="K667" s="351">
        <f t="shared" si="57"/>
        <v>201</v>
      </c>
      <c r="L667" s="352">
        <v>201</v>
      </c>
      <c r="M667" s="448" t="str">
        <f>IF(L667="nio","",VLOOKUP(L667,'3-Productie normen'!$B$31:$H$45,3,FALSE))</f>
        <v>5 x per week (40 weken + 1 Zomer refreshbeurt)</v>
      </c>
      <c r="N667" s="353" t="e">
        <f t="shared" si="56"/>
        <v>#DIV/0!</v>
      </c>
      <c r="O667" s="354">
        <f>IF(L667="nio",0,IF(L667&gt;0,VLOOKUP(H667,'3-Productie normen'!A:P,VLOOKUP(L667,'3-Productie normen'!$B$31:$C$45,2,FALSE),FALSE)))/VLOOKUP(B667,'2-Kosten per locatie'!$A$13:$D$36,4,FALSE)</f>
        <v>0</v>
      </c>
      <c r="P667" s="82" t="str">
        <f>VLOOKUP(H667,'3-Productie normen'!A:T,20,FALSE)</f>
        <v>S</v>
      </c>
      <c r="Q667" s="447" t="s">
        <v>888</v>
      </c>
      <c r="S667" s="356">
        <f t="shared" si="59"/>
        <v>504.50999999999993</v>
      </c>
    </row>
    <row r="668" spans="1:19" ht="14.1" customHeight="1">
      <c r="A668" s="72">
        <f t="shared" si="58"/>
        <v>668</v>
      </c>
      <c r="B668" s="50" t="s">
        <v>813</v>
      </c>
      <c r="C668" s="50" t="s">
        <v>832</v>
      </c>
      <c r="D668" s="427" t="s">
        <v>1033</v>
      </c>
      <c r="E668" s="426" t="s">
        <v>275</v>
      </c>
      <c r="F668" s="349" t="s">
        <v>287</v>
      </c>
      <c r="G668" s="86" t="s">
        <v>226</v>
      </c>
      <c r="H668" s="65" t="s">
        <v>16</v>
      </c>
      <c r="I668" s="86" t="s">
        <v>781</v>
      </c>
      <c r="J668" s="343">
        <v>17.36</v>
      </c>
      <c r="K668" s="351">
        <f t="shared" si="57"/>
        <v>201</v>
      </c>
      <c r="L668" s="352">
        <v>201</v>
      </c>
      <c r="M668" s="448" t="str">
        <f>IF(L668="nio","",VLOOKUP(L668,'3-Productie normen'!$B$31:$H$45,3,FALSE))</f>
        <v>5 x per week (40 weken + 1 Zomer refreshbeurt)</v>
      </c>
      <c r="N668" s="353" t="e">
        <f t="shared" si="56"/>
        <v>#DIV/0!</v>
      </c>
      <c r="O668" s="354">
        <f>IF(L668="nio",0,IF(L668&gt;0,VLOOKUP(H668,'3-Productie normen'!A:P,VLOOKUP(L668,'3-Productie normen'!$B$31:$C$45,2,FALSE),FALSE)))/VLOOKUP(B668,'2-Kosten per locatie'!$A$13:$D$36,4,FALSE)</f>
        <v>0</v>
      </c>
      <c r="P668" s="82" t="str">
        <f>VLOOKUP(H668,'3-Productie normen'!A:T,20,FALSE)</f>
        <v>S</v>
      </c>
      <c r="Q668" s="447" t="s">
        <v>979</v>
      </c>
      <c r="S668" s="356">
        <f t="shared" si="59"/>
        <v>3489.3599999999997</v>
      </c>
    </row>
    <row r="669" spans="1:19" ht="14.1" customHeight="1">
      <c r="A669" s="72">
        <f t="shared" si="58"/>
        <v>669</v>
      </c>
      <c r="B669" s="50" t="s">
        <v>814</v>
      </c>
      <c r="C669" s="50" t="s">
        <v>833</v>
      </c>
      <c r="D669" s="427" t="s">
        <v>1033</v>
      </c>
      <c r="E669" s="426" t="s">
        <v>612</v>
      </c>
      <c r="F669" s="349" t="s">
        <v>197</v>
      </c>
      <c r="G669" s="86" t="s">
        <v>199</v>
      </c>
      <c r="H669" s="432" t="s">
        <v>198</v>
      </c>
      <c r="I669" s="86" t="s">
        <v>779</v>
      </c>
      <c r="J669" s="343">
        <v>2.2000000476837198</v>
      </c>
      <c r="K669" s="351">
        <f t="shared" si="57"/>
        <v>200</v>
      </c>
      <c r="L669" s="352">
        <v>200</v>
      </c>
      <c r="M669" s="448" t="str">
        <f>IF(L669="nio","",VLOOKUP(L669,'3-Productie normen'!$B$31:$H$45,3,FALSE))</f>
        <v>5 x per week (40 weken)</v>
      </c>
      <c r="N669" s="353" t="e">
        <f t="shared" si="56"/>
        <v>#DIV/0!</v>
      </c>
      <c r="O669" s="354">
        <f>IF(L669="nio",0,IF(L669&gt;0,VLOOKUP(H669,'3-Productie normen'!A:P,VLOOKUP(L669,'3-Productie normen'!$B$31:$C$45,2,FALSE),FALSE)))/VLOOKUP(B669,'2-Kosten per locatie'!$A$13:$D$36,4,FALSE)</f>
        <v>0</v>
      </c>
      <c r="P669" s="82" t="str">
        <f>VLOOKUP(H669,'3-Productie normen'!A:T,20,FALSE)</f>
        <v>V</v>
      </c>
      <c r="Q669" s="447" t="s">
        <v>794</v>
      </c>
      <c r="S669" s="356">
        <f t="shared" si="59"/>
        <v>440.00000953674396</v>
      </c>
    </row>
    <row r="670" spans="1:19" ht="14.1" customHeight="1">
      <c r="A670" s="72">
        <f t="shared" si="58"/>
        <v>670</v>
      </c>
      <c r="B670" s="50" t="s">
        <v>814</v>
      </c>
      <c r="C670" s="50" t="s">
        <v>833</v>
      </c>
      <c r="D670" s="427" t="s">
        <v>1033</v>
      </c>
      <c r="E670" s="426" t="s">
        <v>612</v>
      </c>
      <c r="F670" s="349" t="s">
        <v>197</v>
      </c>
      <c r="G670" s="86" t="s">
        <v>199</v>
      </c>
      <c r="H670" s="432" t="s">
        <v>198</v>
      </c>
      <c r="I670" s="86" t="s">
        <v>91</v>
      </c>
      <c r="J670" s="343">
        <v>2.8900001049041699</v>
      </c>
      <c r="K670" s="351">
        <f t="shared" si="57"/>
        <v>200</v>
      </c>
      <c r="L670" s="352">
        <v>200</v>
      </c>
      <c r="M670" s="448" t="str">
        <f>IF(L670="nio","",VLOOKUP(L670,'3-Productie normen'!$B$31:$H$45,3,FALSE))</f>
        <v>5 x per week (40 weken)</v>
      </c>
      <c r="N670" s="353" t="e">
        <f t="shared" si="56"/>
        <v>#DIV/0!</v>
      </c>
      <c r="O670" s="354">
        <f>IF(L670="nio",0,IF(L670&gt;0,VLOOKUP(H670,'3-Productie normen'!A:P,VLOOKUP(L670,'3-Productie normen'!$B$31:$C$45,2,FALSE),FALSE)))/VLOOKUP(B670,'2-Kosten per locatie'!$A$13:$D$36,4,FALSE)</f>
        <v>0</v>
      </c>
      <c r="P670" s="82" t="str">
        <f>VLOOKUP(H670,'3-Productie normen'!A:T,20,FALSE)</f>
        <v>V</v>
      </c>
      <c r="Q670" s="447" t="s">
        <v>792</v>
      </c>
      <c r="S670" s="356">
        <f t="shared" si="59"/>
        <v>578.00002098083394</v>
      </c>
    </row>
    <row r="671" spans="1:19" ht="14.1" customHeight="1">
      <c r="A671" s="72">
        <f t="shared" si="58"/>
        <v>671</v>
      </c>
      <c r="B671" s="50" t="s">
        <v>814</v>
      </c>
      <c r="C671" s="50" t="s">
        <v>833</v>
      </c>
      <c r="D671" s="427" t="s">
        <v>1033</v>
      </c>
      <c r="E671" s="426" t="s">
        <v>612</v>
      </c>
      <c r="F671" s="349" t="s">
        <v>200</v>
      </c>
      <c r="G671" s="86" t="s">
        <v>201</v>
      </c>
      <c r="H671" s="432" t="s">
        <v>198</v>
      </c>
      <c r="I671" s="86" t="s">
        <v>91</v>
      </c>
      <c r="J671" s="343">
        <v>58.32</v>
      </c>
      <c r="K671" s="351">
        <f t="shared" si="57"/>
        <v>200</v>
      </c>
      <c r="L671" s="352">
        <v>200</v>
      </c>
      <c r="M671" s="448" t="str">
        <f>IF(L671="nio","",VLOOKUP(L671,'3-Productie normen'!$B$31:$H$45,3,FALSE))</f>
        <v>5 x per week (40 weken)</v>
      </c>
      <c r="N671" s="353" t="e">
        <f t="shared" si="56"/>
        <v>#DIV/0!</v>
      </c>
      <c r="O671" s="354">
        <f>IF(L671="nio",0,IF(L671&gt;0,VLOOKUP(H671,'3-Productie normen'!A:P,VLOOKUP(L671,'3-Productie normen'!$B$31:$C$45,2,FALSE),FALSE)))/VLOOKUP(B671,'2-Kosten per locatie'!$A$13:$D$36,4,FALSE)</f>
        <v>0</v>
      </c>
      <c r="P671" s="82" t="str">
        <f>VLOOKUP(H671,'3-Productie normen'!A:T,20,FALSE)</f>
        <v>V</v>
      </c>
      <c r="Q671" s="447" t="s">
        <v>792</v>
      </c>
      <c r="S671" s="356">
        <f t="shared" si="59"/>
        <v>11664</v>
      </c>
    </row>
    <row r="672" spans="1:19" ht="14.1" customHeight="1">
      <c r="A672" s="72">
        <f t="shared" si="58"/>
        <v>672</v>
      </c>
      <c r="B672" s="50" t="s">
        <v>814</v>
      </c>
      <c r="C672" s="50" t="s">
        <v>833</v>
      </c>
      <c r="D672" s="427" t="s">
        <v>1033</v>
      </c>
      <c r="E672" s="426" t="s">
        <v>612</v>
      </c>
      <c r="F672" s="349" t="s">
        <v>202</v>
      </c>
      <c r="G672" s="86" t="s">
        <v>298</v>
      </c>
      <c r="H672" s="86" t="s">
        <v>241</v>
      </c>
      <c r="I672" s="86" t="s">
        <v>180</v>
      </c>
      <c r="J672" s="343">
        <v>0.60000002384185802</v>
      </c>
      <c r="K672" s="351">
        <f t="shared" si="57"/>
        <v>201</v>
      </c>
      <c r="L672" s="352">
        <v>201</v>
      </c>
      <c r="M672" s="448" t="str">
        <f>IF(L672="nio","",VLOOKUP(L672,'3-Productie normen'!$B$31:$H$45,3,FALSE))</f>
        <v>5 x per week (40 weken + 1 Zomer refreshbeurt)</v>
      </c>
      <c r="N672" s="353" t="e">
        <f t="shared" si="56"/>
        <v>#DIV/0!</v>
      </c>
      <c r="O672" s="354">
        <f>IF(L672="nio",0,IF(L672&gt;0,VLOOKUP(H672,'3-Productie normen'!A:P,VLOOKUP(L672,'3-Productie normen'!$B$31:$C$45,2,FALSE),FALSE)))/VLOOKUP(B672,'2-Kosten per locatie'!$A$13:$D$36,4,FALSE)</f>
        <v>0</v>
      </c>
      <c r="P672" s="82" t="str">
        <f>VLOOKUP(H672,'3-Productie normen'!A:T,20,FALSE)</f>
        <v>L</v>
      </c>
      <c r="Q672" s="447" t="s">
        <v>980</v>
      </c>
      <c r="S672" s="356">
        <f t="shared" si="59"/>
        <v>120.60000479221347</v>
      </c>
    </row>
    <row r="673" spans="1:19" ht="14.1" customHeight="1">
      <c r="A673" s="72">
        <f t="shared" si="58"/>
        <v>673</v>
      </c>
      <c r="B673" s="50" t="s">
        <v>814</v>
      </c>
      <c r="C673" s="50" t="s">
        <v>833</v>
      </c>
      <c r="D673" s="427" t="s">
        <v>1033</v>
      </c>
      <c r="E673" s="426" t="s">
        <v>612</v>
      </c>
      <c r="F673" s="349" t="s">
        <v>202</v>
      </c>
      <c r="G673" s="86" t="s">
        <v>298</v>
      </c>
      <c r="H673" s="86" t="s">
        <v>241</v>
      </c>
      <c r="I673" s="86" t="s">
        <v>780</v>
      </c>
      <c r="J673" s="343">
        <v>54.43</v>
      </c>
      <c r="K673" s="351">
        <f t="shared" si="57"/>
        <v>201</v>
      </c>
      <c r="L673" s="352">
        <v>201</v>
      </c>
      <c r="M673" s="448" t="str">
        <f>IF(L673="nio","",VLOOKUP(L673,'3-Productie normen'!$B$31:$H$45,3,FALSE))</f>
        <v>5 x per week (40 weken + 1 Zomer refreshbeurt)</v>
      </c>
      <c r="N673" s="353" t="e">
        <f t="shared" si="56"/>
        <v>#DIV/0!</v>
      </c>
      <c r="O673" s="354">
        <f>IF(L673="nio",0,IF(L673&gt;0,VLOOKUP(H673,'3-Productie normen'!A:P,VLOOKUP(L673,'3-Productie normen'!$B$31:$C$45,2,FALSE),FALSE)))/VLOOKUP(B673,'2-Kosten per locatie'!$A$13:$D$36,4,FALSE)</f>
        <v>0</v>
      </c>
      <c r="P673" s="82" t="str">
        <f>VLOOKUP(H673,'3-Productie normen'!A:T,20,FALSE)</f>
        <v>L</v>
      </c>
      <c r="Q673" s="447" t="s">
        <v>980</v>
      </c>
      <c r="S673" s="356">
        <f t="shared" si="59"/>
        <v>10940.43</v>
      </c>
    </row>
    <row r="674" spans="1:19" ht="14.1" customHeight="1">
      <c r="A674" s="72">
        <f t="shared" si="58"/>
        <v>674</v>
      </c>
      <c r="B674" s="50" t="s">
        <v>814</v>
      </c>
      <c r="C674" s="50" t="s">
        <v>833</v>
      </c>
      <c r="D674" s="427" t="s">
        <v>1033</v>
      </c>
      <c r="E674" s="426" t="s">
        <v>612</v>
      </c>
      <c r="F674" s="349" t="s">
        <v>205</v>
      </c>
      <c r="G674" s="86" t="s">
        <v>298</v>
      </c>
      <c r="H674" s="86" t="s">
        <v>241</v>
      </c>
      <c r="I674" s="86" t="s">
        <v>180</v>
      </c>
      <c r="J674" s="343">
        <v>0.60000002384185802</v>
      </c>
      <c r="K674" s="351">
        <f t="shared" si="57"/>
        <v>201</v>
      </c>
      <c r="L674" s="352">
        <v>201</v>
      </c>
      <c r="M674" s="448" t="str">
        <f>IF(L674="nio","",VLOOKUP(L674,'3-Productie normen'!$B$31:$H$45,3,FALSE))</f>
        <v>5 x per week (40 weken + 1 Zomer refreshbeurt)</v>
      </c>
      <c r="N674" s="353" t="e">
        <f t="shared" si="56"/>
        <v>#DIV/0!</v>
      </c>
      <c r="O674" s="354">
        <f>IF(L674="nio",0,IF(L674&gt;0,VLOOKUP(H674,'3-Productie normen'!A:P,VLOOKUP(L674,'3-Productie normen'!$B$31:$C$45,2,FALSE),FALSE)))/VLOOKUP(B674,'2-Kosten per locatie'!$A$13:$D$36,4,FALSE)</f>
        <v>0</v>
      </c>
      <c r="P674" s="82" t="str">
        <f>VLOOKUP(H674,'3-Productie normen'!A:T,20,FALSE)</f>
        <v>L</v>
      </c>
      <c r="Q674" s="447" t="s">
        <v>981</v>
      </c>
      <c r="S674" s="356">
        <f t="shared" si="59"/>
        <v>120.60000479221347</v>
      </c>
    </row>
    <row r="675" spans="1:19" ht="14.1" customHeight="1">
      <c r="A675" s="72">
        <f t="shared" si="58"/>
        <v>675</v>
      </c>
      <c r="B675" s="50" t="s">
        <v>814</v>
      </c>
      <c r="C675" s="50" t="s">
        <v>833</v>
      </c>
      <c r="D675" s="427" t="s">
        <v>1033</v>
      </c>
      <c r="E675" s="426" t="s">
        <v>612</v>
      </c>
      <c r="F675" s="349" t="s">
        <v>205</v>
      </c>
      <c r="G675" s="86" t="s">
        <v>298</v>
      </c>
      <c r="H675" s="86" t="s">
        <v>241</v>
      </c>
      <c r="I675" s="86" t="s">
        <v>780</v>
      </c>
      <c r="J675" s="343">
        <v>54.77</v>
      </c>
      <c r="K675" s="351">
        <f t="shared" si="57"/>
        <v>201</v>
      </c>
      <c r="L675" s="352">
        <v>201</v>
      </c>
      <c r="M675" s="448" t="str">
        <f>IF(L675="nio","",VLOOKUP(L675,'3-Productie normen'!$B$31:$H$45,3,FALSE))</f>
        <v>5 x per week (40 weken + 1 Zomer refreshbeurt)</v>
      </c>
      <c r="N675" s="353" t="e">
        <f t="shared" si="56"/>
        <v>#DIV/0!</v>
      </c>
      <c r="O675" s="354">
        <f>IF(L675="nio",0,IF(L675&gt;0,VLOOKUP(H675,'3-Productie normen'!A:P,VLOOKUP(L675,'3-Productie normen'!$B$31:$C$45,2,FALSE),FALSE)))/VLOOKUP(B675,'2-Kosten per locatie'!$A$13:$D$36,4,FALSE)</f>
        <v>0</v>
      </c>
      <c r="P675" s="82" t="str">
        <f>VLOOKUP(H675,'3-Productie normen'!A:T,20,FALSE)</f>
        <v>L</v>
      </c>
      <c r="Q675" s="447" t="s">
        <v>981</v>
      </c>
      <c r="S675" s="356">
        <f t="shared" si="59"/>
        <v>11008.77</v>
      </c>
    </row>
    <row r="676" spans="1:19" ht="14.1" customHeight="1">
      <c r="A676" s="72">
        <f t="shared" si="58"/>
        <v>676</v>
      </c>
      <c r="B676" s="50" t="s">
        <v>814</v>
      </c>
      <c r="C676" s="50" t="s">
        <v>833</v>
      </c>
      <c r="D676" s="427" t="s">
        <v>1033</v>
      </c>
      <c r="E676" s="426" t="s">
        <v>612</v>
      </c>
      <c r="F676" s="349" t="s">
        <v>207</v>
      </c>
      <c r="G676" s="86" t="s">
        <v>242</v>
      </c>
      <c r="H676" s="86" t="s">
        <v>241</v>
      </c>
      <c r="I676" s="86" t="s">
        <v>180</v>
      </c>
      <c r="J676" s="343">
        <v>0.60000002384185802</v>
      </c>
      <c r="K676" s="351">
        <f t="shared" si="57"/>
        <v>201</v>
      </c>
      <c r="L676" s="352">
        <v>201</v>
      </c>
      <c r="M676" s="448" t="str">
        <f>IF(L676="nio","",VLOOKUP(L676,'3-Productie normen'!$B$31:$H$45,3,FALSE))</f>
        <v>5 x per week (40 weken + 1 Zomer refreshbeurt)</v>
      </c>
      <c r="N676" s="353" t="e">
        <f t="shared" si="56"/>
        <v>#DIV/0!</v>
      </c>
      <c r="O676" s="354">
        <f>IF(L676="nio",0,IF(L676&gt;0,VLOOKUP(H676,'3-Productie normen'!A:P,VLOOKUP(L676,'3-Productie normen'!$B$31:$C$45,2,FALSE),FALSE)))/VLOOKUP(B676,'2-Kosten per locatie'!$A$13:$D$36,4,FALSE)</f>
        <v>0</v>
      </c>
      <c r="P676" s="82" t="str">
        <f>VLOOKUP(H676,'3-Productie normen'!A:T,20,FALSE)</f>
        <v>L</v>
      </c>
      <c r="Q676" s="447" t="s">
        <v>876</v>
      </c>
      <c r="S676" s="356">
        <f t="shared" si="59"/>
        <v>120.60000479221347</v>
      </c>
    </row>
    <row r="677" spans="1:19" ht="14.1" customHeight="1">
      <c r="A677" s="72">
        <f t="shared" si="58"/>
        <v>677</v>
      </c>
      <c r="B677" s="50" t="s">
        <v>814</v>
      </c>
      <c r="C677" s="50" t="s">
        <v>833</v>
      </c>
      <c r="D677" s="427" t="s">
        <v>1033</v>
      </c>
      <c r="E677" s="426" t="s">
        <v>612</v>
      </c>
      <c r="F677" s="349" t="s">
        <v>207</v>
      </c>
      <c r="G677" s="86" t="s">
        <v>242</v>
      </c>
      <c r="H677" s="86" t="s">
        <v>241</v>
      </c>
      <c r="I677" s="86" t="s">
        <v>780</v>
      </c>
      <c r="J677" s="343">
        <v>60.3</v>
      </c>
      <c r="K677" s="351">
        <f t="shared" si="57"/>
        <v>201</v>
      </c>
      <c r="L677" s="352">
        <v>201</v>
      </c>
      <c r="M677" s="448" t="str">
        <f>IF(L677="nio","",VLOOKUP(L677,'3-Productie normen'!$B$31:$H$45,3,FALSE))</f>
        <v>5 x per week (40 weken + 1 Zomer refreshbeurt)</v>
      </c>
      <c r="N677" s="353" t="e">
        <f t="shared" si="56"/>
        <v>#DIV/0!</v>
      </c>
      <c r="O677" s="354">
        <f>IF(L677="nio",0,IF(L677&gt;0,VLOOKUP(H677,'3-Productie normen'!A:P,VLOOKUP(L677,'3-Productie normen'!$B$31:$C$45,2,FALSE),FALSE)))/VLOOKUP(B677,'2-Kosten per locatie'!$A$13:$D$36,4,FALSE)</f>
        <v>0</v>
      </c>
      <c r="P677" s="82" t="str">
        <f>VLOOKUP(H677,'3-Productie normen'!A:T,20,FALSE)</f>
        <v>L</v>
      </c>
      <c r="Q677" s="447" t="s">
        <v>877</v>
      </c>
      <c r="S677" s="356">
        <f t="shared" si="59"/>
        <v>12120.3</v>
      </c>
    </row>
    <row r="678" spans="1:19" ht="14.1" customHeight="1">
      <c r="A678" s="72">
        <f t="shared" si="58"/>
        <v>678</v>
      </c>
      <c r="B678" s="50" t="s">
        <v>814</v>
      </c>
      <c r="C678" s="50" t="s">
        <v>833</v>
      </c>
      <c r="D678" s="427" t="s">
        <v>1033</v>
      </c>
      <c r="E678" s="426" t="s">
        <v>612</v>
      </c>
      <c r="F678" s="349" t="s">
        <v>208</v>
      </c>
      <c r="G678" s="86" t="s">
        <v>226</v>
      </c>
      <c r="H678" s="50" t="s">
        <v>16</v>
      </c>
      <c r="I678" s="86" t="s">
        <v>781</v>
      </c>
      <c r="J678" s="343">
        <v>13.59</v>
      </c>
      <c r="K678" s="351">
        <f t="shared" si="57"/>
        <v>201</v>
      </c>
      <c r="L678" s="352">
        <v>201</v>
      </c>
      <c r="M678" s="448" t="str">
        <f>IF(L678="nio","",VLOOKUP(L678,'3-Productie normen'!$B$31:$H$45,3,FALSE))</f>
        <v>5 x per week (40 weken + 1 Zomer refreshbeurt)</v>
      </c>
      <c r="N678" s="353" t="e">
        <f t="shared" si="56"/>
        <v>#DIV/0!</v>
      </c>
      <c r="O678" s="354">
        <f>IF(L678="nio",0,IF(L678&gt;0,VLOOKUP(H678,'3-Productie normen'!A:P,VLOOKUP(L678,'3-Productie normen'!$B$31:$C$45,2,FALSE),FALSE)))/VLOOKUP(B678,'2-Kosten per locatie'!$A$13:$D$36,4,FALSE)</f>
        <v>0</v>
      </c>
      <c r="P678" s="82" t="str">
        <f>VLOOKUP(H678,'3-Productie normen'!A:T,20,FALSE)</f>
        <v>S</v>
      </c>
      <c r="Q678" s="447" t="s">
        <v>982</v>
      </c>
      <c r="S678" s="356">
        <f t="shared" si="59"/>
        <v>2731.59</v>
      </c>
    </row>
    <row r="679" spans="1:19" ht="14.1" customHeight="1">
      <c r="A679" s="72">
        <f t="shared" si="58"/>
        <v>679</v>
      </c>
      <c r="B679" s="50" t="s">
        <v>814</v>
      </c>
      <c r="C679" s="50" t="s">
        <v>833</v>
      </c>
      <c r="D679" s="427" t="s">
        <v>1033</v>
      </c>
      <c r="E679" s="426" t="s">
        <v>612</v>
      </c>
      <c r="F679" s="349" t="s">
        <v>210</v>
      </c>
      <c r="G679" s="86" t="s">
        <v>209</v>
      </c>
      <c r="H679" s="63" t="s">
        <v>1040</v>
      </c>
      <c r="I679" s="86" t="s">
        <v>780</v>
      </c>
      <c r="J679" s="343">
        <v>14.32</v>
      </c>
      <c r="K679" s="351">
        <f t="shared" si="57"/>
        <v>12</v>
      </c>
      <c r="L679" s="352">
        <v>12</v>
      </c>
      <c r="M679" s="448" t="str">
        <f>IF(L679="nio","",VLOOKUP(L679,'3-Productie normen'!$B$31:$H$45,3,FALSE))</f>
        <v>1 x per maand</v>
      </c>
      <c r="N679" s="353" t="e">
        <f t="shared" si="56"/>
        <v>#DIV/0!</v>
      </c>
      <c r="O679" s="354">
        <f>IF(L679="nio",0,IF(L679&gt;0,VLOOKUP(H679,'3-Productie normen'!A:P,VLOOKUP(L679,'3-Productie normen'!$B$31:$C$45,2,FALSE),FALSE)))/VLOOKUP(B679,'2-Kosten per locatie'!$A$13:$D$36,4,FALSE)</f>
        <v>0</v>
      </c>
      <c r="P679" s="82" t="str">
        <f>VLOOKUP(H679,'3-Productie normen'!A:T,20,FALSE)</f>
        <v>V</v>
      </c>
      <c r="Q679" s="447" t="s">
        <v>792</v>
      </c>
      <c r="S679" s="356">
        <f t="shared" si="59"/>
        <v>171.84</v>
      </c>
    </row>
    <row r="680" spans="1:19" ht="14.1" customHeight="1">
      <c r="A680" s="72">
        <f t="shared" si="58"/>
        <v>680</v>
      </c>
      <c r="B680" s="50" t="s">
        <v>814</v>
      </c>
      <c r="C680" s="50" t="s">
        <v>833</v>
      </c>
      <c r="D680" s="427" t="s">
        <v>1033</v>
      </c>
      <c r="E680" s="426" t="s">
        <v>612</v>
      </c>
      <c r="F680" s="349" t="s">
        <v>211</v>
      </c>
      <c r="G680" s="86" t="s">
        <v>201</v>
      </c>
      <c r="H680" s="432" t="s">
        <v>198</v>
      </c>
      <c r="I680" s="86" t="s">
        <v>779</v>
      </c>
      <c r="J680" s="343">
        <v>2.0499999523162802</v>
      </c>
      <c r="K680" s="351">
        <f t="shared" si="57"/>
        <v>200</v>
      </c>
      <c r="L680" s="352">
        <v>200</v>
      </c>
      <c r="M680" s="448" t="str">
        <f>IF(L680="nio","",VLOOKUP(L680,'3-Productie normen'!$B$31:$H$45,3,FALSE))</f>
        <v>5 x per week (40 weken)</v>
      </c>
      <c r="N680" s="353" t="e">
        <f t="shared" si="56"/>
        <v>#DIV/0!</v>
      </c>
      <c r="O680" s="354">
        <f>IF(L680="nio",0,IF(L680&gt;0,VLOOKUP(H680,'3-Productie normen'!A:P,VLOOKUP(L680,'3-Productie normen'!$B$31:$C$45,2,FALSE),FALSE)))/VLOOKUP(B680,'2-Kosten per locatie'!$A$13:$D$36,4,FALSE)</f>
        <v>0</v>
      </c>
      <c r="P680" s="82" t="str">
        <f>VLOOKUP(H680,'3-Productie normen'!A:T,20,FALSE)</f>
        <v>V</v>
      </c>
      <c r="Q680" s="447" t="s">
        <v>873</v>
      </c>
      <c r="S680" s="356">
        <f t="shared" si="59"/>
        <v>409.99999046325604</v>
      </c>
    </row>
    <row r="681" spans="1:19" ht="14.1" customHeight="1">
      <c r="A681" s="72">
        <f t="shared" si="58"/>
        <v>681</v>
      </c>
      <c r="B681" s="50" t="s">
        <v>814</v>
      </c>
      <c r="C681" s="50" t="s">
        <v>833</v>
      </c>
      <c r="D681" s="427" t="s">
        <v>1033</v>
      </c>
      <c r="E681" s="426" t="s">
        <v>612</v>
      </c>
      <c r="F681" s="349" t="s">
        <v>211</v>
      </c>
      <c r="G681" s="86" t="s">
        <v>201</v>
      </c>
      <c r="H681" s="432" t="s">
        <v>198</v>
      </c>
      <c r="I681" s="86" t="s">
        <v>91</v>
      </c>
      <c r="J681" s="343">
        <v>89.27</v>
      </c>
      <c r="K681" s="351">
        <f t="shared" si="57"/>
        <v>200</v>
      </c>
      <c r="L681" s="352">
        <v>200</v>
      </c>
      <c r="M681" s="448" t="str">
        <f>IF(L681="nio","",VLOOKUP(L681,'3-Productie normen'!$B$31:$H$45,3,FALSE))</f>
        <v>5 x per week (40 weken)</v>
      </c>
      <c r="N681" s="353" t="e">
        <f t="shared" si="56"/>
        <v>#DIV/0!</v>
      </c>
      <c r="O681" s="354">
        <f>IF(L681="nio",0,IF(L681&gt;0,VLOOKUP(H681,'3-Productie normen'!A:P,VLOOKUP(L681,'3-Productie normen'!$B$31:$C$45,2,FALSE),FALSE)))/VLOOKUP(B681,'2-Kosten per locatie'!$A$13:$D$36,4,FALSE)</f>
        <v>0</v>
      </c>
      <c r="P681" s="82" t="str">
        <f>VLOOKUP(H681,'3-Productie normen'!A:T,20,FALSE)</f>
        <v>V</v>
      </c>
      <c r="Q681" s="447" t="s">
        <v>792</v>
      </c>
      <c r="S681" s="356">
        <f t="shared" si="59"/>
        <v>17854</v>
      </c>
    </row>
    <row r="682" spans="1:19" ht="14.1" customHeight="1">
      <c r="A682" s="72">
        <f t="shared" si="58"/>
        <v>682</v>
      </c>
      <c r="B682" s="50" t="s">
        <v>814</v>
      </c>
      <c r="C682" s="50" t="s">
        <v>833</v>
      </c>
      <c r="D682" s="427" t="s">
        <v>1033</v>
      </c>
      <c r="E682" s="426" t="s">
        <v>612</v>
      </c>
      <c r="F682" s="349" t="s">
        <v>211</v>
      </c>
      <c r="G682" s="86" t="s">
        <v>201</v>
      </c>
      <c r="H682" s="432" t="s">
        <v>198</v>
      </c>
      <c r="I682" s="86" t="s">
        <v>780</v>
      </c>
      <c r="J682" s="343">
        <v>8.6800003051757795</v>
      </c>
      <c r="K682" s="351">
        <f t="shared" si="57"/>
        <v>200</v>
      </c>
      <c r="L682" s="352">
        <v>200</v>
      </c>
      <c r="M682" s="448" t="str">
        <f>IF(L682="nio","",VLOOKUP(L682,'3-Productie normen'!$B$31:$H$45,3,FALSE))</f>
        <v>5 x per week (40 weken)</v>
      </c>
      <c r="N682" s="353" t="e">
        <f t="shared" si="56"/>
        <v>#DIV/0!</v>
      </c>
      <c r="O682" s="354">
        <f>IF(L682="nio",0,IF(L682&gt;0,VLOOKUP(H682,'3-Productie normen'!A:P,VLOOKUP(L682,'3-Productie normen'!$B$31:$C$45,2,FALSE),FALSE)))/VLOOKUP(B682,'2-Kosten per locatie'!$A$13:$D$36,4,FALSE)</f>
        <v>0</v>
      </c>
      <c r="P682" s="82" t="str">
        <f>VLOOKUP(H682,'3-Productie normen'!A:T,20,FALSE)</f>
        <v>V</v>
      </c>
      <c r="Q682" s="447" t="s">
        <v>792</v>
      </c>
      <c r="S682" s="356">
        <f t="shared" si="59"/>
        <v>1736.0000610351558</v>
      </c>
    </row>
    <row r="683" spans="1:19" ht="14.1" customHeight="1">
      <c r="A683" s="72">
        <f t="shared" si="58"/>
        <v>683</v>
      </c>
      <c r="B683" s="50" t="s">
        <v>814</v>
      </c>
      <c r="C683" s="50" t="s">
        <v>833</v>
      </c>
      <c r="D683" s="427" t="s">
        <v>1033</v>
      </c>
      <c r="E683" s="426" t="s">
        <v>612</v>
      </c>
      <c r="F683" s="349" t="s">
        <v>213</v>
      </c>
      <c r="G683" s="86" t="s">
        <v>242</v>
      </c>
      <c r="H683" s="86" t="s">
        <v>241</v>
      </c>
      <c r="I683" s="86" t="s">
        <v>180</v>
      </c>
      <c r="J683" s="343">
        <v>0.60000002384185802</v>
      </c>
      <c r="K683" s="351">
        <f t="shared" si="57"/>
        <v>201</v>
      </c>
      <c r="L683" s="352">
        <v>201</v>
      </c>
      <c r="M683" s="448" t="str">
        <f>IF(L683="nio","",VLOOKUP(L683,'3-Productie normen'!$B$31:$H$45,3,FALSE))</f>
        <v>5 x per week (40 weken + 1 Zomer refreshbeurt)</v>
      </c>
      <c r="N683" s="353" t="e">
        <f t="shared" si="56"/>
        <v>#DIV/0!</v>
      </c>
      <c r="O683" s="354">
        <f>IF(L683="nio",0,IF(L683&gt;0,VLOOKUP(H683,'3-Productie normen'!A:P,VLOOKUP(L683,'3-Productie normen'!$B$31:$C$45,2,FALSE),FALSE)))/VLOOKUP(B683,'2-Kosten per locatie'!$A$13:$D$36,4,FALSE)</f>
        <v>0</v>
      </c>
      <c r="P683" s="82" t="str">
        <f>VLOOKUP(H683,'3-Productie normen'!A:T,20,FALSE)</f>
        <v>L</v>
      </c>
      <c r="Q683" s="447" t="s">
        <v>876</v>
      </c>
      <c r="S683" s="356">
        <f t="shared" si="59"/>
        <v>120.60000479221347</v>
      </c>
    </row>
    <row r="684" spans="1:19" ht="14.1" customHeight="1">
      <c r="A684" s="72">
        <f t="shared" si="58"/>
        <v>684</v>
      </c>
      <c r="B684" s="50" t="s">
        <v>814</v>
      </c>
      <c r="C684" s="50" t="s">
        <v>833</v>
      </c>
      <c r="D684" s="427" t="s">
        <v>1033</v>
      </c>
      <c r="E684" s="426" t="s">
        <v>612</v>
      </c>
      <c r="F684" s="349" t="s">
        <v>213</v>
      </c>
      <c r="G684" s="86" t="s">
        <v>242</v>
      </c>
      <c r="H684" s="86" t="s">
        <v>241</v>
      </c>
      <c r="I684" s="86" t="s">
        <v>780</v>
      </c>
      <c r="J684" s="343">
        <v>58.52</v>
      </c>
      <c r="K684" s="351">
        <f t="shared" si="57"/>
        <v>201</v>
      </c>
      <c r="L684" s="352">
        <v>201</v>
      </c>
      <c r="M684" s="448" t="str">
        <f>IF(L684="nio","",VLOOKUP(L684,'3-Productie normen'!$B$31:$H$45,3,FALSE))</f>
        <v>5 x per week (40 weken + 1 Zomer refreshbeurt)</v>
      </c>
      <c r="N684" s="353" t="e">
        <f t="shared" si="56"/>
        <v>#DIV/0!</v>
      </c>
      <c r="O684" s="354">
        <f>IF(L684="nio",0,IF(L684&gt;0,VLOOKUP(H684,'3-Productie normen'!A:P,VLOOKUP(L684,'3-Productie normen'!$B$31:$C$45,2,FALSE),FALSE)))/VLOOKUP(B684,'2-Kosten per locatie'!$A$13:$D$36,4,FALSE)</f>
        <v>0</v>
      </c>
      <c r="P684" s="82" t="str">
        <f>VLOOKUP(H684,'3-Productie normen'!A:T,20,FALSE)</f>
        <v>L</v>
      </c>
      <c r="Q684" s="447" t="s">
        <v>876</v>
      </c>
      <c r="S684" s="356">
        <f t="shared" si="59"/>
        <v>11762.52</v>
      </c>
    </row>
    <row r="685" spans="1:19" ht="14.1" customHeight="1">
      <c r="A685" s="72">
        <f t="shared" si="58"/>
        <v>685</v>
      </c>
      <c r="B685" s="50" t="s">
        <v>814</v>
      </c>
      <c r="C685" s="50" t="s">
        <v>833</v>
      </c>
      <c r="D685" s="427" t="s">
        <v>1033</v>
      </c>
      <c r="E685" s="426" t="s">
        <v>612</v>
      </c>
      <c r="F685" s="349" t="s">
        <v>214</v>
      </c>
      <c r="G685" s="86" t="s">
        <v>242</v>
      </c>
      <c r="H685" s="86" t="s">
        <v>241</v>
      </c>
      <c r="I685" s="86" t="s">
        <v>180</v>
      </c>
      <c r="J685" s="343">
        <v>0.60000002384185802</v>
      </c>
      <c r="K685" s="351">
        <f t="shared" si="57"/>
        <v>201</v>
      </c>
      <c r="L685" s="352">
        <v>201</v>
      </c>
      <c r="M685" s="448" t="str">
        <f>IF(L685="nio","",VLOOKUP(L685,'3-Productie normen'!$B$31:$H$45,3,FALSE))</f>
        <v>5 x per week (40 weken + 1 Zomer refreshbeurt)</v>
      </c>
      <c r="N685" s="353" t="e">
        <f t="shared" si="56"/>
        <v>#DIV/0!</v>
      </c>
      <c r="O685" s="354">
        <f>IF(L685="nio",0,IF(L685&gt;0,VLOOKUP(H685,'3-Productie normen'!A:P,VLOOKUP(L685,'3-Productie normen'!$B$31:$C$45,2,FALSE),FALSE)))/VLOOKUP(B685,'2-Kosten per locatie'!$A$13:$D$36,4,FALSE)</f>
        <v>0</v>
      </c>
      <c r="P685" s="82" t="str">
        <f>VLOOKUP(H685,'3-Productie normen'!A:T,20,FALSE)</f>
        <v>L</v>
      </c>
      <c r="Q685" s="447" t="s">
        <v>874</v>
      </c>
      <c r="S685" s="356">
        <f t="shared" si="59"/>
        <v>120.60000479221347</v>
      </c>
    </row>
    <row r="686" spans="1:19" ht="14.1" customHeight="1">
      <c r="A686" s="72">
        <f t="shared" si="58"/>
        <v>686</v>
      </c>
      <c r="B686" s="50" t="s">
        <v>814</v>
      </c>
      <c r="C686" s="50" t="s">
        <v>833</v>
      </c>
      <c r="D686" s="427" t="s">
        <v>1033</v>
      </c>
      <c r="E686" s="426" t="s">
        <v>612</v>
      </c>
      <c r="F686" s="349" t="s">
        <v>214</v>
      </c>
      <c r="G686" s="86" t="s">
        <v>242</v>
      </c>
      <c r="H686" s="86" t="s">
        <v>241</v>
      </c>
      <c r="I686" s="86" t="s">
        <v>780</v>
      </c>
      <c r="J686" s="343">
        <v>51.02</v>
      </c>
      <c r="K686" s="351">
        <f t="shared" si="57"/>
        <v>201</v>
      </c>
      <c r="L686" s="352">
        <v>201</v>
      </c>
      <c r="M686" s="448" t="str">
        <f>IF(L686="nio","",VLOOKUP(L686,'3-Productie normen'!$B$31:$H$45,3,FALSE))</f>
        <v>5 x per week (40 weken + 1 Zomer refreshbeurt)</v>
      </c>
      <c r="N686" s="353" t="e">
        <f t="shared" si="56"/>
        <v>#DIV/0!</v>
      </c>
      <c r="O686" s="354">
        <f>IF(L686="nio",0,IF(L686&gt;0,VLOOKUP(H686,'3-Productie normen'!A:P,VLOOKUP(L686,'3-Productie normen'!$B$31:$C$45,2,FALSE),FALSE)))/VLOOKUP(B686,'2-Kosten per locatie'!$A$13:$D$36,4,FALSE)</f>
        <v>0</v>
      </c>
      <c r="P686" s="82" t="str">
        <f>VLOOKUP(H686,'3-Productie normen'!A:T,20,FALSE)</f>
        <v>L</v>
      </c>
      <c r="Q686" s="447" t="s">
        <v>874</v>
      </c>
      <c r="S686" s="356">
        <f t="shared" si="59"/>
        <v>10255.02</v>
      </c>
    </row>
    <row r="687" spans="1:19" ht="14.1" customHeight="1">
      <c r="A687" s="72">
        <f t="shared" si="58"/>
        <v>687</v>
      </c>
      <c r="B687" s="50" t="s">
        <v>814</v>
      </c>
      <c r="C687" s="50" t="s">
        <v>833</v>
      </c>
      <c r="D687" s="427" t="s">
        <v>1033</v>
      </c>
      <c r="E687" s="426" t="s">
        <v>196</v>
      </c>
      <c r="F687" s="349" t="s">
        <v>214</v>
      </c>
      <c r="G687" s="86" t="s">
        <v>359</v>
      </c>
      <c r="H687" s="86" t="s">
        <v>241</v>
      </c>
      <c r="I687" s="86" t="s">
        <v>180</v>
      </c>
      <c r="J687" s="343">
        <v>12.59</v>
      </c>
      <c r="K687" s="351">
        <f t="shared" si="57"/>
        <v>201</v>
      </c>
      <c r="L687" s="352">
        <v>201</v>
      </c>
      <c r="M687" s="448" t="str">
        <f>IF(L687="nio","",VLOOKUP(L687,'3-Productie normen'!$B$31:$H$45,3,FALSE))</f>
        <v>5 x per week (40 weken + 1 Zomer refreshbeurt)</v>
      </c>
      <c r="N687" s="353" t="e">
        <f t="shared" si="56"/>
        <v>#DIV/0!</v>
      </c>
      <c r="O687" s="354">
        <f>IF(L687="nio",0,IF(L687&gt;0,VLOOKUP(H687,'3-Productie normen'!A:P,VLOOKUP(L687,'3-Productie normen'!$B$31:$C$45,2,FALSE),FALSE)))/VLOOKUP(B687,'2-Kosten per locatie'!$A$13:$D$36,4,FALSE)</f>
        <v>0</v>
      </c>
      <c r="P687" s="82" t="str">
        <f>VLOOKUP(H687,'3-Productie normen'!A:T,20,FALSE)</f>
        <v>L</v>
      </c>
      <c r="Q687" s="447" t="s">
        <v>792</v>
      </c>
      <c r="S687" s="356">
        <f t="shared" si="59"/>
        <v>2530.59</v>
      </c>
    </row>
    <row r="688" spans="1:19" ht="14.1" customHeight="1">
      <c r="A688" s="72">
        <f t="shared" si="58"/>
        <v>688</v>
      </c>
      <c r="B688" s="50" t="s">
        <v>814</v>
      </c>
      <c r="C688" s="50" t="s">
        <v>833</v>
      </c>
      <c r="D688" s="427" t="s">
        <v>1033</v>
      </c>
      <c r="E688" s="426" t="s">
        <v>612</v>
      </c>
      <c r="F688" s="349" t="s">
        <v>216</v>
      </c>
      <c r="G688" s="86" t="s">
        <v>201</v>
      </c>
      <c r="H688" s="432" t="s">
        <v>198</v>
      </c>
      <c r="I688" s="86" t="s">
        <v>91</v>
      </c>
      <c r="J688" s="343">
        <v>12.51</v>
      </c>
      <c r="K688" s="351">
        <f t="shared" si="57"/>
        <v>200</v>
      </c>
      <c r="L688" s="352">
        <v>200</v>
      </c>
      <c r="M688" s="448" t="str">
        <f>IF(L688="nio","",VLOOKUP(L688,'3-Productie normen'!$B$31:$H$45,3,FALSE))</f>
        <v>5 x per week (40 weken)</v>
      </c>
      <c r="N688" s="353" t="e">
        <f t="shared" si="56"/>
        <v>#DIV/0!</v>
      </c>
      <c r="O688" s="354">
        <f>IF(L688="nio",0,IF(L688&gt;0,VLOOKUP(H688,'3-Productie normen'!A:P,VLOOKUP(L688,'3-Productie normen'!$B$31:$C$45,2,FALSE),FALSE)))/VLOOKUP(B688,'2-Kosten per locatie'!$A$13:$D$36,4,FALSE)</f>
        <v>0</v>
      </c>
      <c r="P688" s="82" t="str">
        <f>VLOOKUP(H688,'3-Productie normen'!A:T,20,FALSE)</f>
        <v>V</v>
      </c>
      <c r="Q688" s="447" t="s">
        <v>792</v>
      </c>
      <c r="S688" s="356">
        <f t="shared" si="59"/>
        <v>2502</v>
      </c>
    </row>
    <row r="689" spans="1:19" ht="14.1" customHeight="1">
      <c r="A689" s="72">
        <f t="shared" si="58"/>
        <v>689</v>
      </c>
      <c r="B689" s="50" t="s">
        <v>814</v>
      </c>
      <c r="C689" s="50" t="s">
        <v>833</v>
      </c>
      <c r="D689" s="427" t="s">
        <v>1033</v>
      </c>
      <c r="E689" s="426" t="s">
        <v>612</v>
      </c>
      <c r="F689" s="349" t="s">
        <v>217</v>
      </c>
      <c r="G689" s="86" t="s">
        <v>199</v>
      </c>
      <c r="H689" s="432" t="s">
        <v>198</v>
      </c>
      <c r="I689" s="86" t="s">
        <v>779</v>
      </c>
      <c r="J689" s="343">
        <v>1.6599999666214</v>
      </c>
      <c r="K689" s="351">
        <f t="shared" si="57"/>
        <v>200</v>
      </c>
      <c r="L689" s="352">
        <v>200</v>
      </c>
      <c r="M689" s="448" t="str">
        <f>IF(L689="nio","",VLOOKUP(L689,'3-Productie normen'!$B$31:$H$45,3,FALSE))</f>
        <v>5 x per week (40 weken)</v>
      </c>
      <c r="N689" s="353" t="e">
        <f t="shared" si="56"/>
        <v>#DIV/0!</v>
      </c>
      <c r="O689" s="354">
        <f>IF(L689="nio",0,IF(L689&gt;0,VLOOKUP(H689,'3-Productie normen'!A:P,VLOOKUP(L689,'3-Productie normen'!$B$31:$C$45,2,FALSE),FALSE)))/VLOOKUP(B689,'2-Kosten per locatie'!$A$13:$D$36,4,FALSE)</f>
        <v>0</v>
      </c>
      <c r="P689" s="82" t="str">
        <f>VLOOKUP(H689,'3-Productie normen'!A:T,20,FALSE)</f>
        <v>V</v>
      </c>
      <c r="Q689" s="447" t="s">
        <v>906</v>
      </c>
      <c r="S689" s="356">
        <f t="shared" si="59"/>
        <v>331.99999332428001</v>
      </c>
    </row>
    <row r="690" spans="1:19" ht="14.1" customHeight="1">
      <c r="A690" s="72">
        <f t="shared" si="58"/>
        <v>690</v>
      </c>
      <c r="B690" s="50" t="s">
        <v>814</v>
      </c>
      <c r="C690" s="50" t="s">
        <v>833</v>
      </c>
      <c r="D690" s="427" t="s">
        <v>1033</v>
      </c>
      <c r="E690" s="426" t="s">
        <v>612</v>
      </c>
      <c r="F690" s="349" t="s">
        <v>217</v>
      </c>
      <c r="G690" s="86" t="s">
        <v>199</v>
      </c>
      <c r="H690" s="432" t="s">
        <v>198</v>
      </c>
      <c r="I690" s="86" t="s">
        <v>91</v>
      </c>
      <c r="J690" s="343">
        <v>2.8</v>
      </c>
      <c r="K690" s="351">
        <f t="shared" si="57"/>
        <v>200</v>
      </c>
      <c r="L690" s="352">
        <v>200</v>
      </c>
      <c r="M690" s="448" t="str">
        <f>IF(L690="nio","",VLOOKUP(L690,'3-Productie normen'!$B$31:$H$45,3,FALSE))</f>
        <v>5 x per week (40 weken)</v>
      </c>
      <c r="N690" s="353" t="e">
        <f t="shared" si="56"/>
        <v>#DIV/0!</v>
      </c>
      <c r="O690" s="354">
        <f>IF(L690="nio",0,IF(L690&gt;0,VLOOKUP(H690,'3-Productie normen'!A:P,VLOOKUP(L690,'3-Productie normen'!$B$31:$C$45,2,FALSE),FALSE)))/VLOOKUP(B690,'2-Kosten per locatie'!$A$13:$D$36,4,FALSE)</f>
        <v>0</v>
      </c>
      <c r="P690" s="82" t="str">
        <f>VLOOKUP(H690,'3-Productie normen'!A:T,20,FALSE)</f>
        <v>V</v>
      </c>
      <c r="Q690" s="447" t="s">
        <v>792</v>
      </c>
      <c r="S690" s="356">
        <f t="shared" si="59"/>
        <v>560</v>
      </c>
    </row>
    <row r="691" spans="1:19" ht="14.1" customHeight="1">
      <c r="A691" s="72">
        <f t="shared" si="58"/>
        <v>691</v>
      </c>
      <c r="B691" s="50" t="s">
        <v>814</v>
      </c>
      <c r="C691" s="50" t="s">
        <v>833</v>
      </c>
      <c r="D691" s="427" t="s">
        <v>1033</v>
      </c>
      <c r="E691" s="426" t="s">
        <v>612</v>
      </c>
      <c r="F691" s="349" t="s">
        <v>218</v>
      </c>
      <c r="G691" s="86" t="s">
        <v>242</v>
      </c>
      <c r="H691" s="86" t="s">
        <v>241</v>
      </c>
      <c r="I691" s="86" t="s">
        <v>180</v>
      </c>
      <c r="J691" s="343">
        <v>0.60000002384185802</v>
      </c>
      <c r="K691" s="351">
        <f t="shared" si="57"/>
        <v>201</v>
      </c>
      <c r="L691" s="352">
        <v>201</v>
      </c>
      <c r="M691" s="448" t="str">
        <f>IF(L691="nio","",VLOOKUP(L691,'3-Productie normen'!$B$31:$H$45,3,FALSE))</f>
        <v>5 x per week (40 weken + 1 Zomer refreshbeurt)</v>
      </c>
      <c r="N691" s="353" t="e">
        <f t="shared" si="56"/>
        <v>#DIV/0!</v>
      </c>
      <c r="O691" s="354">
        <f>IF(L691="nio",0,IF(L691&gt;0,VLOOKUP(H691,'3-Productie normen'!A:P,VLOOKUP(L691,'3-Productie normen'!$B$31:$C$45,2,FALSE),FALSE)))/VLOOKUP(B691,'2-Kosten per locatie'!$A$13:$D$36,4,FALSE)</f>
        <v>0</v>
      </c>
      <c r="P691" s="82" t="str">
        <f>VLOOKUP(H691,'3-Productie normen'!A:T,20,FALSE)</f>
        <v>L</v>
      </c>
      <c r="Q691" s="447" t="s">
        <v>874</v>
      </c>
      <c r="S691" s="356">
        <f t="shared" si="59"/>
        <v>120.60000479221347</v>
      </c>
    </row>
    <row r="692" spans="1:19" ht="14.1" customHeight="1">
      <c r="A692" s="72">
        <f t="shared" si="58"/>
        <v>692</v>
      </c>
      <c r="B692" s="50" t="s">
        <v>814</v>
      </c>
      <c r="C692" s="50" t="s">
        <v>833</v>
      </c>
      <c r="D692" s="427" t="s">
        <v>1033</v>
      </c>
      <c r="E692" s="426" t="s">
        <v>612</v>
      </c>
      <c r="F692" s="349" t="s">
        <v>218</v>
      </c>
      <c r="G692" s="86" t="s">
        <v>242</v>
      </c>
      <c r="H692" s="86" t="s">
        <v>241</v>
      </c>
      <c r="I692" s="86" t="s">
        <v>780</v>
      </c>
      <c r="J692" s="343">
        <v>54.33</v>
      </c>
      <c r="K692" s="351">
        <f t="shared" si="57"/>
        <v>201</v>
      </c>
      <c r="L692" s="352">
        <v>201</v>
      </c>
      <c r="M692" s="448" t="str">
        <f>IF(L692="nio","",VLOOKUP(L692,'3-Productie normen'!$B$31:$H$45,3,FALSE))</f>
        <v>5 x per week (40 weken + 1 Zomer refreshbeurt)</v>
      </c>
      <c r="N692" s="353" t="e">
        <f t="shared" si="56"/>
        <v>#DIV/0!</v>
      </c>
      <c r="O692" s="354">
        <f>IF(L692="nio",0,IF(L692&gt;0,VLOOKUP(H692,'3-Productie normen'!A:P,VLOOKUP(L692,'3-Productie normen'!$B$31:$C$45,2,FALSE),FALSE)))/VLOOKUP(B692,'2-Kosten per locatie'!$A$13:$D$36,4,FALSE)</f>
        <v>0</v>
      </c>
      <c r="P692" s="82" t="str">
        <f>VLOOKUP(H692,'3-Productie normen'!A:T,20,FALSE)</f>
        <v>L</v>
      </c>
      <c r="Q692" s="447" t="s">
        <v>874</v>
      </c>
      <c r="S692" s="356">
        <f t="shared" si="59"/>
        <v>10920.33</v>
      </c>
    </row>
    <row r="693" spans="1:19" ht="14.1" customHeight="1">
      <c r="A693" s="72">
        <f t="shared" si="58"/>
        <v>693</v>
      </c>
      <c r="B693" s="50" t="s">
        <v>814</v>
      </c>
      <c r="C693" s="50" t="s">
        <v>833</v>
      </c>
      <c r="D693" s="427" t="s">
        <v>1033</v>
      </c>
      <c r="E693" s="426" t="s">
        <v>196</v>
      </c>
      <c r="F693" s="349" t="s">
        <v>218</v>
      </c>
      <c r="G693" s="86" t="s">
        <v>359</v>
      </c>
      <c r="H693" s="86" t="s">
        <v>241</v>
      </c>
      <c r="I693" s="86" t="s">
        <v>180</v>
      </c>
      <c r="J693" s="343">
        <v>12.59</v>
      </c>
      <c r="K693" s="351">
        <f t="shared" si="57"/>
        <v>201</v>
      </c>
      <c r="L693" s="352">
        <v>201</v>
      </c>
      <c r="M693" s="448" t="str">
        <f>IF(L693="nio","",VLOOKUP(L693,'3-Productie normen'!$B$31:$H$45,3,FALSE))</f>
        <v>5 x per week (40 weken + 1 Zomer refreshbeurt)</v>
      </c>
      <c r="N693" s="353" t="e">
        <f t="shared" si="56"/>
        <v>#DIV/0!</v>
      </c>
      <c r="O693" s="354">
        <f>IF(L693="nio",0,IF(L693&gt;0,VLOOKUP(H693,'3-Productie normen'!A:P,VLOOKUP(L693,'3-Productie normen'!$B$31:$C$45,2,FALSE),FALSE)))/VLOOKUP(B693,'2-Kosten per locatie'!$A$13:$D$36,4,FALSE)</f>
        <v>0</v>
      </c>
      <c r="P693" s="82" t="str">
        <f>VLOOKUP(H693,'3-Productie normen'!A:T,20,FALSE)</f>
        <v>L</v>
      </c>
      <c r="Q693" s="447" t="s">
        <v>792</v>
      </c>
      <c r="S693" s="356">
        <f t="shared" si="59"/>
        <v>2530.59</v>
      </c>
    </row>
    <row r="694" spans="1:19" ht="14.1" customHeight="1">
      <c r="A694" s="72">
        <f t="shared" si="58"/>
        <v>694</v>
      </c>
      <c r="B694" s="50" t="s">
        <v>814</v>
      </c>
      <c r="C694" s="50" t="s">
        <v>833</v>
      </c>
      <c r="D694" s="427" t="s">
        <v>1033</v>
      </c>
      <c r="E694" s="426" t="s">
        <v>612</v>
      </c>
      <c r="F694" s="349" t="s">
        <v>219</v>
      </c>
      <c r="G694" s="86" t="s">
        <v>242</v>
      </c>
      <c r="H694" s="86" t="s">
        <v>241</v>
      </c>
      <c r="I694" s="86" t="s">
        <v>180</v>
      </c>
      <c r="J694" s="343">
        <v>0.60000002384185802</v>
      </c>
      <c r="K694" s="351">
        <f t="shared" si="57"/>
        <v>201</v>
      </c>
      <c r="L694" s="352">
        <v>201</v>
      </c>
      <c r="M694" s="448" t="str">
        <f>IF(L694="nio","",VLOOKUP(L694,'3-Productie normen'!$B$31:$H$45,3,FALSE))</f>
        <v>5 x per week (40 weken + 1 Zomer refreshbeurt)</v>
      </c>
      <c r="N694" s="353" t="e">
        <f t="shared" ref="N694:N757" si="60">IF(L694="nio",0,IF(L694&gt;0,L694*J694/O694,0))</f>
        <v>#DIV/0!</v>
      </c>
      <c r="O694" s="354">
        <f>IF(L694="nio",0,IF(L694&gt;0,VLOOKUP(H694,'3-Productie normen'!A:P,VLOOKUP(L694,'3-Productie normen'!$B$31:$C$45,2,FALSE),FALSE)))/VLOOKUP(B694,'2-Kosten per locatie'!$A$13:$D$36,4,FALSE)</f>
        <v>0</v>
      </c>
      <c r="P694" s="82" t="str">
        <f>VLOOKUP(H694,'3-Productie normen'!A:T,20,FALSE)</f>
        <v>L</v>
      </c>
      <c r="Q694" s="447" t="s">
        <v>874</v>
      </c>
      <c r="S694" s="356">
        <f t="shared" si="59"/>
        <v>120.60000479221347</v>
      </c>
    </row>
    <row r="695" spans="1:19" ht="14.1" customHeight="1">
      <c r="A695" s="72">
        <f t="shared" si="58"/>
        <v>695</v>
      </c>
      <c r="B695" s="50" t="s">
        <v>814</v>
      </c>
      <c r="C695" s="50" t="s">
        <v>833</v>
      </c>
      <c r="D695" s="427" t="s">
        <v>1033</v>
      </c>
      <c r="E695" s="426" t="s">
        <v>612</v>
      </c>
      <c r="F695" s="349" t="s">
        <v>219</v>
      </c>
      <c r="G695" s="86" t="s">
        <v>242</v>
      </c>
      <c r="H695" s="86" t="s">
        <v>241</v>
      </c>
      <c r="I695" s="86" t="s">
        <v>780</v>
      </c>
      <c r="J695" s="343">
        <v>54.33</v>
      </c>
      <c r="K695" s="351">
        <f t="shared" si="57"/>
        <v>201</v>
      </c>
      <c r="L695" s="352">
        <v>201</v>
      </c>
      <c r="M695" s="448" t="str">
        <f>IF(L695="nio","",VLOOKUP(L695,'3-Productie normen'!$B$31:$H$45,3,FALSE))</f>
        <v>5 x per week (40 weken + 1 Zomer refreshbeurt)</v>
      </c>
      <c r="N695" s="353" t="e">
        <f t="shared" si="60"/>
        <v>#DIV/0!</v>
      </c>
      <c r="O695" s="354">
        <f>IF(L695="nio",0,IF(L695&gt;0,VLOOKUP(H695,'3-Productie normen'!A:P,VLOOKUP(L695,'3-Productie normen'!$B$31:$C$45,2,FALSE),FALSE)))/VLOOKUP(B695,'2-Kosten per locatie'!$A$13:$D$36,4,FALSE)</f>
        <v>0</v>
      </c>
      <c r="P695" s="82" t="str">
        <f>VLOOKUP(H695,'3-Productie normen'!A:T,20,FALSE)</f>
        <v>L</v>
      </c>
      <c r="Q695" s="447" t="s">
        <v>874</v>
      </c>
      <c r="S695" s="356">
        <f t="shared" si="59"/>
        <v>10920.33</v>
      </c>
    </row>
    <row r="696" spans="1:19" ht="14.1" customHeight="1">
      <c r="A696" s="72">
        <f t="shared" si="58"/>
        <v>696</v>
      </c>
      <c r="B696" s="50" t="s">
        <v>814</v>
      </c>
      <c r="C696" s="50" t="s">
        <v>833</v>
      </c>
      <c r="D696" s="427" t="s">
        <v>1033</v>
      </c>
      <c r="E696" s="426" t="s">
        <v>196</v>
      </c>
      <c r="F696" s="349" t="s">
        <v>219</v>
      </c>
      <c r="G696" s="86" t="s">
        <v>359</v>
      </c>
      <c r="H696" s="86" t="s">
        <v>241</v>
      </c>
      <c r="I696" s="86" t="s">
        <v>180</v>
      </c>
      <c r="J696" s="343">
        <v>12.59</v>
      </c>
      <c r="K696" s="351">
        <f t="shared" si="57"/>
        <v>201</v>
      </c>
      <c r="L696" s="352">
        <v>201</v>
      </c>
      <c r="M696" s="448" t="str">
        <f>IF(L696="nio","",VLOOKUP(L696,'3-Productie normen'!$B$31:$H$45,3,FALSE))</f>
        <v>5 x per week (40 weken + 1 Zomer refreshbeurt)</v>
      </c>
      <c r="N696" s="353" t="e">
        <f t="shared" si="60"/>
        <v>#DIV/0!</v>
      </c>
      <c r="O696" s="354">
        <f>IF(L696="nio",0,IF(L696&gt;0,VLOOKUP(H696,'3-Productie normen'!A:P,VLOOKUP(L696,'3-Productie normen'!$B$31:$C$45,2,FALSE),FALSE)))/VLOOKUP(B696,'2-Kosten per locatie'!$A$13:$D$36,4,FALSE)</f>
        <v>0</v>
      </c>
      <c r="P696" s="82" t="str">
        <f>VLOOKUP(H696,'3-Productie normen'!A:T,20,FALSE)</f>
        <v>L</v>
      </c>
      <c r="Q696" s="447" t="s">
        <v>792</v>
      </c>
      <c r="S696" s="356">
        <f t="shared" si="59"/>
        <v>2530.59</v>
      </c>
    </row>
    <row r="697" spans="1:19" ht="14.1" customHeight="1">
      <c r="A697" s="72">
        <f t="shared" si="58"/>
        <v>697</v>
      </c>
      <c r="B697" s="50" t="s">
        <v>814</v>
      </c>
      <c r="C697" s="50" t="s">
        <v>833</v>
      </c>
      <c r="D697" s="427" t="s">
        <v>1033</v>
      </c>
      <c r="E697" s="426" t="s">
        <v>612</v>
      </c>
      <c r="F697" s="349" t="s">
        <v>220</v>
      </c>
      <c r="G697" s="86" t="s">
        <v>201</v>
      </c>
      <c r="H697" s="432" t="s">
        <v>198</v>
      </c>
      <c r="I697" s="86" t="s">
        <v>91</v>
      </c>
      <c r="J697" s="343">
        <v>33.01</v>
      </c>
      <c r="K697" s="351">
        <f t="shared" si="57"/>
        <v>200</v>
      </c>
      <c r="L697" s="352">
        <v>200</v>
      </c>
      <c r="M697" s="448" t="str">
        <f>IF(L697="nio","",VLOOKUP(L697,'3-Productie normen'!$B$31:$H$45,3,FALSE))</f>
        <v>5 x per week (40 weken)</v>
      </c>
      <c r="N697" s="353" t="e">
        <f t="shared" si="60"/>
        <v>#DIV/0!</v>
      </c>
      <c r="O697" s="354">
        <f>IF(L697="nio",0,IF(L697&gt;0,VLOOKUP(H697,'3-Productie normen'!A:P,VLOOKUP(L697,'3-Productie normen'!$B$31:$C$45,2,FALSE),FALSE)))/VLOOKUP(B697,'2-Kosten per locatie'!$A$13:$D$36,4,FALSE)</f>
        <v>0</v>
      </c>
      <c r="P697" s="82" t="str">
        <f>VLOOKUP(H697,'3-Productie normen'!A:T,20,FALSE)</f>
        <v>V</v>
      </c>
      <c r="Q697" s="447" t="s">
        <v>792</v>
      </c>
      <c r="S697" s="356">
        <f t="shared" si="59"/>
        <v>6602</v>
      </c>
    </row>
    <row r="698" spans="1:19" ht="14.1" customHeight="1">
      <c r="A698" s="72">
        <f t="shared" si="58"/>
        <v>698</v>
      </c>
      <c r="B698" s="50" t="s">
        <v>814</v>
      </c>
      <c r="C698" s="50" t="s">
        <v>833</v>
      </c>
      <c r="D698" s="427" t="s">
        <v>1033</v>
      </c>
      <c r="E698" s="426" t="s">
        <v>612</v>
      </c>
      <c r="F698" s="349" t="s">
        <v>221</v>
      </c>
      <c r="G698" s="86" t="s">
        <v>199</v>
      </c>
      <c r="H698" s="432" t="s">
        <v>198</v>
      </c>
      <c r="I698" s="86" t="s">
        <v>779</v>
      </c>
      <c r="J698" s="343">
        <v>1.9800000190734901</v>
      </c>
      <c r="K698" s="351">
        <f t="shared" si="57"/>
        <v>200</v>
      </c>
      <c r="L698" s="352">
        <v>200</v>
      </c>
      <c r="M698" s="448" t="str">
        <f>IF(L698="nio","",VLOOKUP(L698,'3-Productie normen'!$B$31:$H$45,3,FALSE))</f>
        <v>5 x per week (40 weken)</v>
      </c>
      <c r="N698" s="353" t="e">
        <f t="shared" si="60"/>
        <v>#DIV/0!</v>
      </c>
      <c r="O698" s="354">
        <f>IF(L698="nio",0,IF(L698&gt;0,VLOOKUP(H698,'3-Productie normen'!A:P,VLOOKUP(L698,'3-Productie normen'!$B$31:$C$45,2,FALSE),FALSE)))/VLOOKUP(B698,'2-Kosten per locatie'!$A$13:$D$36,4,FALSE)</f>
        <v>0</v>
      </c>
      <c r="P698" s="82" t="str">
        <f>VLOOKUP(H698,'3-Productie normen'!A:T,20,FALSE)</f>
        <v>V</v>
      </c>
      <c r="Q698" s="447" t="s">
        <v>873</v>
      </c>
      <c r="S698" s="356">
        <f t="shared" si="59"/>
        <v>396.000003814698</v>
      </c>
    </row>
    <row r="699" spans="1:19" ht="14.1" customHeight="1">
      <c r="A699" s="72">
        <f t="shared" si="58"/>
        <v>699</v>
      </c>
      <c r="B699" s="50" t="s">
        <v>814</v>
      </c>
      <c r="C699" s="50" t="s">
        <v>833</v>
      </c>
      <c r="D699" s="427" t="s">
        <v>1033</v>
      </c>
      <c r="E699" s="426" t="s">
        <v>612</v>
      </c>
      <c r="F699" s="349" t="s">
        <v>221</v>
      </c>
      <c r="G699" s="86" t="s">
        <v>199</v>
      </c>
      <c r="H699" s="432" t="s">
        <v>198</v>
      </c>
      <c r="I699" s="86" t="s">
        <v>91</v>
      </c>
      <c r="J699" s="343">
        <v>7.36</v>
      </c>
      <c r="K699" s="351">
        <f t="shared" si="57"/>
        <v>200</v>
      </c>
      <c r="L699" s="352">
        <v>200</v>
      </c>
      <c r="M699" s="448" t="str">
        <f>IF(L699="nio","",VLOOKUP(L699,'3-Productie normen'!$B$31:$H$45,3,FALSE))</f>
        <v>5 x per week (40 weken)</v>
      </c>
      <c r="N699" s="353" t="e">
        <f t="shared" si="60"/>
        <v>#DIV/0!</v>
      </c>
      <c r="O699" s="354">
        <f>IF(L699="nio",0,IF(L699&gt;0,VLOOKUP(H699,'3-Productie normen'!A:P,VLOOKUP(L699,'3-Productie normen'!$B$31:$C$45,2,FALSE),FALSE)))/VLOOKUP(B699,'2-Kosten per locatie'!$A$13:$D$36,4,FALSE)</f>
        <v>0</v>
      </c>
      <c r="P699" s="82" t="str">
        <f>VLOOKUP(H699,'3-Productie normen'!A:T,20,FALSE)</f>
        <v>V</v>
      </c>
      <c r="Q699" s="447" t="s">
        <v>792</v>
      </c>
      <c r="S699" s="356">
        <f t="shared" si="59"/>
        <v>1472</v>
      </c>
    </row>
    <row r="700" spans="1:19" ht="14.1" customHeight="1">
      <c r="A700" s="72">
        <f t="shared" si="58"/>
        <v>700</v>
      </c>
      <c r="B700" s="50" t="s">
        <v>814</v>
      </c>
      <c r="C700" s="50" t="s">
        <v>833</v>
      </c>
      <c r="D700" s="427" t="s">
        <v>1033</v>
      </c>
      <c r="E700" s="426" t="s">
        <v>612</v>
      </c>
      <c r="F700" s="349" t="s">
        <v>223</v>
      </c>
      <c r="G700" s="86" t="s">
        <v>201</v>
      </c>
      <c r="H700" s="432" t="s">
        <v>198</v>
      </c>
      <c r="I700" s="86" t="s">
        <v>91</v>
      </c>
      <c r="J700" s="343">
        <v>17.03</v>
      </c>
      <c r="K700" s="351">
        <f t="shared" ref="K700:K763" si="61">L700</f>
        <v>200</v>
      </c>
      <c r="L700" s="352">
        <v>200</v>
      </c>
      <c r="M700" s="448" t="str">
        <f>IF(L700="nio","",VLOOKUP(L700,'3-Productie normen'!$B$31:$H$45,3,FALSE))</f>
        <v>5 x per week (40 weken)</v>
      </c>
      <c r="N700" s="353" t="e">
        <f t="shared" si="60"/>
        <v>#DIV/0!</v>
      </c>
      <c r="O700" s="354">
        <f>IF(L700="nio",0,IF(L700&gt;0,VLOOKUP(H700,'3-Productie normen'!A:P,VLOOKUP(L700,'3-Productie normen'!$B$31:$C$45,2,FALSE),FALSE)))/VLOOKUP(B700,'2-Kosten per locatie'!$A$13:$D$36,4,FALSE)</f>
        <v>0</v>
      </c>
      <c r="P700" s="82" t="str">
        <f>VLOOKUP(H700,'3-Productie normen'!A:T,20,FALSE)</f>
        <v>V</v>
      </c>
      <c r="Q700" s="447" t="s">
        <v>792</v>
      </c>
      <c r="S700" s="356">
        <f t="shared" si="59"/>
        <v>3406</v>
      </c>
    </row>
    <row r="701" spans="1:19" ht="14.1" customHeight="1">
      <c r="A701" s="72">
        <f t="shared" si="58"/>
        <v>701</v>
      </c>
      <c r="B701" s="50" t="s">
        <v>814</v>
      </c>
      <c r="C701" s="50" t="s">
        <v>833</v>
      </c>
      <c r="D701" s="427" t="s">
        <v>1033</v>
      </c>
      <c r="E701" s="426" t="s">
        <v>612</v>
      </c>
      <c r="F701" s="349" t="s">
        <v>224</v>
      </c>
      <c r="G701" s="86" t="s">
        <v>212</v>
      </c>
      <c r="H701" s="65" t="s">
        <v>1053</v>
      </c>
      <c r="I701" s="86" t="s">
        <v>786</v>
      </c>
      <c r="J701" s="343">
        <v>19.34</v>
      </c>
      <c r="K701" s="351" t="str">
        <f t="shared" si="61"/>
        <v>nio</v>
      </c>
      <c r="L701" s="352" t="s">
        <v>804</v>
      </c>
      <c r="M701" s="448" t="str">
        <f>IF(L701="nio","",VLOOKUP(L701,'3-Productie normen'!$B$31:$H$45,3,FALSE))</f>
        <v/>
      </c>
      <c r="N701" s="353">
        <f t="shared" si="60"/>
        <v>0</v>
      </c>
      <c r="O701" s="354">
        <f>IF(L701="nio",0,IF(L701&gt;0,VLOOKUP(H701,'3-Productie normen'!A:P,VLOOKUP(L701,'3-Productie normen'!$B$31:$C$45,2,FALSE),FALSE)))/VLOOKUP(B701,'2-Kosten per locatie'!$A$13:$D$36,4,FALSE)</f>
        <v>0</v>
      </c>
      <c r="P701" s="82">
        <f>VLOOKUP(H701,'3-Productie normen'!A:T,20,FALSE)</f>
        <v>0</v>
      </c>
      <c r="Q701" s="447" t="s">
        <v>792</v>
      </c>
      <c r="S701" s="356">
        <f t="shared" si="59"/>
        <v>0</v>
      </c>
    </row>
    <row r="702" spans="1:19" ht="14.1" customHeight="1">
      <c r="A702" s="72">
        <f t="shared" si="58"/>
        <v>702</v>
      </c>
      <c r="B702" s="50" t="s">
        <v>814</v>
      </c>
      <c r="C702" s="50" t="s">
        <v>833</v>
      </c>
      <c r="D702" s="427" t="s">
        <v>1033</v>
      </c>
      <c r="E702" s="426" t="s">
        <v>612</v>
      </c>
      <c r="F702" s="349" t="s">
        <v>225</v>
      </c>
      <c r="G702" s="86" t="s">
        <v>242</v>
      </c>
      <c r="H702" s="86" t="s">
        <v>241</v>
      </c>
      <c r="I702" s="86" t="s">
        <v>780</v>
      </c>
      <c r="J702" s="343">
        <v>51.72</v>
      </c>
      <c r="K702" s="351">
        <f t="shared" si="61"/>
        <v>201</v>
      </c>
      <c r="L702" s="352">
        <v>201</v>
      </c>
      <c r="M702" s="448" t="str">
        <f>IF(L702="nio","",VLOOKUP(L702,'3-Productie normen'!$B$31:$H$45,3,FALSE))</f>
        <v>5 x per week (40 weken + 1 Zomer refreshbeurt)</v>
      </c>
      <c r="N702" s="353" t="e">
        <f t="shared" si="60"/>
        <v>#DIV/0!</v>
      </c>
      <c r="O702" s="354">
        <f>IF(L702="nio",0,IF(L702&gt;0,VLOOKUP(H702,'3-Productie normen'!A:P,VLOOKUP(L702,'3-Productie normen'!$B$31:$C$45,2,FALSE),FALSE)))/VLOOKUP(B702,'2-Kosten per locatie'!$A$13:$D$36,4,FALSE)</f>
        <v>0</v>
      </c>
      <c r="P702" s="82" t="str">
        <f>VLOOKUP(H702,'3-Productie normen'!A:T,20,FALSE)</f>
        <v>L</v>
      </c>
      <c r="Q702" s="447" t="s">
        <v>874</v>
      </c>
      <c r="S702" s="356">
        <f t="shared" si="59"/>
        <v>10395.719999999999</v>
      </c>
    </row>
    <row r="703" spans="1:19" ht="14.1" customHeight="1">
      <c r="A703" s="72">
        <f t="shared" si="58"/>
        <v>703</v>
      </c>
      <c r="B703" s="50" t="s">
        <v>814</v>
      </c>
      <c r="C703" s="50" t="s">
        <v>833</v>
      </c>
      <c r="D703" s="427" t="s">
        <v>1033</v>
      </c>
      <c r="E703" s="426" t="s">
        <v>612</v>
      </c>
      <c r="F703" s="349" t="s">
        <v>227</v>
      </c>
      <c r="G703" s="86" t="s">
        <v>242</v>
      </c>
      <c r="H703" s="50" t="s">
        <v>241</v>
      </c>
      <c r="I703" s="86" t="s">
        <v>780</v>
      </c>
      <c r="J703" s="343">
        <v>50.22</v>
      </c>
      <c r="K703" s="351">
        <f t="shared" si="61"/>
        <v>201</v>
      </c>
      <c r="L703" s="352">
        <v>201</v>
      </c>
      <c r="M703" s="448" t="str">
        <f>IF(L703="nio","",VLOOKUP(L703,'3-Productie normen'!$B$31:$H$45,3,FALSE))</f>
        <v>5 x per week (40 weken + 1 Zomer refreshbeurt)</v>
      </c>
      <c r="N703" s="353" t="e">
        <f t="shared" si="60"/>
        <v>#DIV/0!</v>
      </c>
      <c r="O703" s="354">
        <f>IF(L703="nio",0,IF(L703&gt;0,VLOOKUP(H703,'3-Productie normen'!A:P,VLOOKUP(L703,'3-Productie normen'!$B$31:$C$45,2,FALSE),FALSE)))/VLOOKUP(B703,'2-Kosten per locatie'!$A$13:$D$36,4,FALSE)</f>
        <v>0</v>
      </c>
      <c r="P703" s="82" t="str">
        <f>VLOOKUP(H703,'3-Productie normen'!A:T,20,FALSE)</f>
        <v>L</v>
      </c>
      <c r="Q703" s="447" t="s">
        <v>874</v>
      </c>
      <c r="S703" s="356">
        <f t="shared" si="59"/>
        <v>10094.219999999999</v>
      </c>
    </row>
    <row r="704" spans="1:19" ht="14.1" customHeight="1">
      <c r="A704" s="72">
        <f t="shared" si="58"/>
        <v>704</v>
      </c>
      <c r="B704" s="50" t="s">
        <v>814</v>
      </c>
      <c r="C704" s="50" t="s">
        <v>833</v>
      </c>
      <c r="D704" s="427" t="s">
        <v>1033</v>
      </c>
      <c r="E704" s="426" t="s">
        <v>612</v>
      </c>
      <c r="F704" s="349" t="s">
        <v>228</v>
      </c>
      <c r="G704" s="86" t="s">
        <v>209</v>
      </c>
      <c r="H704" s="63" t="s">
        <v>1040</v>
      </c>
      <c r="I704" s="86" t="s">
        <v>780</v>
      </c>
      <c r="J704" s="343">
        <v>5.24</v>
      </c>
      <c r="K704" s="351">
        <f t="shared" si="61"/>
        <v>12</v>
      </c>
      <c r="L704" s="352">
        <v>12</v>
      </c>
      <c r="M704" s="448" t="str">
        <f>IF(L704="nio","",VLOOKUP(L704,'3-Productie normen'!$B$31:$H$45,3,FALSE))</f>
        <v>1 x per maand</v>
      </c>
      <c r="N704" s="353" t="e">
        <f t="shared" si="60"/>
        <v>#DIV/0!</v>
      </c>
      <c r="O704" s="354">
        <f>IF(L704="nio",0,IF(L704&gt;0,VLOOKUP(H704,'3-Productie normen'!A:P,VLOOKUP(L704,'3-Productie normen'!$B$31:$C$45,2,FALSE),FALSE)))/VLOOKUP(B704,'2-Kosten per locatie'!$A$13:$D$36,4,FALSE)</f>
        <v>0</v>
      </c>
      <c r="P704" s="82" t="str">
        <f>VLOOKUP(H704,'3-Productie normen'!A:T,20,FALSE)</f>
        <v>V</v>
      </c>
      <c r="Q704" s="447" t="s">
        <v>792</v>
      </c>
      <c r="S704" s="356">
        <f t="shared" si="59"/>
        <v>62.88</v>
      </c>
    </row>
    <row r="705" spans="1:19" ht="14.1" customHeight="1">
      <c r="A705" s="72">
        <f t="shared" si="58"/>
        <v>705</v>
      </c>
      <c r="B705" s="50" t="s">
        <v>814</v>
      </c>
      <c r="C705" s="50" t="s">
        <v>833</v>
      </c>
      <c r="D705" s="427" t="s">
        <v>1033</v>
      </c>
      <c r="E705" s="426" t="s">
        <v>612</v>
      </c>
      <c r="F705" s="349" t="s">
        <v>230</v>
      </c>
      <c r="G705" s="86" t="s">
        <v>226</v>
      </c>
      <c r="H705" s="81" t="s">
        <v>16</v>
      </c>
      <c r="I705" s="86" t="s">
        <v>781</v>
      </c>
      <c r="J705" s="343">
        <v>8.39</v>
      </c>
      <c r="K705" s="351">
        <f t="shared" si="61"/>
        <v>201</v>
      </c>
      <c r="L705" s="352">
        <v>201</v>
      </c>
      <c r="M705" s="448" t="str">
        <f>IF(L705="nio","",VLOOKUP(L705,'3-Productie normen'!$B$31:$H$45,3,FALSE))</f>
        <v>5 x per week (40 weken + 1 Zomer refreshbeurt)</v>
      </c>
      <c r="N705" s="353" t="e">
        <f t="shared" si="60"/>
        <v>#DIV/0!</v>
      </c>
      <c r="O705" s="354">
        <f>IF(L705="nio",0,IF(L705&gt;0,VLOOKUP(H705,'3-Productie normen'!A:P,VLOOKUP(L705,'3-Productie normen'!$B$31:$C$45,2,FALSE),FALSE)))/VLOOKUP(B705,'2-Kosten per locatie'!$A$13:$D$36,4,FALSE)</f>
        <v>0</v>
      </c>
      <c r="P705" s="82" t="str">
        <f>VLOOKUP(H705,'3-Productie normen'!A:T,20,FALSE)</f>
        <v>S</v>
      </c>
      <c r="Q705" s="447" t="s">
        <v>945</v>
      </c>
      <c r="S705" s="356">
        <f t="shared" si="59"/>
        <v>1686.39</v>
      </c>
    </row>
    <row r="706" spans="1:19" ht="14.1" customHeight="1">
      <c r="A706" s="72">
        <f t="shared" si="58"/>
        <v>706</v>
      </c>
      <c r="B706" s="50" t="s">
        <v>814</v>
      </c>
      <c r="C706" s="50" t="s">
        <v>833</v>
      </c>
      <c r="D706" s="427" t="s">
        <v>1033</v>
      </c>
      <c r="E706" s="426" t="s">
        <v>612</v>
      </c>
      <c r="F706" s="349" t="s">
        <v>233</v>
      </c>
      <c r="G706" s="86" t="s">
        <v>246</v>
      </c>
      <c r="H706" s="81" t="s">
        <v>1039</v>
      </c>
      <c r="I706" s="86" t="s">
        <v>783</v>
      </c>
      <c r="J706" s="343">
        <v>89.71</v>
      </c>
      <c r="K706" s="351">
        <f t="shared" si="61"/>
        <v>200</v>
      </c>
      <c r="L706" s="352">
        <v>200</v>
      </c>
      <c r="M706" s="448" t="str">
        <f>IF(L706="nio","",VLOOKUP(L706,'3-Productie normen'!$B$31:$H$45,3,FALSE))</f>
        <v>5 x per week (40 weken)</v>
      </c>
      <c r="N706" s="353" t="e">
        <f t="shared" si="60"/>
        <v>#DIV/0!</v>
      </c>
      <c r="O706" s="354">
        <f>IF(L706="nio",0,IF(L706&gt;0,VLOOKUP(H706,'3-Productie normen'!A:P,VLOOKUP(L706,'3-Productie normen'!$B$31:$C$45,2,FALSE),FALSE)))/VLOOKUP(B706,'2-Kosten per locatie'!$A$13:$D$36,4,FALSE)</f>
        <v>0</v>
      </c>
      <c r="P706" s="82" t="str">
        <f>VLOOKUP(H706,'3-Productie normen'!A:T,20,FALSE)</f>
        <v>V</v>
      </c>
      <c r="Q706" s="447" t="s">
        <v>792</v>
      </c>
      <c r="S706" s="356">
        <f t="shared" si="59"/>
        <v>17942</v>
      </c>
    </row>
    <row r="707" spans="1:19" ht="14.1" customHeight="1">
      <c r="A707" s="72">
        <f t="shared" si="58"/>
        <v>707</v>
      </c>
      <c r="B707" s="50" t="s">
        <v>814</v>
      </c>
      <c r="C707" s="50" t="s">
        <v>833</v>
      </c>
      <c r="D707" s="427" t="s">
        <v>1033</v>
      </c>
      <c r="E707" s="426" t="s">
        <v>612</v>
      </c>
      <c r="F707" s="349" t="s">
        <v>234</v>
      </c>
      <c r="G707" s="86" t="s">
        <v>246</v>
      </c>
      <c r="H707" s="81" t="s">
        <v>1039</v>
      </c>
      <c r="I707" s="86" t="s">
        <v>783</v>
      </c>
      <c r="J707" s="343">
        <v>88.47</v>
      </c>
      <c r="K707" s="351">
        <f t="shared" si="61"/>
        <v>200</v>
      </c>
      <c r="L707" s="352">
        <v>200</v>
      </c>
      <c r="M707" s="448" t="str">
        <f>IF(L707="nio","",VLOOKUP(L707,'3-Productie normen'!$B$31:$H$45,3,FALSE))</f>
        <v>5 x per week (40 weken)</v>
      </c>
      <c r="N707" s="353" t="e">
        <f t="shared" si="60"/>
        <v>#DIV/0!</v>
      </c>
      <c r="O707" s="354">
        <f>IF(L707="nio",0,IF(L707&gt;0,VLOOKUP(H707,'3-Productie normen'!A:P,VLOOKUP(L707,'3-Productie normen'!$B$31:$C$45,2,FALSE),FALSE)))/VLOOKUP(B707,'2-Kosten per locatie'!$A$13:$D$36,4,FALSE)</f>
        <v>0</v>
      </c>
      <c r="P707" s="82" t="str">
        <f>VLOOKUP(H707,'3-Productie normen'!A:T,20,FALSE)</f>
        <v>V</v>
      </c>
      <c r="Q707" s="447" t="s">
        <v>792</v>
      </c>
      <c r="S707" s="356">
        <f t="shared" si="59"/>
        <v>17694</v>
      </c>
    </row>
    <row r="708" spans="1:19" ht="14.1" customHeight="1">
      <c r="A708" s="72">
        <f t="shared" si="58"/>
        <v>708</v>
      </c>
      <c r="B708" s="50" t="s">
        <v>814</v>
      </c>
      <c r="C708" s="50" t="s">
        <v>833</v>
      </c>
      <c r="D708" s="427" t="s">
        <v>1033</v>
      </c>
      <c r="E708" s="426" t="s">
        <v>612</v>
      </c>
      <c r="F708" s="349" t="s">
        <v>647</v>
      </c>
      <c r="G708" s="86" t="s">
        <v>209</v>
      </c>
      <c r="H708" s="63" t="s">
        <v>1040</v>
      </c>
      <c r="I708" s="86" t="s">
        <v>180</v>
      </c>
      <c r="J708" s="343">
        <v>0.73</v>
      </c>
      <c r="K708" s="351">
        <f t="shared" si="61"/>
        <v>12</v>
      </c>
      <c r="L708" s="352">
        <v>12</v>
      </c>
      <c r="M708" s="448" t="str">
        <f>IF(L708="nio","",VLOOKUP(L708,'3-Productie normen'!$B$31:$H$45,3,FALSE))</f>
        <v>1 x per maand</v>
      </c>
      <c r="N708" s="353" t="e">
        <f t="shared" si="60"/>
        <v>#DIV/0!</v>
      </c>
      <c r="O708" s="354">
        <f>IF(L708="nio",0,IF(L708&gt;0,VLOOKUP(H708,'3-Productie normen'!A:P,VLOOKUP(L708,'3-Productie normen'!$B$31:$C$45,2,FALSE),FALSE)))/VLOOKUP(B708,'2-Kosten per locatie'!$A$13:$D$36,4,FALSE)</f>
        <v>0</v>
      </c>
      <c r="P708" s="82" t="str">
        <f>VLOOKUP(H708,'3-Productie normen'!A:T,20,FALSE)</f>
        <v>V</v>
      </c>
      <c r="Q708" s="447" t="s">
        <v>792</v>
      </c>
      <c r="S708" s="356">
        <f t="shared" si="59"/>
        <v>8.76</v>
      </c>
    </row>
    <row r="709" spans="1:19" ht="14.1" customHeight="1">
      <c r="A709" s="72">
        <f t="shared" si="58"/>
        <v>709</v>
      </c>
      <c r="B709" s="50" t="s">
        <v>814</v>
      </c>
      <c r="C709" s="50" t="s">
        <v>833</v>
      </c>
      <c r="D709" s="427" t="s">
        <v>1033</v>
      </c>
      <c r="E709" s="426" t="s">
        <v>612</v>
      </c>
      <c r="F709" s="349" t="s">
        <v>648</v>
      </c>
      <c r="G709" s="86" t="s">
        <v>209</v>
      </c>
      <c r="H709" s="63" t="s">
        <v>1040</v>
      </c>
      <c r="I709" s="86" t="s">
        <v>180</v>
      </c>
      <c r="J709" s="343">
        <v>0.66</v>
      </c>
      <c r="K709" s="351">
        <f t="shared" si="61"/>
        <v>12</v>
      </c>
      <c r="L709" s="352">
        <v>12</v>
      </c>
      <c r="M709" s="448" t="str">
        <f>IF(L709="nio","",VLOOKUP(L709,'3-Productie normen'!$B$31:$H$45,3,FALSE))</f>
        <v>1 x per maand</v>
      </c>
      <c r="N709" s="353" t="e">
        <f t="shared" si="60"/>
        <v>#DIV/0!</v>
      </c>
      <c r="O709" s="354">
        <f>IF(L709="nio",0,IF(L709&gt;0,VLOOKUP(H709,'3-Productie normen'!A:P,VLOOKUP(L709,'3-Productie normen'!$B$31:$C$45,2,FALSE),FALSE)))/VLOOKUP(B709,'2-Kosten per locatie'!$A$13:$D$36,4,FALSE)</f>
        <v>0</v>
      </c>
      <c r="P709" s="82" t="str">
        <f>VLOOKUP(H709,'3-Productie normen'!A:T,20,FALSE)</f>
        <v>V</v>
      </c>
      <c r="Q709" s="447" t="s">
        <v>792</v>
      </c>
      <c r="S709" s="356">
        <f t="shared" si="59"/>
        <v>7.92</v>
      </c>
    </row>
    <row r="710" spans="1:19" ht="14.1" customHeight="1">
      <c r="A710" s="72">
        <f t="shared" si="58"/>
        <v>710</v>
      </c>
      <c r="B710" s="50" t="s">
        <v>814</v>
      </c>
      <c r="C710" s="50" t="s">
        <v>833</v>
      </c>
      <c r="D710" s="427" t="s">
        <v>1033</v>
      </c>
      <c r="E710" s="426" t="s">
        <v>612</v>
      </c>
      <c r="F710" s="349" t="s">
        <v>236</v>
      </c>
      <c r="G710" s="86" t="s">
        <v>209</v>
      </c>
      <c r="H710" s="63" t="s">
        <v>1040</v>
      </c>
      <c r="I710" s="86" t="s">
        <v>793</v>
      </c>
      <c r="J710" s="343">
        <v>10.6</v>
      </c>
      <c r="K710" s="351">
        <f t="shared" si="61"/>
        <v>12</v>
      </c>
      <c r="L710" s="352">
        <v>12</v>
      </c>
      <c r="M710" s="448" t="str">
        <f>IF(L710="nio","",VLOOKUP(L710,'3-Productie normen'!$B$31:$H$45,3,FALSE))</f>
        <v>1 x per maand</v>
      </c>
      <c r="N710" s="353" t="e">
        <f t="shared" si="60"/>
        <v>#DIV/0!</v>
      </c>
      <c r="O710" s="354">
        <f>IF(L710="nio",0,IF(L710&gt;0,VLOOKUP(H710,'3-Productie normen'!A:P,VLOOKUP(L710,'3-Productie normen'!$B$31:$C$45,2,FALSE),FALSE)))/VLOOKUP(B710,'2-Kosten per locatie'!$A$13:$D$36,4,FALSE)</f>
        <v>0</v>
      </c>
      <c r="P710" s="82" t="str">
        <f>VLOOKUP(H710,'3-Productie normen'!A:T,20,FALSE)</f>
        <v>V</v>
      </c>
      <c r="Q710" s="447" t="s">
        <v>792</v>
      </c>
      <c r="S710" s="356">
        <f t="shared" si="59"/>
        <v>127.19999999999999</v>
      </c>
    </row>
    <row r="711" spans="1:19" ht="14.1" customHeight="1">
      <c r="A711" s="72">
        <f t="shared" si="58"/>
        <v>711</v>
      </c>
      <c r="B711" s="50" t="s">
        <v>814</v>
      </c>
      <c r="C711" s="50" t="s">
        <v>833</v>
      </c>
      <c r="D711" s="427" t="s">
        <v>1033</v>
      </c>
      <c r="E711" s="426" t="s">
        <v>612</v>
      </c>
      <c r="F711" s="349" t="s">
        <v>237</v>
      </c>
      <c r="G711" s="86" t="s">
        <v>398</v>
      </c>
      <c r="H711" s="86" t="s">
        <v>203</v>
      </c>
      <c r="I711" s="86" t="s">
        <v>180</v>
      </c>
      <c r="J711" s="343">
        <v>18.12</v>
      </c>
      <c r="K711" s="351">
        <f t="shared" si="61"/>
        <v>120</v>
      </c>
      <c r="L711" s="352">
        <v>120</v>
      </c>
      <c r="M711" s="448" t="str">
        <f>IF(L711="nio","",VLOOKUP(L711,'3-Productie normen'!$B$31:$H$45,3,FALSE))</f>
        <v>3 x per week (40 weken)</v>
      </c>
      <c r="N711" s="353" t="e">
        <f t="shared" si="60"/>
        <v>#DIV/0!</v>
      </c>
      <c r="O711" s="354">
        <f>IF(L711="nio",0,IF(L711&gt;0,VLOOKUP(H711,'3-Productie normen'!A:P,VLOOKUP(L711,'3-Productie normen'!$B$31:$C$45,2,FALSE),FALSE)))/VLOOKUP(B711,'2-Kosten per locatie'!$A$13:$D$36,4,FALSE)</f>
        <v>0</v>
      </c>
      <c r="P711" s="82" t="str">
        <f>VLOOKUP(H711,'3-Productie normen'!A:T,20,FALSE)</f>
        <v>B</v>
      </c>
      <c r="Q711" s="447" t="s">
        <v>792</v>
      </c>
      <c r="S711" s="356">
        <f t="shared" si="59"/>
        <v>2174.4</v>
      </c>
    </row>
    <row r="712" spans="1:19" ht="14.1" customHeight="1">
      <c r="A712" s="72">
        <f t="shared" si="58"/>
        <v>712</v>
      </c>
      <c r="B712" s="50" t="s">
        <v>814</v>
      </c>
      <c r="C712" s="50" t="s">
        <v>833</v>
      </c>
      <c r="D712" s="427" t="s">
        <v>1033</v>
      </c>
      <c r="E712" s="426" t="s">
        <v>612</v>
      </c>
      <c r="F712" s="349" t="s">
        <v>240</v>
      </c>
      <c r="G712" s="86" t="s">
        <v>328</v>
      </c>
      <c r="H712" s="86" t="s">
        <v>241</v>
      </c>
      <c r="I712" s="86" t="s">
        <v>180</v>
      </c>
      <c r="J712" s="343">
        <v>8.9499999999999993</v>
      </c>
      <c r="K712" s="351">
        <f t="shared" si="61"/>
        <v>201</v>
      </c>
      <c r="L712" s="352">
        <v>201</v>
      </c>
      <c r="M712" s="448" t="str">
        <f>IF(L712="nio","",VLOOKUP(L712,'3-Productie normen'!$B$31:$H$45,3,FALSE))</f>
        <v>5 x per week (40 weken + 1 Zomer refreshbeurt)</v>
      </c>
      <c r="N712" s="353" t="e">
        <f t="shared" si="60"/>
        <v>#DIV/0!</v>
      </c>
      <c r="O712" s="354">
        <f>IF(L712="nio",0,IF(L712&gt;0,VLOOKUP(H712,'3-Productie normen'!A:P,VLOOKUP(L712,'3-Productie normen'!$B$31:$C$45,2,FALSE),FALSE)))/VLOOKUP(B712,'2-Kosten per locatie'!$A$13:$D$36,4,FALSE)</f>
        <v>0</v>
      </c>
      <c r="P712" s="82" t="str">
        <f>VLOOKUP(H712,'3-Productie normen'!A:T,20,FALSE)</f>
        <v>L</v>
      </c>
      <c r="Q712" s="447" t="s">
        <v>792</v>
      </c>
      <c r="S712" s="356">
        <f t="shared" si="59"/>
        <v>1798.9499999999998</v>
      </c>
    </row>
    <row r="713" spans="1:19" ht="14.1" customHeight="1">
      <c r="A713" s="72">
        <f t="shared" si="58"/>
        <v>713</v>
      </c>
      <c r="B713" s="50" t="s">
        <v>814</v>
      </c>
      <c r="C713" s="50" t="s">
        <v>833</v>
      </c>
      <c r="D713" s="427" t="s">
        <v>1033</v>
      </c>
      <c r="E713" s="426" t="s">
        <v>612</v>
      </c>
      <c r="F713" s="349" t="s">
        <v>243</v>
      </c>
      <c r="G713" s="86" t="s">
        <v>212</v>
      </c>
      <c r="H713" s="65" t="s">
        <v>1053</v>
      </c>
      <c r="I713" s="86" t="s">
        <v>92</v>
      </c>
      <c r="J713" s="343">
        <v>6.05</v>
      </c>
      <c r="K713" s="351" t="str">
        <f t="shared" si="61"/>
        <v>nio</v>
      </c>
      <c r="L713" s="352" t="s">
        <v>804</v>
      </c>
      <c r="M713" s="448" t="str">
        <f>IF(L713="nio","",VLOOKUP(L713,'3-Productie normen'!$B$31:$H$45,3,FALSE))</f>
        <v/>
      </c>
      <c r="N713" s="353">
        <f t="shared" si="60"/>
        <v>0</v>
      </c>
      <c r="O713" s="354">
        <f>IF(L713="nio",0,IF(L713&gt;0,VLOOKUP(H713,'3-Productie normen'!A:P,VLOOKUP(L713,'3-Productie normen'!$B$31:$C$45,2,FALSE),FALSE)))/VLOOKUP(B713,'2-Kosten per locatie'!$A$13:$D$36,4,FALSE)</f>
        <v>0</v>
      </c>
      <c r="P713" s="82">
        <f>VLOOKUP(H713,'3-Productie normen'!A:T,20,FALSE)</f>
        <v>0</v>
      </c>
      <c r="Q713" s="447" t="s">
        <v>792</v>
      </c>
      <c r="S713" s="356">
        <f t="shared" si="59"/>
        <v>0</v>
      </c>
    </row>
    <row r="714" spans="1:19" ht="14.1" customHeight="1">
      <c r="A714" s="72">
        <f t="shared" si="58"/>
        <v>714</v>
      </c>
      <c r="B714" s="50" t="s">
        <v>814</v>
      </c>
      <c r="C714" s="50" t="s">
        <v>833</v>
      </c>
      <c r="D714" s="427" t="s">
        <v>1033</v>
      </c>
      <c r="E714" s="426" t="s">
        <v>612</v>
      </c>
      <c r="F714" s="349" t="s">
        <v>244</v>
      </c>
      <c r="G714" s="86" t="s">
        <v>199</v>
      </c>
      <c r="H714" s="432" t="s">
        <v>198</v>
      </c>
      <c r="I714" s="86" t="s">
        <v>779</v>
      </c>
      <c r="J714" s="343">
        <v>1.58000004291534</v>
      </c>
      <c r="K714" s="351">
        <f t="shared" si="61"/>
        <v>200</v>
      </c>
      <c r="L714" s="352">
        <v>200</v>
      </c>
      <c r="M714" s="448" t="str">
        <f>IF(L714="nio","",VLOOKUP(L714,'3-Productie normen'!$B$31:$H$45,3,FALSE))</f>
        <v>5 x per week (40 weken)</v>
      </c>
      <c r="N714" s="353" t="e">
        <f t="shared" si="60"/>
        <v>#DIV/0!</v>
      </c>
      <c r="O714" s="354">
        <f>IF(L714="nio",0,IF(L714&gt;0,VLOOKUP(H714,'3-Productie normen'!A:P,VLOOKUP(L714,'3-Productie normen'!$B$31:$C$45,2,FALSE),FALSE)))/VLOOKUP(B714,'2-Kosten per locatie'!$A$13:$D$36,4,FALSE)</f>
        <v>0</v>
      </c>
      <c r="P714" s="82" t="str">
        <f>VLOOKUP(H714,'3-Productie normen'!A:T,20,FALSE)</f>
        <v>V</v>
      </c>
      <c r="Q714" s="447" t="s">
        <v>794</v>
      </c>
      <c r="S714" s="356">
        <f t="shared" si="59"/>
        <v>316.000008583068</v>
      </c>
    </row>
    <row r="715" spans="1:19" ht="14.1" customHeight="1">
      <c r="A715" s="72">
        <f t="shared" ref="A715:A778" si="62">A714+1</f>
        <v>715</v>
      </c>
      <c r="B715" s="50" t="s">
        <v>814</v>
      </c>
      <c r="C715" s="50" t="s">
        <v>833</v>
      </c>
      <c r="D715" s="427" t="s">
        <v>1033</v>
      </c>
      <c r="E715" s="426" t="s">
        <v>612</v>
      </c>
      <c r="F715" s="349" t="s">
        <v>244</v>
      </c>
      <c r="G715" s="86" t="s">
        <v>199</v>
      </c>
      <c r="H715" s="432" t="s">
        <v>198</v>
      </c>
      <c r="I715" s="86" t="s">
        <v>91</v>
      </c>
      <c r="J715" s="343">
        <v>7.62</v>
      </c>
      <c r="K715" s="351">
        <f t="shared" si="61"/>
        <v>200</v>
      </c>
      <c r="L715" s="352">
        <v>200</v>
      </c>
      <c r="M715" s="448" t="str">
        <f>IF(L715="nio","",VLOOKUP(L715,'3-Productie normen'!$B$31:$H$45,3,FALSE))</f>
        <v>5 x per week (40 weken)</v>
      </c>
      <c r="N715" s="353" t="e">
        <f t="shared" si="60"/>
        <v>#DIV/0!</v>
      </c>
      <c r="O715" s="354">
        <f>IF(L715="nio",0,IF(L715&gt;0,VLOOKUP(H715,'3-Productie normen'!A:P,VLOOKUP(L715,'3-Productie normen'!$B$31:$C$45,2,FALSE),FALSE)))/VLOOKUP(B715,'2-Kosten per locatie'!$A$13:$D$36,4,FALSE)</f>
        <v>0</v>
      </c>
      <c r="P715" s="82" t="str">
        <f>VLOOKUP(H715,'3-Productie normen'!A:T,20,FALSE)</f>
        <v>V</v>
      </c>
      <c r="Q715" s="447" t="s">
        <v>792</v>
      </c>
      <c r="S715" s="356">
        <f t="shared" si="59"/>
        <v>1524</v>
      </c>
    </row>
    <row r="716" spans="1:19" ht="14.1" customHeight="1">
      <c r="A716" s="72">
        <f t="shared" si="62"/>
        <v>716</v>
      </c>
      <c r="B716" s="50" t="s">
        <v>814</v>
      </c>
      <c r="C716" s="50" t="s">
        <v>833</v>
      </c>
      <c r="D716" s="427" t="s">
        <v>1033</v>
      </c>
      <c r="E716" s="426" t="s">
        <v>612</v>
      </c>
      <c r="F716" s="349" t="s">
        <v>245</v>
      </c>
      <c r="G716" s="86" t="s">
        <v>206</v>
      </c>
      <c r="H716" s="65" t="s">
        <v>1053</v>
      </c>
      <c r="I716" s="86" t="s">
        <v>92</v>
      </c>
      <c r="J716" s="343">
        <v>0.86000001430511497</v>
      </c>
      <c r="K716" s="351" t="str">
        <f t="shared" si="61"/>
        <v>nio</v>
      </c>
      <c r="L716" s="352" t="s">
        <v>804</v>
      </c>
      <c r="M716" s="448" t="str">
        <f>IF(L716="nio","",VLOOKUP(L716,'3-Productie normen'!$B$31:$H$45,3,FALSE))</f>
        <v/>
      </c>
      <c r="N716" s="353">
        <f t="shared" si="60"/>
        <v>0</v>
      </c>
      <c r="O716" s="354">
        <f>IF(L716="nio",0,IF(L716&gt;0,VLOOKUP(H716,'3-Productie normen'!A:P,VLOOKUP(L716,'3-Productie normen'!$B$31:$C$45,2,FALSE),FALSE)))/VLOOKUP(B716,'2-Kosten per locatie'!$A$13:$D$36,4,FALSE)</f>
        <v>0</v>
      </c>
      <c r="P716" s="82">
        <f>VLOOKUP(H716,'3-Productie normen'!A:T,20,FALSE)</f>
        <v>0</v>
      </c>
      <c r="Q716" s="447" t="s">
        <v>983</v>
      </c>
      <c r="S716" s="356">
        <f t="shared" si="59"/>
        <v>0</v>
      </c>
    </row>
    <row r="717" spans="1:19" ht="14.1" customHeight="1">
      <c r="A717" s="72">
        <f t="shared" si="62"/>
        <v>717</v>
      </c>
      <c r="B717" s="50" t="s">
        <v>814</v>
      </c>
      <c r="C717" s="50" t="s">
        <v>833</v>
      </c>
      <c r="D717" s="427" t="s">
        <v>1033</v>
      </c>
      <c r="E717" s="426" t="s">
        <v>612</v>
      </c>
      <c r="F717" s="349" t="s">
        <v>330</v>
      </c>
      <c r="G717" s="86" t="s">
        <v>215</v>
      </c>
      <c r="H717" s="63" t="s">
        <v>1040</v>
      </c>
      <c r="I717" s="86" t="s">
        <v>91</v>
      </c>
      <c r="J717" s="343">
        <v>1.3999999761581401</v>
      </c>
      <c r="K717" s="351">
        <f t="shared" si="61"/>
        <v>12</v>
      </c>
      <c r="L717" s="352">
        <v>12</v>
      </c>
      <c r="M717" s="448" t="str">
        <f>IF(L717="nio","",VLOOKUP(L717,'3-Productie normen'!$B$31:$H$45,3,FALSE))</f>
        <v>1 x per maand</v>
      </c>
      <c r="N717" s="353" t="e">
        <f t="shared" si="60"/>
        <v>#DIV/0!</v>
      </c>
      <c r="O717" s="354">
        <f>IF(L717="nio",0,IF(L717&gt;0,VLOOKUP(H717,'3-Productie normen'!A:P,VLOOKUP(L717,'3-Productie normen'!$B$31:$C$45,2,FALSE),FALSE)))/VLOOKUP(B717,'2-Kosten per locatie'!$A$13:$D$36,4,FALSE)</f>
        <v>0</v>
      </c>
      <c r="P717" s="82" t="str">
        <f>VLOOKUP(H717,'3-Productie normen'!A:T,20,FALSE)</f>
        <v>V</v>
      </c>
      <c r="Q717" s="447" t="s">
        <v>853</v>
      </c>
      <c r="S717" s="356">
        <f t="shared" si="59"/>
        <v>16.79999971389768</v>
      </c>
    </row>
    <row r="718" spans="1:19" ht="14.1" customHeight="1">
      <c r="A718" s="72">
        <f t="shared" si="62"/>
        <v>718</v>
      </c>
      <c r="B718" s="50" t="s">
        <v>814</v>
      </c>
      <c r="C718" s="50" t="s">
        <v>833</v>
      </c>
      <c r="D718" s="427" t="s">
        <v>1033</v>
      </c>
      <c r="E718" s="426" t="s">
        <v>612</v>
      </c>
      <c r="F718" s="349" t="s">
        <v>331</v>
      </c>
      <c r="G718" s="86" t="s">
        <v>222</v>
      </c>
      <c r="H718" s="86" t="s">
        <v>16</v>
      </c>
      <c r="I718" s="86" t="s">
        <v>781</v>
      </c>
      <c r="J718" s="343">
        <v>1.56</v>
      </c>
      <c r="K718" s="351">
        <f t="shared" si="61"/>
        <v>201</v>
      </c>
      <c r="L718" s="352">
        <v>201</v>
      </c>
      <c r="M718" s="448" t="str">
        <f>IF(L718="nio","",VLOOKUP(L718,'3-Productie normen'!$B$31:$H$45,3,FALSE))</f>
        <v>5 x per week (40 weken + 1 Zomer refreshbeurt)</v>
      </c>
      <c r="N718" s="353" t="e">
        <f t="shared" si="60"/>
        <v>#DIV/0!</v>
      </c>
      <c r="O718" s="354">
        <f>IF(L718="nio",0,IF(L718&gt;0,VLOOKUP(H718,'3-Productie normen'!A:P,VLOOKUP(L718,'3-Productie normen'!$B$31:$C$45,2,FALSE),FALSE)))/VLOOKUP(B718,'2-Kosten per locatie'!$A$13:$D$36,4,FALSE)</f>
        <v>0</v>
      </c>
      <c r="P718" s="82" t="str">
        <f>VLOOKUP(H718,'3-Productie normen'!A:T,20,FALSE)</f>
        <v>S</v>
      </c>
      <c r="Q718" s="447" t="s">
        <v>857</v>
      </c>
      <c r="S718" s="356">
        <f t="shared" ref="S718:S781" si="63">IF(L718="nio",0,K718*J718)</f>
        <v>313.56</v>
      </c>
    </row>
    <row r="719" spans="1:19" ht="14.1" customHeight="1">
      <c r="A719" s="72">
        <f t="shared" si="62"/>
        <v>719</v>
      </c>
      <c r="B719" s="50" t="s">
        <v>814</v>
      </c>
      <c r="C719" s="50" t="s">
        <v>833</v>
      </c>
      <c r="D719" s="427" t="s">
        <v>1033</v>
      </c>
      <c r="E719" s="426" t="s">
        <v>612</v>
      </c>
      <c r="F719" s="349" t="s">
        <v>332</v>
      </c>
      <c r="G719" s="86" t="s">
        <v>226</v>
      </c>
      <c r="H719" s="86" t="s">
        <v>16</v>
      </c>
      <c r="I719" s="86" t="s">
        <v>781</v>
      </c>
      <c r="J719" s="343">
        <v>10.96</v>
      </c>
      <c r="K719" s="351">
        <f t="shared" si="61"/>
        <v>201</v>
      </c>
      <c r="L719" s="352">
        <v>201</v>
      </c>
      <c r="M719" s="448" t="str">
        <f>IF(L719="nio","",VLOOKUP(L719,'3-Productie normen'!$B$31:$H$45,3,FALSE))</f>
        <v>5 x per week (40 weken + 1 Zomer refreshbeurt)</v>
      </c>
      <c r="N719" s="353" t="e">
        <f t="shared" si="60"/>
        <v>#DIV/0!</v>
      </c>
      <c r="O719" s="354">
        <f>IF(L719="nio",0,IF(L719&gt;0,VLOOKUP(H719,'3-Productie normen'!A:P,VLOOKUP(L719,'3-Productie normen'!$B$31:$C$45,2,FALSE),FALSE)))/VLOOKUP(B719,'2-Kosten per locatie'!$A$13:$D$36,4,FALSE)</f>
        <v>0</v>
      </c>
      <c r="P719" s="82" t="str">
        <f>VLOOKUP(H719,'3-Productie normen'!A:T,20,FALSE)</f>
        <v>S</v>
      </c>
      <c r="Q719" s="447" t="s">
        <v>912</v>
      </c>
      <c r="S719" s="356">
        <f t="shared" si="63"/>
        <v>2202.96</v>
      </c>
    </row>
    <row r="720" spans="1:19" ht="14.1" customHeight="1">
      <c r="A720" s="72">
        <f t="shared" si="62"/>
        <v>720</v>
      </c>
      <c r="B720" s="50" t="s">
        <v>814</v>
      </c>
      <c r="C720" s="50" t="s">
        <v>833</v>
      </c>
      <c r="D720" s="427" t="s">
        <v>1033</v>
      </c>
      <c r="E720" s="426" t="s">
        <v>612</v>
      </c>
      <c r="F720" s="349" t="s">
        <v>333</v>
      </c>
      <c r="G720" s="86" t="s">
        <v>298</v>
      </c>
      <c r="H720" s="50" t="s">
        <v>241</v>
      </c>
      <c r="I720" s="86" t="s">
        <v>780</v>
      </c>
      <c r="J720" s="343">
        <v>50.5</v>
      </c>
      <c r="K720" s="351">
        <f t="shared" si="61"/>
        <v>201</v>
      </c>
      <c r="L720" s="352">
        <v>201</v>
      </c>
      <c r="M720" s="448" t="str">
        <f>IF(L720="nio","",VLOOKUP(L720,'3-Productie normen'!$B$31:$H$45,3,FALSE))</f>
        <v>5 x per week (40 weken + 1 Zomer refreshbeurt)</v>
      </c>
      <c r="N720" s="353" t="e">
        <f t="shared" si="60"/>
        <v>#DIV/0!</v>
      </c>
      <c r="O720" s="354">
        <f>IF(L720="nio",0,IF(L720&gt;0,VLOOKUP(H720,'3-Productie normen'!A:P,VLOOKUP(L720,'3-Productie normen'!$B$31:$C$45,2,FALSE),FALSE)))/VLOOKUP(B720,'2-Kosten per locatie'!$A$13:$D$36,4,FALSE)</f>
        <v>0</v>
      </c>
      <c r="P720" s="82" t="str">
        <f>VLOOKUP(H720,'3-Productie normen'!A:T,20,FALSE)</f>
        <v>L</v>
      </c>
      <c r="Q720" s="447" t="s">
        <v>875</v>
      </c>
      <c r="S720" s="356">
        <f t="shared" si="63"/>
        <v>10150.5</v>
      </c>
    </row>
    <row r="721" spans="1:19" ht="14.1" customHeight="1">
      <c r="A721" s="72">
        <f t="shared" si="62"/>
        <v>721</v>
      </c>
      <c r="B721" s="50" t="s">
        <v>814</v>
      </c>
      <c r="C721" s="50" t="s">
        <v>833</v>
      </c>
      <c r="D721" s="427" t="s">
        <v>1033</v>
      </c>
      <c r="E721" s="426" t="s">
        <v>612</v>
      </c>
      <c r="F721" s="349" t="s">
        <v>649</v>
      </c>
      <c r="G721" s="86" t="s">
        <v>209</v>
      </c>
      <c r="H721" s="63" t="s">
        <v>1040</v>
      </c>
      <c r="I721" s="86" t="s">
        <v>780</v>
      </c>
      <c r="J721" s="343">
        <v>2.44</v>
      </c>
      <c r="K721" s="351">
        <f t="shared" si="61"/>
        <v>12</v>
      </c>
      <c r="L721" s="352">
        <v>12</v>
      </c>
      <c r="M721" s="448" t="str">
        <f>IF(L721="nio","",VLOOKUP(L721,'3-Productie normen'!$B$31:$H$45,3,FALSE))</f>
        <v>1 x per maand</v>
      </c>
      <c r="N721" s="353" t="e">
        <f t="shared" si="60"/>
        <v>#DIV/0!</v>
      </c>
      <c r="O721" s="354">
        <f>IF(L721="nio",0,IF(L721&gt;0,VLOOKUP(H721,'3-Productie normen'!A:P,VLOOKUP(L721,'3-Productie normen'!$B$31:$C$45,2,FALSE),FALSE)))/VLOOKUP(B721,'2-Kosten per locatie'!$A$13:$D$36,4,FALSE)</f>
        <v>0</v>
      </c>
      <c r="P721" s="82" t="str">
        <f>VLOOKUP(H721,'3-Productie normen'!A:T,20,FALSE)</f>
        <v>V</v>
      </c>
      <c r="Q721" s="447" t="s">
        <v>792</v>
      </c>
      <c r="S721" s="356">
        <f t="shared" si="63"/>
        <v>29.28</v>
      </c>
    </row>
    <row r="722" spans="1:19" ht="14.1" customHeight="1">
      <c r="A722" s="72">
        <f t="shared" si="62"/>
        <v>722</v>
      </c>
      <c r="B722" s="50" t="s">
        <v>814</v>
      </c>
      <c r="C722" s="50" t="s">
        <v>833</v>
      </c>
      <c r="D722" s="427" t="s">
        <v>1033</v>
      </c>
      <c r="E722" s="426" t="s">
        <v>612</v>
      </c>
      <c r="F722" s="349" t="s">
        <v>334</v>
      </c>
      <c r="G722" s="86" t="s">
        <v>226</v>
      </c>
      <c r="H722" s="86" t="s">
        <v>16</v>
      </c>
      <c r="I722" s="86" t="s">
        <v>781</v>
      </c>
      <c r="J722" s="343">
        <v>10.29</v>
      </c>
      <c r="K722" s="351">
        <f t="shared" si="61"/>
        <v>201</v>
      </c>
      <c r="L722" s="352">
        <v>201</v>
      </c>
      <c r="M722" s="448" t="str">
        <f>IF(L722="nio","",VLOOKUP(L722,'3-Productie normen'!$B$31:$H$45,3,FALSE))</f>
        <v>5 x per week (40 weken + 1 Zomer refreshbeurt)</v>
      </c>
      <c r="N722" s="353" t="e">
        <f t="shared" si="60"/>
        <v>#DIV/0!</v>
      </c>
      <c r="O722" s="354">
        <f>IF(L722="nio",0,IF(L722&gt;0,VLOOKUP(H722,'3-Productie normen'!A:P,VLOOKUP(L722,'3-Productie normen'!$B$31:$C$45,2,FALSE),FALSE)))/VLOOKUP(B722,'2-Kosten per locatie'!$A$13:$D$36,4,FALSE)</f>
        <v>0</v>
      </c>
      <c r="P722" s="82" t="str">
        <f>VLOOKUP(H722,'3-Productie normen'!A:T,20,FALSE)</f>
        <v>S</v>
      </c>
      <c r="Q722" s="447" t="s">
        <v>984</v>
      </c>
      <c r="S722" s="356">
        <f t="shared" si="63"/>
        <v>2068.29</v>
      </c>
    </row>
    <row r="723" spans="1:19" ht="14.1" customHeight="1">
      <c r="A723" s="72">
        <f t="shared" si="62"/>
        <v>723</v>
      </c>
      <c r="B723" s="50" t="s">
        <v>814</v>
      </c>
      <c r="C723" s="50" t="s">
        <v>833</v>
      </c>
      <c r="D723" s="427" t="s">
        <v>1033</v>
      </c>
      <c r="E723" s="426" t="s">
        <v>612</v>
      </c>
      <c r="F723" s="349" t="s">
        <v>336</v>
      </c>
      <c r="G723" s="86" t="s">
        <v>298</v>
      </c>
      <c r="H723" s="50" t="s">
        <v>241</v>
      </c>
      <c r="I723" s="86" t="s">
        <v>780</v>
      </c>
      <c r="J723" s="343">
        <v>50.2</v>
      </c>
      <c r="K723" s="351">
        <f t="shared" si="61"/>
        <v>201</v>
      </c>
      <c r="L723" s="352">
        <v>201</v>
      </c>
      <c r="M723" s="448" t="str">
        <f>IF(L723="nio","",VLOOKUP(L723,'3-Productie normen'!$B$31:$H$45,3,FALSE))</f>
        <v>5 x per week (40 weken + 1 Zomer refreshbeurt)</v>
      </c>
      <c r="N723" s="353" t="e">
        <f t="shared" si="60"/>
        <v>#DIV/0!</v>
      </c>
      <c r="O723" s="354">
        <f>IF(L723="nio",0,IF(L723&gt;0,VLOOKUP(H723,'3-Productie normen'!A:P,VLOOKUP(L723,'3-Productie normen'!$B$31:$C$45,2,FALSE),FALSE)))/VLOOKUP(B723,'2-Kosten per locatie'!$A$13:$D$36,4,FALSE)</f>
        <v>0</v>
      </c>
      <c r="P723" s="82" t="str">
        <f>VLOOKUP(H723,'3-Productie normen'!A:T,20,FALSE)</f>
        <v>L</v>
      </c>
      <c r="Q723" s="447" t="s">
        <v>875</v>
      </c>
      <c r="S723" s="356">
        <f t="shared" si="63"/>
        <v>10090.200000000001</v>
      </c>
    </row>
    <row r="724" spans="1:19" ht="14.1" customHeight="1">
      <c r="A724" s="72">
        <f t="shared" si="62"/>
        <v>724</v>
      </c>
      <c r="B724" s="50" t="s">
        <v>814</v>
      </c>
      <c r="C724" s="50" t="s">
        <v>833</v>
      </c>
      <c r="D724" s="427" t="s">
        <v>1033</v>
      </c>
      <c r="E724" s="426" t="s">
        <v>612</v>
      </c>
      <c r="F724" s="349" t="s">
        <v>389</v>
      </c>
      <c r="G724" s="86" t="s">
        <v>209</v>
      </c>
      <c r="H724" s="63" t="s">
        <v>1040</v>
      </c>
      <c r="I724" s="86" t="s">
        <v>780</v>
      </c>
      <c r="J724" s="343">
        <v>2.4500000000000002</v>
      </c>
      <c r="K724" s="351">
        <f t="shared" si="61"/>
        <v>12</v>
      </c>
      <c r="L724" s="352">
        <v>12</v>
      </c>
      <c r="M724" s="448" t="str">
        <f>IF(L724="nio","",VLOOKUP(L724,'3-Productie normen'!$B$31:$H$45,3,FALSE))</f>
        <v>1 x per maand</v>
      </c>
      <c r="N724" s="353" t="e">
        <f t="shared" si="60"/>
        <v>#DIV/0!</v>
      </c>
      <c r="O724" s="354">
        <f>IF(L724="nio",0,IF(L724&gt;0,VLOOKUP(H724,'3-Productie normen'!A:P,VLOOKUP(L724,'3-Productie normen'!$B$31:$C$45,2,FALSE),FALSE)))/VLOOKUP(B724,'2-Kosten per locatie'!$A$13:$D$36,4,FALSE)</f>
        <v>0</v>
      </c>
      <c r="P724" s="82" t="str">
        <f>VLOOKUP(H724,'3-Productie normen'!A:T,20,FALSE)</f>
        <v>V</v>
      </c>
      <c r="Q724" s="447" t="s">
        <v>792</v>
      </c>
      <c r="S724" s="356">
        <f t="shared" si="63"/>
        <v>29.400000000000002</v>
      </c>
    </row>
    <row r="725" spans="1:19" ht="14.1" customHeight="1">
      <c r="A725" s="72">
        <f t="shared" si="62"/>
        <v>725</v>
      </c>
      <c r="B725" s="50" t="s">
        <v>814</v>
      </c>
      <c r="C725" s="50" t="s">
        <v>833</v>
      </c>
      <c r="D725" s="427" t="s">
        <v>1033</v>
      </c>
      <c r="E725" s="426" t="s">
        <v>612</v>
      </c>
      <c r="F725" s="349" t="s">
        <v>337</v>
      </c>
      <c r="G725" s="86" t="s">
        <v>298</v>
      </c>
      <c r="H725" s="50" t="s">
        <v>241</v>
      </c>
      <c r="I725" s="86" t="s">
        <v>780</v>
      </c>
      <c r="J725" s="343">
        <v>50.17</v>
      </c>
      <c r="K725" s="351">
        <f t="shared" si="61"/>
        <v>201</v>
      </c>
      <c r="L725" s="352">
        <v>201</v>
      </c>
      <c r="M725" s="448" t="str">
        <f>IF(L725="nio","",VLOOKUP(L725,'3-Productie normen'!$B$31:$H$45,3,FALSE))</f>
        <v>5 x per week (40 weken + 1 Zomer refreshbeurt)</v>
      </c>
      <c r="N725" s="353" t="e">
        <f t="shared" si="60"/>
        <v>#DIV/0!</v>
      </c>
      <c r="O725" s="354">
        <f>IF(L725="nio",0,IF(L725&gt;0,VLOOKUP(H725,'3-Productie normen'!A:P,VLOOKUP(L725,'3-Productie normen'!$B$31:$C$45,2,FALSE),FALSE)))/VLOOKUP(B725,'2-Kosten per locatie'!$A$13:$D$36,4,FALSE)</f>
        <v>0</v>
      </c>
      <c r="P725" s="82" t="str">
        <f>VLOOKUP(H725,'3-Productie normen'!A:T,20,FALSE)</f>
        <v>L</v>
      </c>
      <c r="Q725" s="447" t="s">
        <v>881</v>
      </c>
      <c r="S725" s="356">
        <f t="shared" si="63"/>
        <v>10084.17</v>
      </c>
    </row>
    <row r="726" spans="1:19" ht="14.1" customHeight="1">
      <c r="A726" s="72">
        <f t="shared" si="62"/>
        <v>726</v>
      </c>
      <c r="B726" s="50" t="s">
        <v>814</v>
      </c>
      <c r="C726" s="50" t="s">
        <v>833</v>
      </c>
      <c r="D726" s="427" t="s">
        <v>1033</v>
      </c>
      <c r="E726" s="426" t="s">
        <v>612</v>
      </c>
      <c r="F726" s="349" t="s">
        <v>650</v>
      </c>
      <c r="G726" s="86" t="s">
        <v>209</v>
      </c>
      <c r="H726" s="63" t="s">
        <v>1040</v>
      </c>
      <c r="I726" s="86" t="s">
        <v>780</v>
      </c>
      <c r="J726" s="343">
        <v>2.44</v>
      </c>
      <c r="K726" s="351">
        <f t="shared" si="61"/>
        <v>12</v>
      </c>
      <c r="L726" s="352">
        <v>12</v>
      </c>
      <c r="M726" s="448" t="str">
        <f>IF(L726="nio","",VLOOKUP(L726,'3-Productie normen'!$B$31:$H$45,3,FALSE))</f>
        <v>1 x per maand</v>
      </c>
      <c r="N726" s="353" t="e">
        <f t="shared" si="60"/>
        <v>#DIV/0!</v>
      </c>
      <c r="O726" s="354">
        <f>IF(L726="nio",0,IF(L726&gt;0,VLOOKUP(H726,'3-Productie normen'!A:P,VLOOKUP(L726,'3-Productie normen'!$B$31:$C$45,2,FALSE),FALSE)))/VLOOKUP(B726,'2-Kosten per locatie'!$A$13:$D$36,4,FALSE)</f>
        <v>0</v>
      </c>
      <c r="P726" s="82" t="str">
        <f>VLOOKUP(H726,'3-Productie normen'!A:T,20,FALSE)</f>
        <v>V</v>
      </c>
      <c r="Q726" s="447" t="s">
        <v>792</v>
      </c>
      <c r="S726" s="356">
        <f t="shared" si="63"/>
        <v>29.28</v>
      </c>
    </row>
    <row r="727" spans="1:19" ht="14.1" customHeight="1">
      <c r="A727" s="72">
        <f t="shared" si="62"/>
        <v>727</v>
      </c>
      <c r="B727" s="50" t="s">
        <v>814</v>
      </c>
      <c r="C727" s="50" t="s">
        <v>833</v>
      </c>
      <c r="D727" s="427" t="s">
        <v>1033</v>
      </c>
      <c r="E727" s="426" t="s">
        <v>612</v>
      </c>
      <c r="F727" s="349" t="s">
        <v>338</v>
      </c>
      <c r="G727" s="86" t="s">
        <v>226</v>
      </c>
      <c r="H727" s="86" t="s">
        <v>16</v>
      </c>
      <c r="I727" s="86" t="s">
        <v>781</v>
      </c>
      <c r="J727" s="343">
        <v>10.26</v>
      </c>
      <c r="K727" s="351">
        <f t="shared" si="61"/>
        <v>201</v>
      </c>
      <c r="L727" s="352">
        <v>201</v>
      </c>
      <c r="M727" s="448" t="str">
        <f>IF(L727="nio","",VLOOKUP(L727,'3-Productie normen'!$B$31:$H$45,3,FALSE))</f>
        <v>5 x per week (40 weken + 1 Zomer refreshbeurt)</v>
      </c>
      <c r="N727" s="353" t="e">
        <f t="shared" si="60"/>
        <v>#DIV/0!</v>
      </c>
      <c r="O727" s="354">
        <f>IF(L727="nio",0,IF(L727&gt;0,VLOOKUP(H727,'3-Productie normen'!A:P,VLOOKUP(L727,'3-Productie normen'!$B$31:$C$45,2,FALSE),FALSE)))/VLOOKUP(B727,'2-Kosten per locatie'!$A$13:$D$36,4,FALSE)</f>
        <v>0</v>
      </c>
      <c r="P727" s="82" t="str">
        <f>VLOOKUP(H727,'3-Productie normen'!A:T,20,FALSE)</f>
        <v>S</v>
      </c>
      <c r="Q727" s="447" t="s">
        <v>985</v>
      </c>
      <c r="S727" s="356">
        <f t="shared" si="63"/>
        <v>2062.2599999999998</v>
      </c>
    </row>
    <row r="728" spans="1:19" ht="14.1" customHeight="1">
      <c r="A728" s="72">
        <f t="shared" si="62"/>
        <v>728</v>
      </c>
      <c r="B728" s="50" t="s">
        <v>814</v>
      </c>
      <c r="C728" s="50" t="s">
        <v>833</v>
      </c>
      <c r="D728" s="427" t="s">
        <v>1033</v>
      </c>
      <c r="E728" s="426" t="s">
        <v>612</v>
      </c>
      <c r="F728" s="349" t="s">
        <v>339</v>
      </c>
      <c r="G728" s="86" t="s">
        <v>298</v>
      </c>
      <c r="H728" s="50" t="s">
        <v>241</v>
      </c>
      <c r="I728" s="86" t="s">
        <v>780</v>
      </c>
      <c r="J728" s="343">
        <v>50.19</v>
      </c>
      <c r="K728" s="351">
        <f t="shared" si="61"/>
        <v>201</v>
      </c>
      <c r="L728" s="352">
        <v>201</v>
      </c>
      <c r="M728" s="448" t="str">
        <f>IF(L728="nio","",VLOOKUP(L728,'3-Productie normen'!$B$31:$H$45,3,FALSE))</f>
        <v>5 x per week (40 weken + 1 Zomer refreshbeurt)</v>
      </c>
      <c r="N728" s="353" t="e">
        <f t="shared" si="60"/>
        <v>#DIV/0!</v>
      </c>
      <c r="O728" s="354">
        <f>IF(L728="nio",0,IF(L728&gt;0,VLOOKUP(H728,'3-Productie normen'!A:P,VLOOKUP(L728,'3-Productie normen'!$B$31:$C$45,2,FALSE),FALSE)))/VLOOKUP(B728,'2-Kosten per locatie'!$A$13:$D$36,4,FALSE)</f>
        <v>0</v>
      </c>
      <c r="P728" s="82" t="str">
        <f>VLOOKUP(H728,'3-Productie normen'!A:T,20,FALSE)</f>
        <v>L</v>
      </c>
      <c r="Q728" s="447" t="s">
        <v>935</v>
      </c>
      <c r="S728" s="356">
        <f t="shared" si="63"/>
        <v>10088.189999999999</v>
      </c>
    </row>
    <row r="729" spans="1:19" ht="14.1" customHeight="1">
      <c r="A729" s="72">
        <f t="shared" si="62"/>
        <v>729</v>
      </c>
      <c r="B729" s="50" t="s">
        <v>814</v>
      </c>
      <c r="C729" s="50" t="s">
        <v>833</v>
      </c>
      <c r="D729" s="427" t="s">
        <v>1033</v>
      </c>
      <c r="E729" s="426" t="s">
        <v>612</v>
      </c>
      <c r="F729" s="349" t="s">
        <v>411</v>
      </c>
      <c r="G729" s="86" t="s">
        <v>209</v>
      </c>
      <c r="H729" s="63" t="s">
        <v>1040</v>
      </c>
      <c r="I729" s="86" t="s">
        <v>780</v>
      </c>
      <c r="J729" s="343">
        <v>2.44</v>
      </c>
      <c r="K729" s="351">
        <f t="shared" si="61"/>
        <v>12</v>
      </c>
      <c r="L729" s="352">
        <v>12</v>
      </c>
      <c r="M729" s="448" t="str">
        <f>IF(L729="nio","",VLOOKUP(L729,'3-Productie normen'!$B$31:$H$45,3,FALSE))</f>
        <v>1 x per maand</v>
      </c>
      <c r="N729" s="353" t="e">
        <f t="shared" si="60"/>
        <v>#DIV/0!</v>
      </c>
      <c r="O729" s="354">
        <f>IF(L729="nio",0,IF(L729&gt;0,VLOOKUP(H729,'3-Productie normen'!A:P,VLOOKUP(L729,'3-Productie normen'!$B$31:$C$45,2,FALSE),FALSE)))/VLOOKUP(B729,'2-Kosten per locatie'!$A$13:$D$36,4,FALSE)</f>
        <v>0</v>
      </c>
      <c r="P729" s="82" t="str">
        <f>VLOOKUP(H729,'3-Productie normen'!A:T,20,FALSE)</f>
        <v>V</v>
      </c>
      <c r="Q729" s="447" t="s">
        <v>792</v>
      </c>
      <c r="S729" s="356">
        <f t="shared" si="63"/>
        <v>29.28</v>
      </c>
    </row>
    <row r="730" spans="1:19" ht="14.1" customHeight="1">
      <c r="A730" s="72">
        <f t="shared" si="62"/>
        <v>730</v>
      </c>
      <c r="B730" s="50" t="s">
        <v>814</v>
      </c>
      <c r="C730" s="50" t="s">
        <v>833</v>
      </c>
      <c r="D730" s="427" t="s">
        <v>1033</v>
      </c>
      <c r="E730" s="426" t="s">
        <v>612</v>
      </c>
      <c r="F730" s="349" t="s">
        <v>340</v>
      </c>
      <c r="G730" s="86" t="s">
        <v>298</v>
      </c>
      <c r="H730" s="86" t="s">
        <v>241</v>
      </c>
      <c r="I730" s="86" t="s">
        <v>780</v>
      </c>
      <c r="J730" s="343">
        <v>50.05</v>
      </c>
      <c r="K730" s="351">
        <f t="shared" si="61"/>
        <v>201</v>
      </c>
      <c r="L730" s="352">
        <v>201</v>
      </c>
      <c r="M730" s="448" t="str">
        <f>IF(L730="nio","",VLOOKUP(L730,'3-Productie normen'!$B$31:$H$45,3,FALSE))</f>
        <v>5 x per week (40 weken + 1 Zomer refreshbeurt)</v>
      </c>
      <c r="N730" s="353" t="e">
        <f t="shared" si="60"/>
        <v>#DIV/0!</v>
      </c>
      <c r="O730" s="354">
        <f>IF(L730="nio",0,IF(L730&gt;0,VLOOKUP(H730,'3-Productie normen'!A:P,VLOOKUP(L730,'3-Productie normen'!$B$31:$C$45,2,FALSE),FALSE)))/VLOOKUP(B730,'2-Kosten per locatie'!$A$13:$D$36,4,FALSE)</f>
        <v>0</v>
      </c>
      <c r="P730" s="82" t="str">
        <f>VLOOKUP(H730,'3-Productie normen'!A:T,20,FALSE)</f>
        <v>L</v>
      </c>
      <c r="Q730" s="447" t="s">
        <v>879</v>
      </c>
      <c r="S730" s="356">
        <f t="shared" si="63"/>
        <v>10060.049999999999</v>
      </c>
    </row>
    <row r="731" spans="1:19" ht="14.1" customHeight="1">
      <c r="A731" s="72">
        <f t="shared" si="62"/>
        <v>731</v>
      </c>
      <c r="B731" s="50" t="s">
        <v>814</v>
      </c>
      <c r="C731" s="50" t="s">
        <v>833</v>
      </c>
      <c r="D731" s="427" t="s">
        <v>1033</v>
      </c>
      <c r="E731" s="426" t="s">
        <v>612</v>
      </c>
      <c r="F731" s="349" t="s">
        <v>341</v>
      </c>
      <c r="G731" s="86" t="s">
        <v>201</v>
      </c>
      <c r="H731" s="432" t="s">
        <v>198</v>
      </c>
      <c r="I731" s="86" t="s">
        <v>780</v>
      </c>
      <c r="J731" s="343">
        <v>11.14</v>
      </c>
      <c r="K731" s="351">
        <f t="shared" si="61"/>
        <v>200</v>
      </c>
      <c r="L731" s="352">
        <v>200</v>
      </c>
      <c r="M731" s="448" t="str">
        <f>IF(L731="nio","",VLOOKUP(L731,'3-Productie normen'!$B$31:$H$45,3,FALSE))</f>
        <v>5 x per week (40 weken)</v>
      </c>
      <c r="N731" s="353" t="e">
        <f t="shared" si="60"/>
        <v>#DIV/0!</v>
      </c>
      <c r="O731" s="354">
        <f>IF(L731="nio",0,IF(L731&gt;0,VLOOKUP(H731,'3-Productie normen'!A:P,VLOOKUP(L731,'3-Productie normen'!$B$31:$C$45,2,FALSE),FALSE)))/VLOOKUP(B731,'2-Kosten per locatie'!$A$13:$D$36,4,FALSE)</f>
        <v>0</v>
      </c>
      <c r="P731" s="82" t="str">
        <f>VLOOKUP(H731,'3-Productie normen'!A:T,20,FALSE)</f>
        <v>V</v>
      </c>
      <c r="Q731" s="447" t="s">
        <v>792</v>
      </c>
      <c r="S731" s="356">
        <f t="shared" si="63"/>
        <v>2228</v>
      </c>
    </row>
    <row r="732" spans="1:19" ht="14.1" customHeight="1">
      <c r="A732" s="72">
        <f t="shared" si="62"/>
        <v>732</v>
      </c>
      <c r="B732" s="50" t="s">
        <v>814</v>
      </c>
      <c r="C732" s="50" t="s">
        <v>833</v>
      </c>
      <c r="D732" s="427" t="s">
        <v>1033</v>
      </c>
      <c r="E732" s="426" t="s">
        <v>612</v>
      </c>
      <c r="F732" s="349" t="s">
        <v>342</v>
      </c>
      <c r="G732" s="86" t="s">
        <v>201</v>
      </c>
      <c r="H732" s="432" t="s">
        <v>198</v>
      </c>
      <c r="I732" s="86" t="s">
        <v>779</v>
      </c>
      <c r="J732" s="343">
        <v>5.1399998664856001</v>
      </c>
      <c r="K732" s="351">
        <f t="shared" si="61"/>
        <v>200</v>
      </c>
      <c r="L732" s="352">
        <v>200</v>
      </c>
      <c r="M732" s="448" t="str">
        <f>IF(L732="nio","",VLOOKUP(L732,'3-Productie normen'!$B$31:$H$45,3,FALSE))</f>
        <v>5 x per week (40 weken)</v>
      </c>
      <c r="N732" s="353" t="e">
        <f t="shared" si="60"/>
        <v>#DIV/0!</v>
      </c>
      <c r="O732" s="354">
        <f>IF(L732="nio",0,IF(L732&gt;0,VLOOKUP(H732,'3-Productie normen'!A:P,VLOOKUP(L732,'3-Productie normen'!$B$31:$C$45,2,FALSE),FALSE)))/VLOOKUP(B732,'2-Kosten per locatie'!$A$13:$D$36,4,FALSE)</f>
        <v>0</v>
      </c>
      <c r="P732" s="82" t="str">
        <f>VLOOKUP(H732,'3-Productie normen'!A:T,20,FALSE)</f>
        <v>V</v>
      </c>
      <c r="Q732" s="447" t="s">
        <v>873</v>
      </c>
      <c r="S732" s="356">
        <f t="shared" si="63"/>
        <v>1027.9999732971201</v>
      </c>
    </row>
    <row r="733" spans="1:19" ht="14.1" customHeight="1">
      <c r="A733" s="72">
        <f t="shared" si="62"/>
        <v>733</v>
      </c>
      <c r="B733" s="50" t="s">
        <v>814</v>
      </c>
      <c r="C733" s="50" t="s">
        <v>833</v>
      </c>
      <c r="D733" s="427" t="s">
        <v>1033</v>
      </c>
      <c r="E733" s="426" t="s">
        <v>612</v>
      </c>
      <c r="F733" s="349" t="s">
        <v>342</v>
      </c>
      <c r="G733" s="86" t="s">
        <v>201</v>
      </c>
      <c r="H733" s="432" t="s">
        <v>198</v>
      </c>
      <c r="I733" s="86" t="s">
        <v>780</v>
      </c>
      <c r="J733" s="343">
        <v>78.19</v>
      </c>
      <c r="K733" s="351">
        <f t="shared" si="61"/>
        <v>200</v>
      </c>
      <c r="L733" s="352">
        <v>200</v>
      </c>
      <c r="M733" s="448" t="str">
        <f>IF(L733="nio","",VLOOKUP(L733,'3-Productie normen'!$B$31:$H$45,3,FALSE))</f>
        <v>5 x per week (40 weken)</v>
      </c>
      <c r="N733" s="353" t="e">
        <f t="shared" si="60"/>
        <v>#DIV/0!</v>
      </c>
      <c r="O733" s="354">
        <f>IF(L733="nio",0,IF(L733&gt;0,VLOOKUP(H733,'3-Productie normen'!A:P,VLOOKUP(L733,'3-Productie normen'!$B$31:$C$45,2,FALSE),FALSE)))/VLOOKUP(B733,'2-Kosten per locatie'!$A$13:$D$36,4,FALSE)</f>
        <v>0</v>
      </c>
      <c r="P733" s="82" t="str">
        <f>VLOOKUP(H733,'3-Productie normen'!A:T,20,FALSE)</f>
        <v>V</v>
      </c>
      <c r="Q733" s="447" t="s">
        <v>792</v>
      </c>
      <c r="S733" s="356">
        <f t="shared" si="63"/>
        <v>15638</v>
      </c>
    </row>
    <row r="734" spans="1:19" ht="14.1" customHeight="1">
      <c r="A734" s="72">
        <f t="shared" si="62"/>
        <v>734</v>
      </c>
      <c r="B734" s="50" t="s">
        <v>814</v>
      </c>
      <c r="C734" s="50" t="s">
        <v>833</v>
      </c>
      <c r="D734" s="427" t="s">
        <v>1033</v>
      </c>
      <c r="E734" s="426" t="s">
        <v>612</v>
      </c>
      <c r="F734" s="349" t="s">
        <v>343</v>
      </c>
      <c r="G734" s="86" t="s">
        <v>199</v>
      </c>
      <c r="H734" s="432" t="s">
        <v>198</v>
      </c>
      <c r="I734" s="86" t="s">
        <v>779</v>
      </c>
      <c r="J734" s="343">
        <v>4.8400001525878897</v>
      </c>
      <c r="K734" s="351">
        <f t="shared" si="61"/>
        <v>200</v>
      </c>
      <c r="L734" s="352">
        <v>200</v>
      </c>
      <c r="M734" s="448" t="str">
        <f>IF(L734="nio","",VLOOKUP(L734,'3-Productie normen'!$B$31:$H$45,3,FALSE))</f>
        <v>5 x per week (40 weken)</v>
      </c>
      <c r="N734" s="353" t="e">
        <f t="shared" si="60"/>
        <v>#DIV/0!</v>
      </c>
      <c r="O734" s="354">
        <f>IF(L734="nio",0,IF(L734&gt;0,VLOOKUP(H734,'3-Productie normen'!A:P,VLOOKUP(L734,'3-Productie normen'!$B$31:$C$45,2,FALSE),FALSE)))/VLOOKUP(B734,'2-Kosten per locatie'!$A$13:$D$36,4,FALSE)</f>
        <v>0</v>
      </c>
      <c r="P734" s="82" t="str">
        <f>VLOOKUP(H734,'3-Productie normen'!A:T,20,FALSE)</f>
        <v>V</v>
      </c>
      <c r="Q734" s="447" t="s">
        <v>873</v>
      </c>
      <c r="S734" s="356">
        <f t="shared" si="63"/>
        <v>968.0000305175779</v>
      </c>
    </row>
    <row r="735" spans="1:19" ht="14.1" customHeight="1">
      <c r="A735" s="72">
        <f t="shared" si="62"/>
        <v>735</v>
      </c>
      <c r="B735" s="50" t="s">
        <v>814</v>
      </c>
      <c r="C735" s="50" t="s">
        <v>833</v>
      </c>
      <c r="D735" s="427" t="s">
        <v>1033</v>
      </c>
      <c r="E735" s="426" t="s">
        <v>612</v>
      </c>
      <c r="F735" s="349" t="s">
        <v>343</v>
      </c>
      <c r="G735" s="86" t="s">
        <v>199</v>
      </c>
      <c r="H735" s="432" t="s">
        <v>198</v>
      </c>
      <c r="I735" s="86" t="s">
        <v>780</v>
      </c>
      <c r="J735" s="343">
        <v>7.59</v>
      </c>
      <c r="K735" s="351">
        <f t="shared" si="61"/>
        <v>200</v>
      </c>
      <c r="L735" s="352">
        <v>200</v>
      </c>
      <c r="M735" s="448" t="str">
        <f>IF(L735="nio","",VLOOKUP(L735,'3-Productie normen'!$B$31:$H$45,3,FALSE))</f>
        <v>5 x per week (40 weken)</v>
      </c>
      <c r="N735" s="353" t="e">
        <f t="shared" si="60"/>
        <v>#DIV/0!</v>
      </c>
      <c r="O735" s="354">
        <f>IF(L735="nio",0,IF(L735&gt;0,VLOOKUP(H735,'3-Productie normen'!A:P,VLOOKUP(L735,'3-Productie normen'!$B$31:$C$45,2,FALSE),FALSE)))/VLOOKUP(B735,'2-Kosten per locatie'!$A$13:$D$36,4,FALSE)</f>
        <v>0</v>
      </c>
      <c r="P735" s="82" t="str">
        <f>VLOOKUP(H735,'3-Productie normen'!A:T,20,FALSE)</f>
        <v>V</v>
      </c>
      <c r="Q735" s="447" t="s">
        <v>792</v>
      </c>
      <c r="S735" s="356">
        <f t="shared" si="63"/>
        <v>1518</v>
      </c>
    </row>
    <row r="736" spans="1:19" ht="14.1" customHeight="1">
      <c r="A736" s="72">
        <f t="shared" si="62"/>
        <v>736</v>
      </c>
      <c r="B736" s="50" t="s">
        <v>814</v>
      </c>
      <c r="C736" s="50" t="s">
        <v>833</v>
      </c>
      <c r="D736" s="427" t="s">
        <v>1033</v>
      </c>
      <c r="E736" s="426" t="s">
        <v>612</v>
      </c>
      <c r="F736" s="349" t="s">
        <v>344</v>
      </c>
      <c r="G736" s="86" t="s">
        <v>204</v>
      </c>
      <c r="H736" s="86" t="s">
        <v>203</v>
      </c>
      <c r="I736" s="86" t="s">
        <v>780</v>
      </c>
      <c r="J736" s="343">
        <v>5.17</v>
      </c>
      <c r="K736" s="351">
        <f t="shared" si="61"/>
        <v>201</v>
      </c>
      <c r="L736" s="352">
        <v>201</v>
      </c>
      <c r="M736" s="448" t="str">
        <f>IF(L736="nio","",VLOOKUP(L736,'3-Productie normen'!$B$31:$H$45,3,FALSE))</f>
        <v>5 x per week (40 weken + 1 Zomer refreshbeurt)</v>
      </c>
      <c r="N736" s="353" t="e">
        <f t="shared" si="60"/>
        <v>#DIV/0!</v>
      </c>
      <c r="O736" s="354">
        <f>IF(L736="nio",0,IF(L736&gt;0,VLOOKUP(H736,'3-Productie normen'!A:P,VLOOKUP(L736,'3-Productie normen'!$B$31:$C$45,2,FALSE),FALSE)))/VLOOKUP(B736,'2-Kosten per locatie'!$A$13:$D$36,4,FALSE)</f>
        <v>0</v>
      </c>
      <c r="P736" s="82" t="str">
        <f>VLOOKUP(H736,'3-Productie normen'!A:T,20,FALSE)</f>
        <v>B</v>
      </c>
      <c r="Q736" s="447" t="s">
        <v>792</v>
      </c>
      <c r="S736" s="356">
        <f t="shared" si="63"/>
        <v>1039.17</v>
      </c>
    </row>
    <row r="737" spans="1:19" ht="14.1" customHeight="1">
      <c r="A737" s="72">
        <f t="shared" si="62"/>
        <v>737</v>
      </c>
      <c r="B737" s="50" t="s">
        <v>814</v>
      </c>
      <c r="C737" s="50" t="s">
        <v>833</v>
      </c>
      <c r="D737" s="427" t="s">
        <v>1033</v>
      </c>
      <c r="E737" s="426" t="s">
        <v>612</v>
      </c>
      <c r="F737" s="349" t="s">
        <v>345</v>
      </c>
      <c r="G737" s="86" t="s">
        <v>215</v>
      </c>
      <c r="H737" s="63" t="s">
        <v>1040</v>
      </c>
      <c r="I737" s="86" t="s">
        <v>92</v>
      </c>
      <c r="J737" s="343">
        <v>3.6</v>
      </c>
      <c r="K737" s="351">
        <f t="shared" si="61"/>
        <v>12</v>
      </c>
      <c r="L737" s="352">
        <v>12</v>
      </c>
      <c r="M737" s="448" t="str">
        <f>IF(L737="nio","",VLOOKUP(L737,'3-Productie normen'!$B$31:$H$45,3,FALSE))</f>
        <v>1 x per maand</v>
      </c>
      <c r="N737" s="353" t="e">
        <f t="shared" si="60"/>
        <v>#DIV/0!</v>
      </c>
      <c r="O737" s="354">
        <f>IF(L737="nio",0,IF(L737&gt;0,VLOOKUP(H737,'3-Productie normen'!A:P,VLOOKUP(L737,'3-Productie normen'!$B$31:$C$45,2,FALSE),FALSE)))/VLOOKUP(B737,'2-Kosten per locatie'!$A$13:$D$36,4,FALSE)</f>
        <v>0</v>
      </c>
      <c r="P737" s="82" t="str">
        <f>VLOOKUP(H737,'3-Productie normen'!A:T,20,FALSE)</f>
        <v>V</v>
      </c>
      <c r="Q737" s="447" t="s">
        <v>853</v>
      </c>
      <c r="S737" s="356">
        <f t="shared" si="63"/>
        <v>43.2</v>
      </c>
    </row>
    <row r="738" spans="1:19" ht="14.1" customHeight="1">
      <c r="A738" s="72">
        <f t="shared" si="62"/>
        <v>738</v>
      </c>
      <c r="B738" s="50" t="s">
        <v>814</v>
      </c>
      <c r="C738" s="50" t="s">
        <v>833</v>
      </c>
      <c r="D738" s="427" t="s">
        <v>1033</v>
      </c>
      <c r="E738" s="426" t="s">
        <v>612</v>
      </c>
      <c r="F738" s="349" t="s">
        <v>346</v>
      </c>
      <c r="G738" s="86" t="s">
        <v>206</v>
      </c>
      <c r="H738" s="65" t="s">
        <v>1053</v>
      </c>
      <c r="I738" s="86" t="s">
        <v>92</v>
      </c>
      <c r="J738" s="343">
        <v>1.98</v>
      </c>
      <c r="K738" s="351" t="str">
        <f t="shared" si="61"/>
        <v>nio</v>
      </c>
      <c r="L738" s="352" t="s">
        <v>804</v>
      </c>
      <c r="M738" s="448" t="str">
        <f>IF(L738="nio","",VLOOKUP(L738,'3-Productie normen'!$B$31:$H$45,3,FALSE))</f>
        <v/>
      </c>
      <c r="N738" s="353">
        <f t="shared" si="60"/>
        <v>0</v>
      </c>
      <c r="O738" s="354">
        <f>IF(L738="nio",0,IF(L738&gt;0,VLOOKUP(H738,'3-Productie normen'!A:P,VLOOKUP(L738,'3-Productie normen'!$B$31:$C$45,2,FALSE),FALSE)))/VLOOKUP(B738,'2-Kosten per locatie'!$A$13:$D$36,4,FALSE)</f>
        <v>0</v>
      </c>
      <c r="P738" s="82">
        <f>VLOOKUP(H738,'3-Productie normen'!A:T,20,FALSE)</f>
        <v>0</v>
      </c>
      <c r="Q738" s="447" t="s">
        <v>883</v>
      </c>
      <c r="S738" s="356">
        <f t="shared" si="63"/>
        <v>0</v>
      </c>
    </row>
    <row r="739" spans="1:19" ht="14.1" customHeight="1">
      <c r="A739" s="72">
        <f t="shared" si="62"/>
        <v>739</v>
      </c>
      <c r="B739" s="50" t="s">
        <v>814</v>
      </c>
      <c r="C739" s="50" t="s">
        <v>833</v>
      </c>
      <c r="D739" s="427" t="s">
        <v>1033</v>
      </c>
      <c r="E739" s="426" t="s">
        <v>612</v>
      </c>
      <c r="F739" s="349" t="s">
        <v>348</v>
      </c>
      <c r="G739" s="86" t="s">
        <v>226</v>
      </c>
      <c r="H739" s="86" t="s">
        <v>16</v>
      </c>
      <c r="I739" s="86" t="s">
        <v>781</v>
      </c>
      <c r="J739" s="343">
        <v>5</v>
      </c>
      <c r="K739" s="351">
        <f t="shared" si="61"/>
        <v>201</v>
      </c>
      <c r="L739" s="352">
        <v>201</v>
      </c>
      <c r="M739" s="448" t="str">
        <f>IF(L739="nio","",VLOOKUP(L739,'3-Productie normen'!$B$31:$H$45,3,FALSE))</f>
        <v>5 x per week (40 weken + 1 Zomer refreshbeurt)</v>
      </c>
      <c r="N739" s="353" t="e">
        <f t="shared" si="60"/>
        <v>#DIV/0!</v>
      </c>
      <c r="O739" s="354">
        <f>IF(L739="nio",0,IF(L739&gt;0,VLOOKUP(H739,'3-Productie normen'!A:P,VLOOKUP(L739,'3-Productie normen'!$B$31:$C$45,2,FALSE),FALSE)))/VLOOKUP(B739,'2-Kosten per locatie'!$A$13:$D$36,4,FALSE)</f>
        <v>0</v>
      </c>
      <c r="P739" s="82" t="str">
        <f>VLOOKUP(H739,'3-Productie normen'!A:T,20,FALSE)</f>
        <v>S</v>
      </c>
      <c r="Q739" s="447" t="s">
        <v>986</v>
      </c>
      <c r="S739" s="356">
        <f t="shared" si="63"/>
        <v>1005</v>
      </c>
    </row>
    <row r="740" spans="1:19" ht="14.1" customHeight="1">
      <c r="A740" s="72">
        <f t="shared" si="62"/>
        <v>740</v>
      </c>
      <c r="B740" s="50" t="s">
        <v>814</v>
      </c>
      <c r="C740" s="50" t="s">
        <v>833</v>
      </c>
      <c r="D740" s="427" t="s">
        <v>1033</v>
      </c>
      <c r="E740" s="426" t="s">
        <v>612</v>
      </c>
      <c r="F740" s="349" t="s">
        <v>349</v>
      </c>
      <c r="G740" s="86" t="s">
        <v>206</v>
      </c>
      <c r="H740" s="65" t="s">
        <v>1053</v>
      </c>
      <c r="I740" s="86" t="s">
        <v>92</v>
      </c>
      <c r="J740" s="343">
        <v>1.1499999999999999</v>
      </c>
      <c r="K740" s="351" t="str">
        <f t="shared" si="61"/>
        <v>nio</v>
      </c>
      <c r="L740" s="352" t="s">
        <v>804</v>
      </c>
      <c r="M740" s="448" t="str">
        <f>IF(L740="nio","",VLOOKUP(L740,'3-Productie normen'!$B$31:$H$45,3,FALSE))</f>
        <v/>
      </c>
      <c r="N740" s="353">
        <f t="shared" si="60"/>
        <v>0</v>
      </c>
      <c r="O740" s="354">
        <f>IF(L740="nio",0,IF(L740&gt;0,VLOOKUP(H740,'3-Productie normen'!A:P,VLOOKUP(L740,'3-Productie normen'!$B$31:$C$45,2,FALSE),FALSE)))/VLOOKUP(B740,'2-Kosten per locatie'!$A$13:$D$36,4,FALSE)</f>
        <v>0</v>
      </c>
      <c r="P740" s="82">
        <f>VLOOKUP(H740,'3-Productie normen'!A:T,20,FALSE)</f>
        <v>0</v>
      </c>
      <c r="Q740" s="447" t="s">
        <v>887</v>
      </c>
      <c r="S740" s="356">
        <f t="shared" si="63"/>
        <v>0</v>
      </c>
    </row>
    <row r="741" spans="1:19" ht="14.1" customHeight="1">
      <c r="A741" s="72">
        <f t="shared" si="62"/>
        <v>741</v>
      </c>
      <c r="B741" s="50" t="s">
        <v>814</v>
      </c>
      <c r="C741" s="50" t="s">
        <v>833</v>
      </c>
      <c r="D741" s="427" t="s">
        <v>1033</v>
      </c>
      <c r="E741" s="426" t="s">
        <v>612</v>
      </c>
      <c r="F741" s="349" t="s">
        <v>350</v>
      </c>
      <c r="G741" s="86" t="s">
        <v>206</v>
      </c>
      <c r="H741" s="65" t="s">
        <v>1053</v>
      </c>
      <c r="I741" s="86" t="s">
        <v>92</v>
      </c>
      <c r="J741" s="343">
        <v>7.07</v>
      </c>
      <c r="K741" s="351" t="str">
        <f t="shared" si="61"/>
        <v>nio</v>
      </c>
      <c r="L741" s="352" t="s">
        <v>804</v>
      </c>
      <c r="M741" s="448" t="str">
        <f>IF(L741="nio","",VLOOKUP(L741,'3-Productie normen'!$B$31:$H$45,3,FALSE))</f>
        <v/>
      </c>
      <c r="N741" s="353">
        <f t="shared" si="60"/>
        <v>0</v>
      </c>
      <c r="O741" s="354">
        <f>IF(L741="nio",0,IF(L741&gt;0,VLOOKUP(H741,'3-Productie normen'!A:P,VLOOKUP(L741,'3-Productie normen'!$B$31:$C$45,2,FALSE),FALSE)))/VLOOKUP(B741,'2-Kosten per locatie'!$A$13:$D$36,4,FALSE)</f>
        <v>0</v>
      </c>
      <c r="P741" s="82">
        <f>VLOOKUP(H741,'3-Productie normen'!A:T,20,FALSE)</f>
        <v>0</v>
      </c>
      <c r="Q741" s="447" t="s">
        <v>871</v>
      </c>
      <c r="S741" s="356">
        <f t="shared" si="63"/>
        <v>0</v>
      </c>
    </row>
    <row r="742" spans="1:19" ht="14.1" customHeight="1">
      <c r="A742" s="72">
        <f t="shared" si="62"/>
        <v>742</v>
      </c>
      <c r="B742" s="50" t="s">
        <v>814</v>
      </c>
      <c r="C742" s="50" t="s">
        <v>833</v>
      </c>
      <c r="D742" s="427" t="s">
        <v>1033</v>
      </c>
      <c r="E742" s="426" t="s">
        <v>612</v>
      </c>
      <c r="F742" s="349" t="s">
        <v>351</v>
      </c>
      <c r="G742" s="86" t="s">
        <v>226</v>
      </c>
      <c r="H742" s="86" t="s">
        <v>16</v>
      </c>
      <c r="I742" s="86" t="s">
        <v>781</v>
      </c>
      <c r="J742" s="343">
        <v>5.09</v>
      </c>
      <c r="K742" s="351">
        <f t="shared" si="61"/>
        <v>201</v>
      </c>
      <c r="L742" s="352">
        <v>201</v>
      </c>
      <c r="M742" s="448" t="str">
        <f>IF(L742="nio","",VLOOKUP(L742,'3-Productie normen'!$B$31:$H$45,3,FALSE))</f>
        <v>5 x per week (40 weken + 1 Zomer refreshbeurt)</v>
      </c>
      <c r="N742" s="353" t="e">
        <f t="shared" si="60"/>
        <v>#DIV/0!</v>
      </c>
      <c r="O742" s="354">
        <f>IF(L742="nio",0,IF(L742&gt;0,VLOOKUP(H742,'3-Productie normen'!A:P,VLOOKUP(L742,'3-Productie normen'!$B$31:$C$45,2,FALSE),FALSE)))/VLOOKUP(B742,'2-Kosten per locatie'!$A$13:$D$36,4,FALSE)</f>
        <v>0</v>
      </c>
      <c r="P742" s="82" t="str">
        <f>VLOOKUP(H742,'3-Productie normen'!A:T,20,FALSE)</f>
        <v>S</v>
      </c>
      <c r="Q742" s="447" t="s">
        <v>986</v>
      </c>
      <c r="S742" s="356">
        <f t="shared" si="63"/>
        <v>1023.0899999999999</v>
      </c>
    </row>
    <row r="743" spans="1:19" ht="14.1" customHeight="1">
      <c r="A743" s="72">
        <f t="shared" si="62"/>
        <v>743</v>
      </c>
      <c r="B743" s="50" t="s">
        <v>814</v>
      </c>
      <c r="C743" s="50" t="s">
        <v>833</v>
      </c>
      <c r="D743" s="427" t="s">
        <v>1033</v>
      </c>
      <c r="E743" s="426" t="s">
        <v>612</v>
      </c>
      <c r="F743" s="349" t="s">
        <v>352</v>
      </c>
      <c r="G743" s="86" t="s">
        <v>329</v>
      </c>
      <c r="H743" s="86" t="s">
        <v>203</v>
      </c>
      <c r="I743" s="86" t="s">
        <v>780</v>
      </c>
      <c r="J743" s="343">
        <v>7.36</v>
      </c>
      <c r="K743" s="351">
        <f t="shared" si="61"/>
        <v>201</v>
      </c>
      <c r="L743" s="352">
        <v>201</v>
      </c>
      <c r="M743" s="448" t="str">
        <f>IF(L743="nio","",VLOOKUP(L743,'3-Productie normen'!$B$31:$H$45,3,FALSE))</f>
        <v>5 x per week (40 weken + 1 Zomer refreshbeurt)</v>
      </c>
      <c r="N743" s="353" t="e">
        <f t="shared" si="60"/>
        <v>#DIV/0!</v>
      </c>
      <c r="O743" s="354">
        <f>IF(L743="nio",0,IF(L743&gt;0,VLOOKUP(H743,'3-Productie normen'!A:P,VLOOKUP(L743,'3-Productie normen'!$B$31:$C$45,2,FALSE),FALSE)))/VLOOKUP(B743,'2-Kosten per locatie'!$A$13:$D$36,4,FALSE)</f>
        <v>0</v>
      </c>
      <c r="P743" s="82" t="str">
        <f>VLOOKUP(H743,'3-Productie normen'!A:T,20,FALSE)</f>
        <v>B</v>
      </c>
      <c r="Q743" s="447" t="s">
        <v>792</v>
      </c>
      <c r="S743" s="356">
        <f t="shared" si="63"/>
        <v>1479.3600000000001</v>
      </c>
    </row>
    <row r="744" spans="1:19" ht="14.1" customHeight="1">
      <c r="A744" s="72">
        <f t="shared" si="62"/>
        <v>744</v>
      </c>
      <c r="B744" s="50" t="s">
        <v>814</v>
      </c>
      <c r="C744" s="50" t="s">
        <v>833</v>
      </c>
      <c r="D744" s="427" t="s">
        <v>1033</v>
      </c>
      <c r="E744" s="426" t="s">
        <v>612</v>
      </c>
      <c r="F744" s="349" t="s">
        <v>353</v>
      </c>
      <c r="G744" s="86" t="s">
        <v>215</v>
      </c>
      <c r="H744" s="63" t="s">
        <v>1040</v>
      </c>
      <c r="I744" s="86" t="s">
        <v>91</v>
      </c>
      <c r="J744" s="343">
        <v>4.59</v>
      </c>
      <c r="K744" s="351">
        <f t="shared" si="61"/>
        <v>12</v>
      </c>
      <c r="L744" s="352">
        <v>12</v>
      </c>
      <c r="M744" s="448" t="str">
        <f>IF(L744="nio","",VLOOKUP(L744,'3-Productie normen'!$B$31:$H$45,3,FALSE))</f>
        <v>1 x per maand</v>
      </c>
      <c r="N744" s="353" t="e">
        <f t="shared" si="60"/>
        <v>#DIV/0!</v>
      </c>
      <c r="O744" s="354">
        <f>IF(L744="nio",0,IF(L744&gt;0,VLOOKUP(H744,'3-Productie normen'!A:P,VLOOKUP(L744,'3-Productie normen'!$B$31:$C$45,2,FALSE),FALSE)))/VLOOKUP(B744,'2-Kosten per locatie'!$A$13:$D$36,4,FALSE)</f>
        <v>0</v>
      </c>
      <c r="P744" s="82" t="str">
        <f>VLOOKUP(H744,'3-Productie normen'!A:T,20,FALSE)</f>
        <v>V</v>
      </c>
      <c r="Q744" s="447" t="s">
        <v>987</v>
      </c>
      <c r="S744" s="356">
        <f t="shared" si="63"/>
        <v>55.08</v>
      </c>
    </row>
    <row r="745" spans="1:19" ht="14.1" customHeight="1">
      <c r="A745" s="72">
        <f t="shared" si="62"/>
        <v>745</v>
      </c>
      <c r="B745" s="50" t="s">
        <v>814</v>
      </c>
      <c r="C745" s="50" t="s">
        <v>833</v>
      </c>
      <c r="D745" s="427" t="s">
        <v>1033</v>
      </c>
      <c r="E745" s="426" t="s">
        <v>612</v>
      </c>
      <c r="F745" s="349" t="s">
        <v>354</v>
      </c>
      <c r="G745" s="86" t="s">
        <v>226</v>
      </c>
      <c r="H745" s="81" t="s">
        <v>16</v>
      </c>
      <c r="I745" s="86" t="s">
        <v>781</v>
      </c>
      <c r="J745" s="343">
        <v>4.74</v>
      </c>
      <c r="K745" s="351">
        <f t="shared" si="61"/>
        <v>201</v>
      </c>
      <c r="L745" s="352">
        <v>201</v>
      </c>
      <c r="M745" s="448" t="str">
        <f>IF(L745="nio","",VLOOKUP(L745,'3-Productie normen'!$B$31:$H$45,3,FALSE))</f>
        <v>5 x per week (40 weken + 1 Zomer refreshbeurt)</v>
      </c>
      <c r="N745" s="353" t="e">
        <f t="shared" si="60"/>
        <v>#DIV/0!</v>
      </c>
      <c r="O745" s="354">
        <f>IF(L745="nio",0,IF(L745&gt;0,VLOOKUP(H745,'3-Productie normen'!A:P,VLOOKUP(L745,'3-Productie normen'!$B$31:$C$45,2,FALSE),FALSE)))/VLOOKUP(B745,'2-Kosten per locatie'!$A$13:$D$36,4,FALSE)</f>
        <v>0</v>
      </c>
      <c r="P745" s="82" t="str">
        <f>VLOOKUP(H745,'3-Productie normen'!A:T,20,FALSE)</f>
        <v>S</v>
      </c>
      <c r="Q745" s="447" t="s">
        <v>986</v>
      </c>
      <c r="S745" s="356">
        <f t="shared" si="63"/>
        <v>952.74</v>
      </c>
    </row>
    <row r="746" spans="1:19" ht="14.1" customHeight="1">
      <c r="A746" s="72">
        <f t="shared" si="62"/>
        <v>746</v>
      </c>
      <c r="B746" s="50" t="s">
        <v>814</v>
      </c>
      <c r="C746" s="50" t="s">
        <v>833</v>
      </c>
      <c r="D746" s="427" t="s">
        <v>1033</v>
      </c>
      <c r="E746" s="426" t="s">
        <v>612</v>
      </c>
      <c r="F746" s="349" t="s">
        <v>355</v>
      </c>
      <c r="G746" s="86" t="s">
        <v>279</v>
      </c>
      <c r="H746" s="81" t="s">
        <v>203</v>
      </c>
      <c r="I746" s="86" t="s">
        <v>780</v>
      </c>
      <c r="J746" s="343">
        <v>10.8999996185303</v>
      </c>
      <c r="K746" s="351">
        <f t="shared" si="61"/>
        <v>201</v>
      </c>
      <c r="L746" s="352">
        <v>201</v>
      </c>
      <c r="M746" s="448" t="str">
        <f>IF(L746="nio","",VLOOKUP(L746,'3-Productie normen'!$B$31:$H$45,3,FALSE))</f>
        <v>5 x per week (40 weken + 1 Zomer refreshbeurt)</v>
      </c>
      <c r="N746" s="353" t="e">
        <f t="shared" si="60"/>
        <v>#DIV/0!</v>
      </c>
      <c r="O746" s="354">
        <f>IF(L746="nio",0,IF(L746&gt;0,VLOOKUP(H746,'3-Productie normen'!A:P,VLOOKUP(L746,'3-Productie normen'!$B$31:$C$45,2,FALSE),FALSE)))/VLOOKUP(B746,'2-Kosten per locatie'!$A$13:$D$36,4,FALSE)</f>
        <v>0</v>
      </c>
      <c r="P746" s="82" t="str">
        <f>VLOOKUP(H746,'3-Productie normen'!A:T,20,FALSE)</f>
        <v>B</v>
      </c>
      <c r="Q746" s="447" t="s">
        <v>792</v>
      </c>
      <c r="S746" s="356">
        <f t="shared" si="63"/>
        <v>2190.8999233245904</v>
      </c>
    </row>
    <row r="747" spans="1:19" ht="14.1" customHeight="1">
      <c r="A747" s="72">
        <f t="shared" si="62"/>
        <v>747</v>
      </c>
      <c r="B747" s="50" t="s">
        <v>814</v>
      </c>
      <c r="C747" s="50" t="s">
        <v>833</v>
      </c>
      <c r="D747" s="427" t="s">
        <v>1033</v>
      </c>
      <c r="E747" s="426" t="s">
        <v>612</v>
      </c>
      <c r="F747" s="349" t="s">
        <v>355</v>
      </c>
      <c r="G747" s="86" t="s">
        <v>279</v>
      </c>
      <c r="H747" s="86" t="s">
        <v>203</v>
      </c>
      <c r="I747" s="86" t="s">
        <v>180</v>
      </c>
      <c r="J747" s="343">
        <v>54.71</v>
      </c>
      <c r="K747" s="351">
        <f t="shared" si="61"/>
        <v>201</v>
      </c>
      <c r="L747" s="352">
        <v>201</v>
      </c>
      <c r="M747" s="448" t="str">
        <f>IF(L747="nio","",VLOOKUP(L747,'3-Productie normen'!$B$31:$H$45,3,FALSE))</f>
        <v>5 x per week (40 weken + 1 Zomer refreshbeurt)</v>
      </c>
      <c r="N747" s="353" t="e">
        <f t="shared" si="60"/>
        <v>#DIV/0!</v>
      </c>
      <c r="O747" s="354">
        <f>IF(L747="nio",0,IF(L747&gt;0,VLOOKUP(H747,'3-Productie normen'!A:P,VLOOKUP(L747,'3-Productie normen'!$B$31:$C$45,2,FALSE),FALSE)))/VLOOKUP(B747,'2-Kosten per locatie'!$A$13:$D$36,4,FALSE)</f>
        <v>0</v>
      </c>
      <c r="P747" s="82" t="str">
        <f>VLOOKUP(H747,'3-Productie normen'!A:T,20,FALSE)</f>
        <v>B</v>
      </c>
      <c r="Q747" s="447" t="s">
        <v>792</v>
      </c>
      <c r="S747" s="356">
        <f t="shared" si="63"/>
        <v>10996.710000000001</v>
      </c>
    </row>
    <row r="748" spans="1:19" ht="14.1" customHeight="1">
      <c r="A748" s="72">
        <f t="shared" si="62"/>
        <v>748</v>
      </c>
      <c r="B748" s="50" t="s">
        <v>814</v>
      </c>
      <c r="C748" s="50" t="s">
        <v>833</v>
      </c>
      <c r="D748" s="427" t="s">
        <v>1033</v>
      </c>
      <c r="E748" s="426" t="s">
        <v>612</v>
      </c>
      <c r="F748" s="349" t="s">
        <v>356</v>
      </c>
      <c r="G748" s="86" t="s">
        <v>398</v>
      </c>
      <c r="H748" s="86" t="s">
        <v>203</v>
      </c>
      <c r="I748" s="86" t="s">
        <v>180</v>
      </c>
      <c r="J748" s="343">
        <v>19.309999999999999</v>
      </c>
      <c r="K748" s="351">
        <f t="shared" si="61"/>
        <v>120</v>
      </c>
      <c r="L748" s="352">
        <v>120</v>
      </c>
      <c r="M748" s="448" t="str">
        <f>IF(L748="nio","",VLOOKUP(L748,'3-Productie normen'!$B$31:$H$45,3,FALSE))</f>
        <v>3 x per week (40 weken)</v>
      </c>
      <c r="N748" s="353" t="e">
        <f t="shared" si="60"/>
        <v>#DIV/0!</v>
      </c>
      <c r="O748" s="354">
        <f>IF(L748="nio",0,IF(L748&gt;0,VLOOKUP(H748,'3-Productie normen'!A:P,VLOOKUP(L748,'3-Productie normen'!$B$31:$C$45,2,FALSE),FALSE)))/VLOOKUP(B748,'2-Kosten per locatie'!$A$13:$D$36,4,FALSE)</f>
        <v>0</v>
      </c>
      <c r="P748" s="82" t="str">
        <f>VLOOKUP(H748,'3-Productie normen'!A:T,20,FALSE)</f>
        <v>B</v>
      </c>
      <c r="Q748" s="447" t="s">
        <v>792</v>
      </c>
      <c r="S748" s="356">
        <f t="shared" si="63"/>
        <v>2317.1999999999998</v>
      </c>
    </row>
    <row r="749" spans="1:19" ht="14.1" customHeight="1">
      <c r="A749" s="72">
        <f t="shared" si="62"/>
        <v>749</v>
      </c>
      <c r="B749" s="50" t="s">
        <v>814</v>
      </c>
      <c r="C749" s="50" t="s">
        <v>833</v>
      </c>
      <c r="D749" s="427" t="s">
        <v>1034</v>
      </c>
      <c r="E749" s="426" t="s">
        <v>612</v>
      </c>
      <c r="F749" s="349" t="s">
        <v>357</v>
      </c>
      <c r="G749" s="86" t="s">
        <v>235</v>
      </c>
      <c r="H749" s="65" t="s">
        <v>16</v>
      </c>
      <c r="I749" s="86" t="s">
        <v>781</v>
      </c>
      <c r="J749" s="343">
        <v>5.56</v>
      </c>
      <c r="K749" s="351">
        <f t="shared" si="61"/>
        <v>255</v>
      </c>
      <c r="L749" s="352">
        <v>255</v>
      </c>
      <c r="M749" s="448" t="str">
        <f>IF(L749="nio","",VLOOKUP(L749,'3-Productie normen'!$B$31:$H$45,3,FALSE))</f>
        <v>5 x per week (52 weken)</v>
      </c>
      <c r="N749" s="353" t="e">
        <f t="shared" si="60"/>
        <v>#DIV/0!</v>
      </c>
      <c r="O749" s="354">
        <f>IF(L749="nio",0,IF(L749&gt;0,VLOOKUP(H749,'3-Productie normen'!A:P,VLOOKUP(L749,'3-Productie normen'!$B$31:$C$45,2,FALSE),FALSE)))/VLOOKUP(B749,'2-Kosten per locatie'!$A$13:$D$36,4,FALSE)</f>
        <v>0</v>
      </c>
      <c r="P749" s="82" t="str">
        <f>VLOOKUP(H749,'3-Productie normen'!A:T,20,FALSE)</f>
        <v>S</v>
      </c>
      <c r="Q749" s="447" t="s">
        <v>988</v>
      </c>
      <c r="S749" s="356">
        <f t="shared" si="63"/>
        <v>1417.8</v>
      </c>
    </row>
    <row r="750" spans="1:19" ht="14.1" customHeight="1">
      <c r="A750" s="72">
        <f t="shared" si="62"/>
        <v>750</v>
      </c>
      <c r="B750" s="50" t="s">
        <v>814</v>
      </c>
      <c r="C750" s="50" t="s">
        <v>833</v>
      </c>
      <c r="D750" s="427" t="s">
        <v>1034</v>
      </c>
      <c r="E750" s="426" t="s">
        <v>612</v>
      </c>
      <c r="F750" s="349" t="s">
        <v>358</v>
      </c>
      <c r="G750" s="86" t="s">
        <v>651</v>
      </c>
      <c r="H750" s="65" t="s">
        <v>203</v>
      </c>
      <c r="I750" s="86" t="s">
        <v>789</v>
      </c>
      <c r="J750" s="343">
        <v>18.170000000000002</v>
      </c>
      <c r="K750" s="351">
        <f t="shared" si="61"/>
        <v>255</v>
      </c>
      <c r="L750" s="352">
        <v>255</v>
      </c>
      <c r="M750" s="448" t="str">
        <f>IF(L750="nio","",VLOOKUP(L750,'3-Productie normen'!$B$31:$H$45,3,FALSE))</f>
        <v>5 x per week (52 weken)</v>
      </c>
      <c r="N750" s="353" t="e">
        <f t="shared" si="60"/>
        <v>#DIV/0!</v>
      </c>
      <c r="O750" s="354">
        <f>IF(L750="nio",0,IF(L750&gt;0,VLOOKUP(H750,'3-Productie normen'!A:P,VLOOKUP(L750,'3-Productie normen'!$B$31:$C$45,2,FALSE),FALSE)))/VLOOKUP(B750,'2-Kosten per locatie'!$A$13:$D$36,4,FALSE)</f>
        <v>0</v>
      </c>
      <c r="P750" s="82" t="str">
        <f>VLOOKUP(H750,'3-Productie normen'!A:T,20,FALSE)</f>
        <v>B</v>
      </c>
      <c r="Q750" s="447" t="s">
        <v>792</v>
      </c>
      <c r="S750" s="356">
        <f t="shared" si="63"/>
        <v>4633.3500000000004</v>
      </c>
    </row>
    <row r="751" spans="1:19" ht="14.1" customHeight="1">
      <c r="A751" s="72">
        <f t="shared" si="62"/>
        <v>751</v>
      </c>
      <c r="B751" s="50" t="s">
        <v>814</v>
      </c>
      <c r="C751" s="50" t="s">
        <v>833</v>
      </c>
      <c r="D751" s="427" t="s">
        <v>1034</v>
      </c>
      <c r="E751" s="426" t="s">
        <v>612</v>
      </c>
      <c r="F751" s="349" t="s">
        <v>360</v>
      </c>
      <c r="G751" s="86" t="s">
        <v>603</v>
      </c>
      <c r="H751" s="65" t="s">
        <v>1093</v>
      </c>
      <c r="I751" s="86" t="s">
        <v>779</v>
      </c>
      <c r="J751" s="343">
        <v>2.3199999332428001</v>
      </c>
      <c r="K751" s="351">
        <f t="shared" si="61"/>
        <v>255</v>
      </c>
      <c r="L751" s="352">
        <v>255</v>
      </c>
      <c r="M751" s="448" t="str">
        <f>IF(L751="nio","",VLOOKUP(L751,'3-Productie normen'!$B$31:$H$45,3,FALSE))</f>
        <v>5 x per week (52 weken)</v>
      </c>
      <c r="N751" s="353" t="e">
        <f t="shared" si="60"/>
        <v>#DIV/0!</v>
      </c>
      <c r="O751" s="354">
        <f>IF(L751="nio",0,IF(L751&gt;0,VLOOKUP(H751,'3-Productie normen'!A:P,VLOOKUP(L751,'3-Productie normen'!$B$31:$C$45,2,FALSE),FALSE)))/VLOOKUP(B751,'2-Kosten per locatie'!$A$13:$D$36,4,FALSE)</f>
        <v>0</v>
      </c>
      <c r="P751" s="82" t="str">
        <f>VLOOKUP(H751,'3-Productie normen'!A:T,20,FALSE)</f>
        <v>V</v>
      </c>
      <c r="Q751" s="447" t="s">
        <v>906</v>
      </c>
      <c r="S751" s="356">
        <f t="shared" si="63"/>
        <v>591.59998297691402</v>
      </c>
    </row>
    <row r="752" spans="1:19" ht="14.1" customHeight="1">
      <c r="A752" s="72">
        <f t="shared" si="62"/>
        <v>752</v>
      </c>
      <c r="B752" s="50" t="s">
        <v>814</v>
      </c>
      <c r="C752" s="50" t="s">
        <v>833</v>
      </c>
      <c r="D752" s="427" t="s">
        <v>1034</v>
      </c>
      <c r="E752" s="426" t="s">
        <v>612</v>
      </c>
      <c r="F752" s="349" t="s">
        <v>360</v>
      </c>
      <c r="G752" s="86" t="s">
        <v>603</v>
      </c>
      <c r="H752" s="65" t="s">
        <v>1093</v>
      </c>
      <c r="I752" s="86" t="s">
        <v>91</v>
      </c>
      <c r="J752" s="343">
        <v>47.05</v>
      </c>
      <c r="K752" s="351">
        <f t="shared" si="61"/>
        <v>255</v>
      </c>
      <c r="L752" s="352">
        <v>255</v>
      </c>
      <c r="M752" s="448" t="str">
        <f>IF(L752="nio","",VLOOKUP(L752,'3-Productie normen'!$B$31:$H$45,3,FALSE))</f>
        <v>5 x per week (52 weken)</v>
      </c>
      <c r="N752" s="353" t="e">
        <f t="shared" si="60"/>
        <v>#DIV/0!</v>
      </c>
      <c r="O752" s="354">
        <f>IF(L752="nio",0,IF(L752&gt;0,VLOOKUP(H752,'3-Productie normen'!A:P,VLOOKUP(L752,'3-Productie normen'!$B$31:$C$45,2,FALSE),FALSE)))/VLOOKUP(B752,'2-Kosten per locatie'!$A$13:$D$36,4,FALSE)</f>
        <v>0</v>
      </c>
      <c r="P752" s="82" t="str">
        <f>VLOOKUP(H752,'3-Productie normen'!A:T,20,FALSE)</f>
        <v>V</v>
      </c>
      <c r="Q752" s="447" t="s">
        <v>792</v>
      </c>
      <c r="S752" s="356">
        <f t="shared" si="63"/>
        <v>11997.75</v>
      </c>
    </row>
    <row r="753" spans="1:19" ht="14.1" customHeight="1">
      <c r="A753" s="72">
        <f t="shared" si="62"/>
        <v>753</v>
      </c>
      <c r="B753" s="50" t="s">
        <v>814</v>
      </c>
      <c r="C753" s="50" t="s">
        <v>833</v>
      </c>
      <c r="D753" s="427" t="s">
        <v>1034</v>
      </c>
      <c r="E753" s="426" t="s">
        <v>612</v>
      </c>
      <c r="F753" s="349" t="s">
        <v>361</v>
      </c>
      <c r="G753" s="86" t="s">
        <v>239</v>
      </c>
      <c r="H753" s="65" t="s">
        <v>731</v>
      </c>
      <c r="I753" s="86" t="s">
        <v>779</v>
      </c>
      <c r="J753" s="343">
        <v>1.20000004768372</v>
      </c>
      <c r="K753" s="351">
        <f t="shared" si="61"/>
        <v>255</v>
      </c>
      <c r="L753" s="352">
        <v>255</v>
      </c>
      <c r="M753" s="448" t="str">
        <f>IF(L753="nio","",VLOOKUP(L753,'3-Productie normen'!$B$31:$H$45,3,FALSE))</f>
        <v>5 x per week (52 weken)</v>
      </c>
      <c r="N753" s="353" t="e">
        <f t="shared" si="60"/>
        <v>#DIV/0!</v>
      </c>
      <c r="O753" s="354">
        <f>IF(L753="nio",0,IF(L753&gt;0,VLOOKUP(H753,'3-Productie normen'!A:P,VLOOKUP(L753,'3-Productie normen'!$B$31:$C$45,2,FALSE),FALSE)))/VLOOKUP(B753,'2-Kosten per locatie'!$A$13:$D$36,4,FALSE)</f>
        <v>0</v>
      </c>
      <c r="P753" s="82" t="str">
        <f>VLOOKUP(H753,'3-Productie normen'!A:T,20,FALSE)</f>
        <v>V</v>
      </c>
      <c r="Q753" s="447" t="s">
        <v>180</v>
      </c>
      <c r="S753" s="356">
        <f t="shared" si="63"/>
        <v>306.00001215934861</v>
      </c>
    </row>
    <row r="754" spans="1:19" ht="14.1" customHeight="1">
      <c r="A754" s="72">
        <f t="shared" si="62"/>
        <v>754</v>
      </c>
      <c r="B754" s="50" t="s">
        <v>814</v>
      </c>
      <c r="C754" s="50" t="s">
        <v>833</v>
      </c>
      <c r="D754" s="427" t="s">
        <v>1034</v>
      </c>
      <c r="E754" s="426" t="s">
        <v>612</v>
      </c>
      <c r="F754" s="349" t="s">
        <v>361</v>
      </c>
      <c r="G754" s="86" t="s">
        <v>1131</v>
      </c>
      <c r="H754" s="65" t="s">
        <v>731</v>
      </c>
      <c r="I754" s="86" t="s">
        <v>789</v>
      </c>
      <c r="J754" s="343">
        <v>107.23</v>
      </c>
      <c r="K754" s="351">
        <f t="shared" si="61"/>
        <v>255</v>
      </c>
      <c r="L754" s="352">
        <v>255</v>
      </c>
      <c r="M754" s="448" t="str">
        <f>IF(L754="nio","",VLOOKUP(L754,'3-Productie normen'!$B$31:$H$45,3,FALSE))</f>
        <v>5 x per week (52 weken)</v>
      </c>
      <c r="N754" s="353" t="e">
        <f t="shared" si="60"/>
        <v>#DIV/0!</v>
      </c>
      <c r="O754" s="354">
        <f>IF(L754="nio",0,IF(L754&gt;0,VLOOKUP(H754,'3-Productie normen'!A:P,VLOOKUP(L754,'3-Productie normen'!$B$31:$C$45,2,FALSE),FALSE)))/VLOOKUP(B754,'2-Kosten per locatie'!$A$13:$D$36,4,FALSE)</f>
        <v>0</v>
      </c>
      <c r="P754" s="82" t="str">
        <f>VLOOKUP(H754,'3-Productie normen'!A:T,20,FALSE)</f>
        <v>V</v>
      </c>
      <c r="Q754" s="447" t="s">
        <v>792</v>
      </c>
      <c r="S754" s="356">
        <f t="shared" si="63"/>
        <v>27343.65</v>
      </c>
    </row>
    <row r="755" spans="1:19" ht="14.1" customHeight="1">
      <c r="A755" s="72">
        <f t="shared" si="62"/>
        <v>755</v>
      </c>
      <c r="B755" s="50" t="s">
        <v>814</v>
      </c>
      <c r="C755" s="50" t="s">
        <v>833</v>
      </c>
      <c r="D755" s="427" t="s">
        <v>1034</v>
      </c>
      <c r="E755" s="426" t="s">
        <v>612</v>
      </c>
      <c r="F755" s="349" t="s">
        <v>362</v>
      </c>
      <c r="G755" s="86" t="s">
        <v>374</v>
      </c>
      <c r="H755" s="65" t="s">
        <v>1040</v>
      </c>
      <c r="I755" s="86" t="s">
        <v>780</v>
      </c>
      <c r="J755" s="343">
        <v>3.5</v>
      </c>
      <c r="K755" s="351">
        <f t="shared" si="61"/>
        <v>12</v>
      </c>
      <c r="L755" s="352">
        <v>12</v>
      </c>
      <c r="M755" s="448" t="str">
        <f>IF(L755="nio","",VLOOKUP(L755,'3-Productie normen'!$B$31:$H$45,3,FALSE))</f>
        <v>1 x per maand</v>
      </c>
      <c r="N755" s="353" t="e">
        <f t="shared" si="60"/>
        <v>#DIV/0!</v>
      </c>
      <c r="O755" s="354">
        <f>IF(L755="nio",0,IF(L755&gt;0,VLOOKUP(H755,'3-Productie normen'!A:P,VLOOKUP(L755,'3-Productie normen'!$B$31:$C$45,2,FALSE),FALSE)))/VLOOKUP(B755,'2-Kosten per locatie'!$A$13:$D$36,4,FALSE)</f>
        <v>0</v>
      </c>
      <c r="P755" s="82" t="str">
        <f>VLOOKUP(H755,'3-Productie normen'!A:T,20,FALSE)</f>
        <v>V</v>
      </c>
      <c r="Q755" s="447" t="s">
        <v>989</v>
      </c>
      <c r="S755" s="356">
        <f t="shared" si="63"/>
        <v>42</v>
      </c>
    </row>
    <row r="756" spans="1:19" ht="14.1" customHeight="1">
      <c r="A756" s="72">
        <f t="shared" si="62"/>
        <v>756</v>
      </c>
      <c r="B756" s="50" t="s">
        <v>814</v>
      </c>
      <c r="C756" s="50" t="s">
        <v>833</v>
      </c>
      <c r="D756" s="427" t="s">
        <v>1034</v>
      </c>
      <c r="E756" s="426" t="s">
        <v>612</v>
      </c>
      <c r="F756" s="349" t="s">
        <v>363</v>
      </c>
      <c r="G756" s="86" t="s">
        <v>374</v>
      </c>
      <c r="H756" s="65" t="s">
        <v>1040</v>
      </c>
      <c r="I756" s="86" t="s">
        <v>780</v>
      </c>
      <c r="J756" s="343">
        <v>2.86</v>
      </c>
      <c r="K756" s="351">
        <f t="shared" si="61"/>
        <v>12</v>
      </c>
      <c r="L756" s="352">
        <v>12</v>
      </c>
      <c r="M756" s="448" t="str">
        <f>IF(L756="nio","",VLOOKUP(L756,'3-Productie normen'!$B$31:$H$45,3,FALSE))</f>
        <v>1 x per maand</v>
      </c>
      <c r="N756" s="353" t="e">
        <f t="shared" si="60"/>
        <v>#DIV/0!</v>
      </c>
      <c r="O756" s="354">
        <f>IF(L756="nio",0,IF(L756&gt;0,VLOOKUP(H756,'3-Productie normen'!A:P,VLOOKUP(L756,'3-Productie normen'!$B$31:$C$45,2,FALSE),FALSE)))/VLOOKUP(B756,'2-Kosten per locatie'!$A$13:$D$36,4,FALSE)</f>
        <v>0</v>
      </c>
      <c r="P756" s="82" t="str">
        <f>VLOOKUP(H756,'3-Productie normen'!A:T,20,FALSE)</f>
        <v>V</v>
      </c>
      <c r="Q756" s="447" t="s">
        <v>989</v>
      </c>
      <c r="S756" s="356">
        <f t="shared" si="63"/>
        <v>34.32</v>
      </c>
    </row>
    <row r="757" spans="1:19" ht="14.1" customHeight="1">
      <c r="A757" s="72">
        <f t="shared" si="62"/>
        <v>757</v>
      </c>
      <c r="B757" s="50" t="s">
        <v>814</v>
      </c>
      <c r="C757" s="50" t="s">
        <v>833</v>
      </c>
      <c r="D757" s="427" t="s">
        <v>1034</v>
      </c>
      <c r="E757" s="426" t="s">
        <v>612</v>
      </c>
      <c r="F757" s="349" t="s">
        <v>364</v>
      </c>
      <c r="G757" s="86" t="s">
        <v>652</v>
      </c>
      <c r="H757" s="65" t="s">
        <v>1093</v>
      </c>
      <c r="I757" s="86" t="s">
        <v>789</v>
      </c>
      <c r="J757" s="343">
        <v>10.65</v>
      </c>
      <c r="K757" s="351">
        <f t="shared" si="61"/>
        <v>255</v>
      </c>
      <c r="L757" s="352">
        <v>255</v>
      </c>
      <c r="M757" s="448" t="str">
        <f>IF(L757="nio","",VLOOKUP(L757,'3-Productie normen'!$B$31:$H$45,3,FALSE))</f>
        <v>5 x per week (52 weken)</v>
      </c>
      <c r="N757" s="353" t="e">
        <f t="shared" si="60"/>
        <v>#DIV/0!</v>
      </c>
      <c r="O757" s="354">
        <f>IF(L757="nio",0,IF(L757&gt;0,VLOOKUP(H757,'3-Productie normen'!A:P,VLOOKUP(L757,'3-Productie normen'!$B$31:$C$45,2,FALSE),FALSE)))/VLOOKUP(B757,'2-Kosten per locatie'!$A$13:$D$36,4,FALSE)</f>
        <v>0</v>
      </c>
      <c r="P757" s="82" t="str">
        <f>VLOOKUP(H757,'3-Productie normen'!A:T,20,FALSE)</f>
        <v>V</v>
      </c>
      <c r="Q757" s="447" t="s">
        <v>990</v>
      </c>
      <c r="S757" s="356">
        <f t="shared" si="63"/>
        <v>2715.75</v>
      </c>
    </row>
    <row r="758" spans="1:19" ht="14.1" customHeight="1">
      <c r="A758" s="72">
        <f t="shared" si="62"/>
        <v>758</v>
      </c>
      <c r="B758" s="50" t="s">
        <v>814</v>
      </c>
      <c r="C758" s="50" t="s">
        <v>833</v>
      </c>
      <c r="D758" s="427" t="s">
        <v>1034</v>
      </c>
      <c r="E758" s="426" t="s">
        <v>612</v>
      </c>
      <c r="F758" s="349" t="s">
        <v>364</v>
      </c>
      <c r="G758" s="86" t="s">
        <v>652</v>
      </c>
      <c r="H758" s="65" t="s">
        <v>1093</v>
      </c>
      <c r="I758" s="86" t="s">
        <v>779</v>
      </c>
      <c r="J758" s="343">
        <v>5.5599999427795401</v>
      </c>
      <c r="K758" s="351">
        <f t="shared" si="61"/>
        <v>255</v>
      </c>
      <c r="L758" s="352">
        <v>255</v>
      </c>
      <c r="M758" s="448" t="str">
        <f>IF(L758="nio","",VLOOKUP(L758,'3-Productie normen'!$B$31:$H$45,3,FALSE))</f>
        <v>5 x per week (52 weken)</v>
      </c>
      <c r="N758" s="353" t="e">
        <f t="shared" ref="N758:N821" si="64">IF(L758="nio",0,IF(L758&gt;0,L758*J758/O758,0))</f>
        <v>#DIV/0!</v>
      </c>
      <c r="O758" s="354">
        <f>IF(L758="nio",0,IF(L758&gt;0,VLOOKUP(H758,'3-Productie normen'!A:P,VLOOKUP(L758,'3-Productie normen'!$B$31:$C$45,2,FALSE),FALSE)))/VLOOKUP(B758,'2-Kosten per locatie'!$A$13:$D$36,4,FALSE)</f>
        <v>0</v>
      </c>
      <c r="P758" s="82" t="str">
        <f>VLOOKUP(H758,'3-Productie normen'!A:T,20,FALSE)</f>
        <v>V</v>
      </c>
      <c r="Q758" s="447" t="s">
        <v>873</v>
      </c>
      <c r="S758" s="356">
        <f t="shared" si="63"/>
        <v>1417.7999854087827</v>
      </c>
    </row>
    <row r="759" spans="1:19" ht="14.1" customHeight="1">
      <c r="A759" s="72">
        <f t="shared" si="62"/>
        <v>759</v>
      </c>
      <c r="B759" s="50" t="s">
        <v>814</v>
      </c>
      <c r="C759" s="50" t="s">
        <v>833</v>
      </c>
      <c r="D759" s="427" t="s">
        <v>1034</v>
      </c>
      <c r="E759" s="426" t="s">
        <v>612</v>
      </c>
      <c r="F759" s="349" t="s">
        <v>366</v>
      </c>
      <c r="G759" s="86" t="s">
        <v>239</v>
      </c>
      <c r="H759" s="65" t="s">
        <v>731</v>
      </c>
      <c r="I759" s="86" t="s">
        <v>789</v>
      </c>
      <c r="J759" s="343">
        <v>56.6</v>
      </c>
      <c r="K759" s="351">
        <f t="shared" si="61"/>
        <v>255</v>
      </c>
      <c r="L759" s="352">
        <v>255</v>
      </c>
      <c r="M759" s="448" t="str">
        <f>IF(L759="nio","",VLOOKUP(L759,'3-Productie normen'!$B$31:$H$45,3,FALSE))</f>
        <v>5 x per week (52 weken)</v>
      </c>
      <c r="N759" s="353" t="e">
        <f t="shared" si="64"/>
        <v>#DIV/0!</v>
      </c>
      <c r="O759" s="354">
        <f>IF(L759="nio",0,IF(L759&gt;0,VLOOKUP(H759,'3-Productie normen'!A:P,VLOOKUP(L759,'3-Productie normen'!$B$31:$C$45,2,FALSE),FALSE)))/VLOOKUP(B759,'2-Kosten per locatie'!$A$13:$D$36,4,FALSE)</f>
        <v>0</v>
      </c>
      <c r="P759" s="82" t="str">
        <f>VLOOKUP(H759,'3-Productie normen'!A:T,20,FALSE)</f>
        <v>V</v>
      </c>
      <c r="Q759" s="447" t="s">
        <v>792</v>
      </c>
      <c r="S759" s="356">
        <f t="shared" si="63"/>
        <v>14433</v>
      </c>
    </row>
    <row r="760" spans="1:19" ht="14.1" customHeight="1">
      <c r="A760" s="72">
        <f t="shared" si="62"/>
        <v>760</v>
      </c>
      <c r="B760" s="50" t="s">
        <v>814</v>
      </c>
      <c r="C760" s="50" t="s">
        <v>833</v>
      </c>
      <c r="D760" s="427" t="s">
        <v>1034</v>
      </c>
      <c r="E760" s="426" t="s">
        <v>612</v>
      </c>
      <c r="F760" s="349" t="s">
        <v>367</v>
      </c>
      <c r="G760" s="86" t="s">
        <v>653</v>
      </c>
      <c r="H760" s="65" t="s">
        <v>1053</v>
      </c>
      <c r="I760" s="86" t="s">
        <v>786</v>
      </c>
      <c r="J760" s="343">
        <v>11.6000003814697</v>
      </c>
      <c r="K760" s="351" t="str">
        <f t="shared" si="61"/>
        <v>nio</v>
      </c>
      <c r="L760" s="352" t="s">
        <v>804</v>
      </c>
      <c r="M760" s="448" t="str">
        <f>IF(L760="nio","",VLOOKUP(L760,'3-Productie normen'!$B$31:$H$45,3,FALSE))</f>
        <v/>
      </c>
      <c r="N760" s="353">
        <f t="shared" si="64"/>
        <v>0</v>
      </c>
      <c r="O760" s="354">
        <f>IF(L760="nio",0,IF(L760&gt;0,VLOOKUP(H760,'3-Productie normen'!A:P,VLOOKUP(L760,'3-Productie normen'!$B$31:$C$45,2,FALSE),FALSE)))/VLOOKUP(B760,'2-Kosten per locatie'!$A$13:$D$36,4,FALSE)</f>
        <v>0</v>
      </c>
      <c r="P760" s="82">
        <f>VLOOKUP(H760,'3-Productie normen'!A:T,20,FALSE)</f>
        <v>0</v>
      </c>
      <c r="Q760" s="447" t="s">
        <v>792</v>
      </c>
      <c r="S760" s="356">
        <f t="shared" si="63"/>
        <v>0</v>
      </c>
    </row>
    <row r="761" spans="1:19" ht="14.1" customHeight="1">
      <c r="A761" s="72">
        <f t="shared" si="62"/>
        <v>761</v>
      </c>
      <c r="B761" s="50" t="s">
        <v>814</v>
      </c>
      <c r="C761" s="50" t="s">
        <v>833</v>
      </c>
      <c r="D761" s="427" t="s">
        <v>1034</v>
      </c>
      <c r="E761" s="426" t="s">
        <v>612</v>
      </c>
      <c r="F761" s="349" t="s">
        <v>369</v>
      </c>
      <c r="G761" s="86" t="s">
        <v>403</v>
      </c>
      <c r="H761" s="65" t="s">
        <v>16</v>
      </c>
      <c r="I761" s="86" t="s">
        <v>781</v>
      </c>
      <c r="J761" s="343">
        <v>15.3</v>
      </c>
      <c r="K761" s="351">
        <f t="shared" si="61"/>
        <v>255</v>
      </c>
      <c r="L761" s="352">
        <v>255</v>
      </c>
      <c r="M761" s="448" t="str">
        <f>IF(L761="nio","",VLOOKUP(L761,'3-Productie normen'!$B$31:$H$45,3,FALSE))</f>
        <v>5 x per week (52 weken)</v>
      </c>
      <c r="N761" s="353" t="e">
        <f t="shared" si="64"/>
        <v>#DIV/0!</v>
      </c>
      <c r="O761" s="354">
        <f>IF(L761="nio",0,IF(L761&gt;0,VLOOKUP(H761,'3-Productie normen'!A:P,VLOOKUP(L761,'3-Productie normen'!$B$31:$C$45,2,FALSE),FALSE)))/VLOOKUP(B761,'2-Kosten per locatie'!$A$13:$D$36,4,FALSE)</f>
        <v>0</v>
      </c>
      <c r="P761" s="82" t="str">
        <f>VLOOKUP(H761,'3-Productie normen'!A:T,20,FALSE)</f>
        <v>S</v>
      </c>
      <c r="Q761" s="447" t="s">
        <v>991</v>
      </c>
      <c r="S761" s="356">
        <f t="shared" si="63"/>
        <v>3901.5</v>
      </c>
    </row>
    <row r="762" spans="1:19" ht="14.1" customHeight="1">
      <c r="A762" s="72">
        <f t="shared" si="62"/>
        <v>762</v>
      </c>
      <c r="B762" s="50" t="s">
        <v>814</v>
      </c>
      <c r="C762" s="50" t="s">
        <v>833</v>
      </c>
      <c r="D762" s="427" t="s">
        <v>1034</v>
      </c>
      <c r="E762" s="426" t="s">
        <v>612</v>
      </c>
      <c r="F762" s="349" t="s">
        <v>370</v>
      </c>
      <c r="G762" s="86" t="s">
        <v>374</v>
      </c>
      <c r="H762" s="65" t="s">
        <v>1053</v>
      </c>
      <c r="I762" s="86" t="s">
        <v>91</v>
      </c>
      <c r="J762" s="343">
        <v>2.27</v>
      </c>
      <c r="K762" s="351" t="str">
        <f t="shared" si="61"/>
        <v>nio</v>
      </c>
      <c r="L762" s="352" t="s">
        <v>804</v>
      </c>
      <c r="M762" s="448" t="str">
        <f>IF(L762="nio","",VLOOKUP(L762,'3-Productie normen'!$B$31:$H$45,3,FALSE))</f>
        <v/>
      </c>
      <c r="N762" s="353">
        <f t="shared" si="64"/>
        <v>0</v>
      </c>
      <c r="O762" s="354">
        <f>IF(L762="nio",0,IF(L762&gt;0,VLOOKUP(H762,'3-Productie normen'!A:P,VLOOKUP(L762,'3-Productie normen'!$B$31:$C$45,2,FALSE),FALSE)))/VLOOKUP(B762,'2-Kosten per locatie'!$A$13:$D$36,4,FALSE)</f>
        <v>0</v>
      </c>
      <c r="P762" s="82">
        <f>VLOOKUP(H762,'3-Productie normen'!A:T,20,FALSE)</f>
        <v>0</v>
      </c>
      <c r="Q762" s="447" t="s">
        <v>792</v>
      </c>
      <c r="S762" s="356">
        <f t="shared" si="63"/>
        <v>0</v>
      </c>
    </row>
    <row r="763" spans="1:19" ht="14.1" customHeight="1">
      <c r="A763" s="72">
        <f t="shared" si="62"/>
        <v>763</v>
      </c>
      <c r="B763" s="50" t="s">
        <v>814</v>
      </c>
      <c r="C763" s="50" t="s">
        <v>833</v>
      </c>
      <c r="D763" s="427" t="s">
        <v>1034</v>
      </c>
      <c r="E763" s="426" t="s">
        <v>612</v>
      </c>
      <c r="F763" s="349" t="s">
        <v>371</v>
      </c>
      <c r="G763" s="86" t="s">
        <v>374</v>
      </c>
      <c r="H763" s="65" t="s">
        <v>1053</v>
      </c>
      <c r="I763" s="86" t="s">
        <v>91</v>
      </c>
      <c r="J763" s="343">
        <v>2.27</v>
      </c>
      <c r="K763" s="351" t="str">
        <f t="shared" si="61"/>
        <v>nio</v>
      </c>
      <c r="L763" s="352" t="s">
        <v>804</v>
      </c>
      <c r="M763" s="448" t="str">
        <f>IF(L763="nio","",VLOOKUP(L763,'3-Productie normen'!$B$31:$H$45,3,FALSE))</f>
        <v/>
      </c>
      <c r="N763" s="353">
        <f t="shared" si="64"/>
        <v>0</v>
      </c>
      <c r="O763" s="354">
        <f>IF(L763="nio",0,IF(L763&gt;0,VLOOKUP(H763,'3-Productie normen'!A:P,VLOOKUP(L763,'3-Productie normen'!$B$31:$C$45,2,FALSE),FALSE)))/VLOOKUP(B763,'2-Kosten per locatie'!$A$13:$D$36,4,FALSE)</f>
        <v>0</v>
      </c>
      <c r="P763" s="82">
        <f>VLOOKUP(H763,'3-Productie normen'!A:T,20,FALSE)</f>
        <v>0</v>
      </c>
      <c r="Q763" s="447" t="s">
        <v>792</v>
      </c>
      <c r="S763" s="356">
        <f t="shared" si="63"/>
        <v>0</v>
      </c>
    </row>
    <row r="764" spans="1:19" ht="14.1" customHeight="1">
      <c r="A764" s="72">
        <f t="shared" si="62"/>
        <v>764</v>
      </c>
      <c r="B764" s="50" t="s">
        <v>814</v>
      </c>
      <c r="C764" s="50" t="s">
        <v>833</v>
      </c>
      <c r="D764" s="427" t="s">
        <v>1033</v>
      </c>
      <c r="E764" s="426" t="s">
        <v>612</v>
      </c>
      <c r="F764" s="349" t="s">
        <v>372</v>
      </c>
      <c r="G764" s="86" t="s">
        <v>347</v>
      </c>
      <c r="H764" s="432" t="s">
        <v>198</v>
      </c>
      <c r="I764" s="86" t="s">
        <v>180</v>
      </c>
      <c r="J764" s="343">
        <v>24.49</v>
      </c>
      <c r="K764" s="351">
        <f t="shared" ref="K764:K827" si="65">L764</f>
        <v>200</v>
      </c>
      <c r="L764" s="352">
        <v>200</v>
      </c>
      <c r="M764" s="448" t="str">
        <f>IF(L764="nio","",VLOOKUP(L764,'3-Productie normen'!$B$31:$H$45,3,FALSE))</f>
        <v>5 x per week (40 weken)</v>
      </c>
      <c r="N764" s="353" t="e">
        <f t="shared" si="64"/>
        <v>#DIV/0!</v>
      </c>
      <c r="O764" s="354">
        <f>IF(L764="nio",0,IF(L764&gt;0,VLOOKUP(H764,'3-Productie normen'!A:P,VLOOKUP(L764,'3-Productie normen'!$B$31:$C$45,2,FALSE),FALSE)))/VLOOKUP(B764,'2-Kosten per locatie'!$A$13:$D$36,4,FALSE)</f>
        <v>0</v>
      </c>
      <c r="P764" s="82" t="str">
        <f>VLOOKUP(H764,'3-Productie normen'!A:T,20,FALSE)</f>
        <v>V</v>
      </c>
      <c r="Q764" s="447" t="s">
        <v>792</v>
      </c>
      <c r="S764" s="356">
        <f t="shared" si="63"/>
        <v>4898</v>
      </c>
    </row>
    <row r="765" spans="1:19" ht="14.1" customHeight="1">
      <c r="A765" s="72">
        <f t="shared" si="62"/>
        <v>765</v>
      </c>
      <c r="B765" s="50" t="s">
        <v>814</v>
      </c>
      <c r="C765" s="50" t="s">
        <v>833</v>
      </c>
      <c r="D765" s="427" t="s">
        <v>1033</v>
      </c>
      <c r="E765" s="426" t="s">
        <v>612</v>
      </c>
      <c r="F765" s="349" t="s">
        <v>372</v>
      </c>
      <c r="G765" s="86" t="s">
        <v>326</v>
      </c>
      <c r="H765" s="432" t="s">
        <v>198</v>
      </c>
      <c r="I765" s="86" t="s">
        <v>780</v>
      </c>
      <c r="J765" s="343">
        <v>129.63999999999999</v>
      </c>
      <c r="K765" s="351">
        <f t="shared" si="65"/>
        <v>200</v>
      </c>
      <c r="L765" s="352">
        <v>200</v>
      </c>
      <c r="M765" s="448" t="str">
        <f>IF(L765="nio","",VLOOKUP(L765,'3-Productie normen'!$B$31:$H$45,3,FALSE))</f>
        <v>5 x per week (40 weken)</v>
      </c>
      <c r="N765" s="353" t="e">
        <f t="shared" si="64"/>
        <v>#DIV/0!</v>
      </c>
      <c r="O765" s="354">
        <f>IF(L765="nio",0,IF(L765&gt;0,VLOOKUP(H765,'3-Productie normen'!A:P,VLOOKUP(L765,'3-Productie normen'!$B$31:$C$45,2,FALSE),FALSE)))/VLOOKUP(B765,'2-Kosten per locatie'!$A$13:$D$36,4,FALSE)</f>
        <v>0</v>
      </c>
      <c r="P765" s="82" t="str">
        <f>VLOOKUP(H765,'3-Productie normen'!A:T,20,FALSE)</f>
        <v>V</v>
      </c>
      <c r="Q765" s="447" t="s">
        <v>792</v>
      </c>
      <c r="S765" s="356">
        <f t="shared" si="63"/>
        <v>25927.999999999996</v>
      </c>
    </row>
    <row r="766" spans="1:19" ht="14.1" customHeight="1">
      <c r="A766" s="72">
        <f t="shared" si="62"/>
        <v>766</v>
      </c>
      <c r="B766" s="50" t="s">
        <v>814</v>
      </c>
      <c r="C766" s="50" t="s">
        <v>833</v>
      </c>
      <c r="D766" s="427" t="s">
        <v>1033</v>
      </c>
      <c r="E766" s="426" t="s">
        <v>612</v>
      </c>
      <c r="F766" s="349" t="s">
        <v>412</v>
      </c>
      <c r="G766" s="86" t="s">
        <v>209</v>
      </c>
      <c r="H766" s="63" t="s">
        <v>1040</v>
      </c>
      <c r="I766" s="86" t="s">
        <v>780</v>
      </c>
      <c r="J766" s="343">
        <v>1.35</v>
      </c>
      <c r="K766" s="351">
        <f t="shared" si="65"/>
        <v>12</v>
      </c>
      <c r="L766" s="352">
        <v>12</v>
      </c>
      <c r="M766" s="448" t="str">
        <f>IF(L766="nio","",VLOOKUP(L766,'3-Productie normen'!$B$31:$H$45,3,FALSE))</f>
        <v>1 x per maand</v>
      </c>
      <c r="N766" s="353" t="e">
        <f t="shared" si="64"/>
        <v>#DIV/0!</v>
      </c>
      <c r="O766" s="354">
        <f>IF(L766="nio",0,IF(L766&gt;0,VLOOKUP(H766,'3-Productie normen'!A:P,VLOOKUP(L766,'3-Productie normen'!$B$31:$C$45,2,FALSE),FALSE)))/VLOOKUP(B766,'2-Kosten per locatie'!$A$13:$D$36,4,FALSE)</f>
        <v>0</v>
      </c>
      <c r="P766" s="82" t="str">
        <f>VLOOKUP(H766,'3-Productie normen'!A:T,20,FALSE)</f>
        <v>V</v>
      </c>
      <c r="Q766" s="447" t="s">
        <v>792</v>
      </c>
      <c r="S766" s="356">
        <f t="shared" si="63"/>
        <v>16.200000000000003</v>
      </c>
    </row>
    <row r="767" spans="1:19" ht="14.1" customHeight="1">
      <c r="A767" s="72">
        <f t="shared" si="62"/>
        <v>767</v>
      </c>
      <c r="B767" s="50" t="s">
        <v>814</v>
      </c>
      <c r="C767" s="50" t="s">
        <v>833</v>
      </c>
      <c r="D767" s="427" t="s">
        <v>1033</v>
      </c>
      <c r="E767" s="426" t="s">
        <v>612</v>
      </c>
      <c r="F767" s="349" t="s">
        <v>413</v>
      </c>
      <c r="G767" s="86" t="s">
        <v>209</v>
      </c>
      <c r="H767" s="63" t="s">
        <v>1040</v>
      </c>
      <c r="I767" s="86" t="s">
        <v>780</v>
      </c>
      <c r="J767" s="343">
        <v>1.36</v>
      </c>
      <c r="K767" s="351">
        <f t="shared" si="65"/>
        <v>12</v>
      </c>
      <c r="L767" s="352">
        <v>12</v>
      </c>
      <c r="M767" s="448" t="str">
        <f>IF(L767="nio","",VLOOKUP(L767,'3-Productie normen'!$B$31:$H$45,3,FALSE))</f>
        <v>1 x per maand</v>
      </c>
      <c r="N767" s="353" t="e">
        <f t="shared" si="64"/>
        <v>#DIV/0!</v>
      </c>
      <c r="O767" s="354">
        <f>IF(L767="nio",0,IF(L767&gt;0,VLOOKUP(H767,'3-Productie normen'!A:P,VLOOKUP(L767,'3-Productie normen'!$B$31:$C$45,2,FALSE),FALSE)))/VLOOKUP(B767,'2-Kosten per locatie'!$A$13:$D$36,4,FALSE)</f>
        <v>0</v>
      </c>
      <c r="P767" s="82" t="str">
        <f>VLOOKUP(H767,'3-Productie normen'!A:T,20,FALSE)</f>
        <v>V</v>
      </c>
      <c r="Q767" s="447" t="s">
        <v>792</v>
      </c>
      <c r="S767" s="356">
        <f t="shared" si="63"/>
        <v>16.32</v>
      </c>
    </row>
    <row r="768" spans="1:19" ht="14.1" customHeight="1">
      <c r="A768" s="72">
        <f t="shared" si="62"/>
        <v>768</v>
      </c>
      <c r="B768" s="50" t="s">
        <v>814</v>
      </c>
      <c r="C768" s="50" t="s">
        <v>833</v>
      </c>
      <c r="D768" s="427" t="s">
        <v>1033</v>
      </c>
      <c r="E768" s="426" t="s">
        <v>612</v>
      </c>
      <c r="F768" s="349" t="s">
        <v>373</v>
      </c>
      <c r="G768" s="86" t="s">
        <v>201</v>
      </c>
      <c r="H768" s="432" t="s">
        <v>198</v>
      </c>
      <c r="I768" s="86" t="s">
        <v>91</v>
      </c>
      <c r="J768" s="343">
        <v>35.270000000000003</v>
      </c>
      <c r="K768" s="351">
        <f t="shared" si="65"/>
        <v>200</v>
      </c>
      <c r="L768" s="352">
        <v>200</v>
      </c>
      <c r="M768" s="448" t="str">
        <f>IF(L768="nio","",VLOOKUP(L768,'3-Productie normen'!$B$31:$H$45,3,FALSE))</f>
        <v>5 x per week (40 weken)</v>
      </c>
      <c r="N768" s="353" t="e">
        <f t="shared" si="64"/>
        <v>#DIV/0!</v>
      </c>
      <c r="O768" s="354">
        <f>IF(L768="nio",0,IF(L768&gt;0,VLOOKUP(H768,'3-Productie normen'!A:P,VLOOKUP(L768,'3-Productie normen'!$B$31:$C$45,2,FALSE),FALSE)))/VLOOKUP(B768,'2-Kosten per locatie'!$A$13:$D$36,4,FALSE)</f>
        <v>0</v>
      </c>
      <c r="P768" s="82" t="str">
        <f>VLOOKUP(H768,'3-Productie normen'!A:T,20,FALSE)</f>
        <v>V</v>
      </c>
      <c r="Q768" s="447" t="s">
        <v>792</v>
      </c>
      <c r="S768" s="356">
        <f t="shared" si="63"/>
        <v>7054.0000000000009</v>
      </c>
    </row>
    <row r="769" spans="1:19" ht="14.1" customHeight="1">
      <c r="A769" s="72">
        <f t="shared" si="62"/>
        <v>769</v>
      </c>
      <c r="B769" s="50" t="s">
        <v>814</v>
      </c>
      <c r="C769" s="50" t="s">
        <v>833</v>
      </c>
      <c r="D769" s="427" t="s">
        <v>1033</v>
      </c>
      <c r="E769" s="426" t="s">
        <v>612</v>
      </c>
      <c r="F769" s="349" t="s">
        <v>375</v>
      </c>
      <c r="G769" s="86" t="s">
        <v>222</v>
      </c>
      <c r="H769" s="86" t="s">
        <v>16</v>
      </c>
      <c r="I769" s="86" t="s">
        <v>781</v>
      </c>
      <c r="J769" s="343">
        <v>2.29</v>
      </c>
      <c r="K769" s="351">
        <f t="shared" si="65"/>
        <v>201</v>
      </c>
      <c r="L769" s="352">
        <v>201</v>
      </c>
      <c r="M769" s="448" t="str">
        <f>IF(L769="nio","",VLOOKUP(L769,'3-Productie normen'!$B$31:$H$45,3,FALSE))</f>
        <v>5 x per week (40 weken + 1 Zomer refreshbeurt)</v>
      </c>
      <c r="N769" s="353" t="e">
        <f t="shared" si="64"/>
        <v>#DIV/0!</v>
      </c>
      <c r="O769" s="354">
        <f>IF(L769="nio",0,IF(L769&gt;0,VLOOKUP(H769,'3-Productie normen'!A:P,VLOOKUP(L769,'3-Productie normen'!$B$31:$C$45,2,FALSE),FALSE)))/VLOOKUP(B769,'2-Kosten per locatie'!$A$13:$D$36,4,FALSE)</f>
        <v>0</v>
      </c>
      <c r="P769" s="82" t="str">
        <f>VLOOKUP(H769,'3-Productie normen'!A:T,20,FALSE)</f>
        <v>S</v>
      </c>
      <c r="Q769" s="447" t="s">
        <v>857</v>
      </c>
      <c r="S769" s="356">
        <f t="shared" si="63"/>
        <v>460.29</v>
      </c>
    </row>
    <row r="770" spans="1:19" ht="14.1" customHeight="1">
      <c r="A770" s="72">
        <f t="shared" si="62"/>
        <v>770</v>
      </c>
      <c r="B770" s="50" t="s">
        <v>814</v>
      </c>
      <c r="C770" s="50" t="s">
        <v>833</v>
      </c>
      <c r="D770" s="427" t="s">
        <v>1033</v>
      </c>
      <c r="E770" s="426" t="s">
        <v>612</v>
      </c>
      <c r="F770" s="349" t="s">
        <v>376</v>
      </c>
      <c r="G770" s="86" t="s">
        <v>654</v>
      </c>
      <c r="H770" s="432" t="s">
        <v>198</v>
      </c>
      <c r="I770" s="86" t="s">
        <v>780</v>
      </c>
      <c r="J770" s="343">
        <v>5.42</v>
      </c>
      <c r="K770" s="351">
        <f t="shared" si="65"/>
        <v>200</v>
      </c>
      <c r="L770" s="352">
        <v>200</v>
      </c>
      <c r="M770" s="448" t="str">
        <f>IF(L770="nio","",VLOOKUP(L770,'3-Productie normen'!$B$31:$H$45,3,FALSE))</f>
        <v>5 x per week (40 weken)</v>
      </c>
      <c r="N770" s="353" t="e">
        <f t="shared" si="64"/>
        <v>#DIV/0!</v>
      </c>
      <c r="O770" s="354">
        <f>IF(L770="nio",0,IF(L770&gt;0,VLOOKUP(H770,'3-Productie normen'!A:P,VLOOKUP(L770,'3-Productie normen'!$B$31:$C$45,2,FALSE),FALSE)))/VLOOKUP(B770,'2-Kosten per locatie'!$A$13:$D$36,4,FALSE)</f>
        <v>0</v>
      </c>
      <c r="P770" s="82" t="str">
        <f>VLOOKUP(H770,'3-Productie normen'!A:T,20,FALSE)</f>
        <v>V</v>
      </c>
      <c r="Q770" s="447" t="s">
        <v>792</v>
      </c>
      <c r="S770" s="356">
        <f t="shared" si="63"/>
        <v>1084</v>
      </c>
    </row>
    <row r="771" spans="1:19" ht="14.1" customHeight="1">
      <c r="A771" s="72">
        <f t="shared" si="62"/>
        <v>771</v>
      </c>
      <c r="B771" s="50" t="s">
        <v>814</v>
      </c>
      <c r="C771" s="50" t="s">
        <v>833</v>
      </c>
      <c r="D771" s="427" t="s">
        <v>1033</v>
      </c>
      <c r="E771" s="426" t="s">
        <v>612</v>
      </c>
      <c r="F771" s="349" t="s">
        <v>378</v>
      </c>
      <c r="G771" s="86" t="s">
        <v>226</v>
      </c>
      <c r="H771" s="50" t="s">
        <v>16</v>
      </c>
      <c r="I771" s="86" t="s">
        <v>785</v>
      </c>
      <c r="J771" s="343">
        <v>2.15</v>
      </c>
      <c r="K771" s="351">
        <f t="shared" si="65"/>
        <v>201</v>
      </c>
      <c r="L771" s="352">
        <v>201</v>
      </c>
      <c r="M771" s="448" t="str">
        <f>IF(L771="nio","",VLOOKUP(L771,'3-Productie normen'!$B$31:$H$45,3,FALSE))</f>
        <v>5 x per week (40 weken + 1 Zomer refreshbeurt)</v>
      </c>
      <c r="N771" s="353" t="e">
        <f t="shared" si="64"/>
        <v>#DIV/0!</v>
      </c>
      <c r="O771" s="354">
        <f>IF(L771="nio",0,IF(L771&gt;0,VLOOKUP(H771,'3-Productie normen'!A:P,VLOOKUP(L771,'3-Productie normen'!$B$31:$C$45,2,FALSE),FALSE)))/VLOOKUP(B771,'2-Kosten per locatie'!$A$13:$D$36,4,FALSE)</f>
        <v>0</v>
      </c>
      <c r="P771" s="82" t="str">
        <f>VLOOKUP(H771,'3-Productie normen'!A:T,20,FALSE)</f>
        <v>S</v>
      </c>
      <c r="Q771" s="447" t="s">
        <v>857</v>
      </c>
      <c r="S771" s="356">
        <f t="shared" si="63"/>
        <v>432.15</v>
      </c>
    </row>
    <row r="772" spans="1:19" ht="14.1" customHeight="1">
      <c r="A772" s="72">
        <f t="shared" si="62"/>
        <v>772</v>
      </c>
      <c r="B772" s="50" t="s">
        <v>814</v>
      </c>
      <c r="C772" s="50" t="s">
        <v>833</v>
      </c>
      <c r="D772" s="427" t="s">
        <v>1033</v>
      </c>
      <c r="E772" s="426" t="s">
        <v>612</v>
      </c>
      <c r="F772" s="349" t="s">
        <v>379</v>
      </c>
      <c r="G772" s="86" t="s">
        <v>209</v>
      </c>
      <c r="H772" s="63" t="s">
        <v>1040</v>
      </c>
      <c r="I772" s="86" t="s">
        <v>180</v>
      </c>
      <c r="J772" s="343">
        <v>0.77999997138977095</v>
      </c>
      <c r="K772" s="351">
        <f t="shared" si="65"/>
        <v>12</v>
      </c>
      <c r="L772" s="352">
        <v>12</v>
      </c>
      <c r="M772" s="448" t="str">
        <f>IF(L772="nio","",VLOOKUP(L772,'3-Productie normen'!$B$31:$H$45,3,FALSE))</f>
        <v>1 x per maand</v>
      </c>
      <c r="N772" s="353" t="e">
        <f t="shared" si="64"/>
        <v>#DIV/0!</v>
      </c>
      <c r="O772" s="354">
        <f>IF(L772="nio",0,IF(L772&gt;0,VLOOKUP(H772,'3-Productie normen'!A:P,VLOOKUP(L772,'3-Productie normen'!$B$31:$C$45,2,FALSE),FALSE)))/VLOOKUP(B772,'2-Kosten per locatie'!$A$13:$D$36,4,FALSE)</f>
        <v>0</v>
      </c>
      <c r="P772" s="82" t="str">
        <f>VLOOKUP(H772,'3-Productie normen'!A:T,20,FALSE)</f>
        <v>V</v>
      </c>
      <c r="Q772" s="447" t="s">
        <v>792</v>
      </c>
      <c r="S772" s="356">
        <f t="shared" si="63"/>
        <v>9.3599996566772514</v>
      </c>
    </row>
    <row r="773" spans="1:19" ht="14.1" customHeight="1">
      <c r="A773" s="72">
        <f t="shared" si="62"/>
        <v>773</v>
      </c>
      <c r="B773" s="50" t="s">
        <v>814</v>
      </c>
      <c r="C773" s="50" t="s">
        <v>833</v>
      </c>
      <c r="D773" s="427" t="s">
        <v>1033</v>
      </c>
      <c r="E773" s="426" t="s">
        <v>612</v>
      </c>
      <c r="F773" s="349" t="s">
        <v>380</v>
      </c>
      <c r="G773" s="86" t="s">
        <v>419</v>
      </c>
      <c r="H773" s="432" t="s">
        <v>198</v>
      </c>
      <c r="I773" s="86" t="s">
        <v>780</v>
      </c>
      <c r="J773" s="343">
        <v>7.47</v>
      </c>
      <c r="K773" s="351">
        <f t="shared" si="65"/>
        <v>200</v>
      </c>
      <c r="L773" s="352">
        <v>200</v>
      </c>
      <c r="M773" s="448" t="str">
        <f>IF(L773="nio","",VLOOKUP(L773,'3-Productie normen'!$B$31:$H$45,3,FALSE))</f>
        <v>5 x per week (40 weken)</v>
      </c>
      <c r="N773" s="353" t="e">
        <f t="shared" si="64"/>
        <v>#DIV/0!</v>
      </c>
      <c r="O773" s="354">
        <f>IF(L773="nio",0,IF(L773&gt;0,VLOOKUP(H773,'3-Productie normen'!A:P,VLOOKUP(L773,'3-Productie normen'!$B$31:$C$45,2,FALSE),FALSE)))/VLOOKUP(B773,'2-Kosten per locatie'!$A$13:$D$36,4,FALSE)</f>
        <v>0</v>
      </c>
      <c r="P773" s="82" t="str">
        <f>VLOOKUP(H773,'3-Productie normen'!A:T,20,FALSE)</f>
        <v>V</v>
      </c>
      <c r="Q773" s="447" t="s">
        <v>792</v>
      </c>
      <c r="S773" s="356">
        <f t="shared" si="63"/>
        <v>1494</v>
      </c>
    </row>
    <row r="774" spans="1:19" ht="13.8" customHeight="1">
      <c r="A774" s="72">
        <f t="shared" si="62"/>
        <v>774</v>
      </c>
      <c r="B774" s="50" t="s">
        <v>814</v>
      </c>
      <c r="C774" s="50" t="s">
        <v>833</v>
      </c>
      <c r="D774" s="427" t="s">
        <v>1033</v>
      </c>
      <c r="E774" s="426" t="s">
        <v>612</v>
      </c>
      <c r="F774" s="349" t="s">
        <v>381</v>
      </c>
      <c r="G774" s="86" t="s">
        <v>206</v>
      </c>
      <c r="H774" s="65" t="s">
        <v>1053</v>
      </c>
      <c r="I774" s="86" t="s">
        <v>92</v>
      </c>
      <c r="J774" s="343">
        <v>0.36</v>
      </c>
      <c r="K774" s="351" t="str">
        <f t="shared" si="65"/>
        <v>nio</v>
      </c>
      <c r="L774" s="352" t="s">
        <v>804</v>
      </c>
      <c r="M774" s="448" t="str">
        <f>IF(L774="nio","",VLOOKUP(L774,'3-Productie normen'!$B$31:$H$45,3,FALSE))</f>
        <v/>
      </c>
      <c r="N774" s="353">
        <f t="shared" si="64"/>
        <v>0</v>
      </c>
      <c r="O774" s="354">
        <f>IF(L774="nio",0,IF(L774&gt;0,VLOOKUP(H774,'3-Productie normen'!A:P,VLOOKUP(L774,'3-Productie normen'!$B$31:$C$45,2,FALSE),FALSE)))/VLOOKUP(B774,'2-Kosten per locatie'!$A$13:$D$36,4,FALSE)</f>
        <v>0</v>
      </c>
      <c r="P774" s="82">
        <f>VLOOKUP(H774,'3-Productie normen'!A:T,20,FALSE)</f>
        <v>0</v>
      </c>
      <c r="Q774" s="447" t="s">
        <v>897</v>
      </c>
      <c r="S774" s="356">
        <f t="shared" si="63"/>
        <v>0</v>
      </c>
    </row>
    <row r="775" spans="1:19" ht="13.8" customHeight="1">
      <c r="A775" s="72">
        <f t="shared" si="62"/>
        <v>775</v>
      </c>
      <c r="B775" s="50" t="s">
        <v>814</v>
      </c>
      <c r="C775" s="50" t="s">
        <v>833</v>
      </c>
      <c r="D775" s="427" t="s">
        <v>1033</v>
      </c>
      <c r="E775" s="426" t="s">
        <v>612</v>
      </c>
      <c r="F775" s="349" t="s">
        <v>382</v>
      </c>
      <c r="G775" s="86" t="s">
        <v>311</v>
      </c>
      <c r="H775" s="86" t="s">
        <v>203</v>
      </c>
      <c r="I775" s="86" t="s">
        <v>180</v>
      </c>
      <c r="J775" s="343">
        <v>21.45</v>
      </c>
      <c r="K775" s="351">
        <f t="shared" si="65"/>
        <v>120</v>
      </c>
      <c r="L775" s="352">
        <v>120</v>
      </c>
      <c r="M775" s="448" t="str">
        <f>IF(L775="nio","",VLOOKUP(L775,'3-Productie normen'!$B$31:$H$45,3,FALSE))</f>
        <v>3 x per week (40 weken)</v>
      </c>
      <c r="N775" s="353" t="e">
        <f t="shared" si="64"/>
        <v>#DIV/0!</v>
      </c>
      <c r="O775" s="354">
        <f>IF(L775="nio",0,IF(L775&gt;0,VLOOKUP(H775,'3-Productie normen'!A:P,VLOOKUP(L775,'3-Productie normen'!$B$31:$C$45,2,FALSE),FALSE)))/VLOOKUP(B775,'2-Kosten per locatie'!$A$13:$D$36,4,FALSE)</f>
        <v>0</v>
      </c>
      <c r="P775" s="82" t="str">
        <f>VLOOKUP(H775,'3-Productie normen'!A:T,20,FALSE)</f>
        <v>B</v>
      </c>
      <c r="Q775" s="447" t="s">
        <v>792</v>
      </c>
      <c r="S775" s="356">
        <f t="shared" si="63"/>
        <v>2574</v>
      </c>
    </row>
    <row r="776" spans="1:19" ht="14.1" customHeight="1">
      <c r="A776" s="72">
        <f t="shared" si="62"/>
        <v>776</v>
      </c>
      <c r="B776" s="50" t="s">
        <v>814</v>
      </c>
      <c r="C776" s="50" t="s">
        <v>833</v>
      </c>
      <c r="D776" s="427" t="s">
        <v>1033</v>
      </c>
      <c r="E776" s="426" t="s">
        <v>612</v>
      </c>
      <c r="F776" s="349" t="s">
        <v>383</v>
      </c>
      <c r="G776" s="86" t="s">
        <v>281</v>
      </c>
      <c r="H776" s="50" t="s">
        <v>203</v>
      </c>
      <c r="I776" s="86" t="s">
        <v>180</v>
      </c>
      <c r="J776" s="343">
        <v>30.639999389648398</v>
      </c>
      <c r="K776" s="351">
        <f t="shared" si="65"/>
        <v>120</v>
      </c>
      <c r="L776" s="352">
        <v>120</v>
      </c>
      <c r="M776" s="448" t="str">
        <f>IF(L776="nio","",VLOOKUP(L776,'3-Productie normen'!$B$31:$H$45,3,FALSE))</f>
        <v>3 x per week (40 weken)</v>
      </c>
      <c r="N776" s="353" t="e">
        <f t="shared" si="64"/>
        <v>#DIV/0!</v>
      </c>
      <c r="O776" s="354">
        <f>IF(L776="nio",0,IF(L776&gt;0,VLOOKUP(H776,'3-Productie normen'!A:P,VLOOKUP(L776,'3-Productie normen'!$B$31:$C$45,2,FALSE),FALSE)))/VLOOKUP(B776,'2-Kosten per locatie'!$A$13:$D$36,4,FALSE)</f>
        <v>0</v>
      </c>
      <c r="P776" s="82" t="str">
        <f>VLOOKUP(H776,'3-Productie normen'!A:T,20,FALSE)</f>
        <v>B</v>
      </c>
      <c r="Q776" s="447" t="s">
        <v>792</v>
      </c>
      <c r="S776" s="356">
        <f t="shared" si="63"/>
        <v>3676.799926757808</v>
      </c>
    </row>
    <row r="777" spans="1:19" ht="14.1" customHeight="1">
      <c r="A777" s="72">
        <f t="shared" si="62"/>
        <v>777</v>
      </c>
      <c r="B777" s="50" t="s">
        <v>814</v>
      </c>
      <c r="C777" s="50" t="s">
        <v>833</v>
      </c>
      <c r="D777" s="427" t="s">
        <v>1033</v>
      </c>
      <c r="E777" s="426" t="s">
        <v>612</v>
      </c>
      <c r="F777" s="349" t="s">
        <v>655</v>
      </c>
      <c r="G777" s="86" t="s">
        <v>209</v>
      </c>
      <c r="H777" s="63" t="s">
        <v>1040</v>
      </c>
      <c r="I777" s="86" t="s">
        <v>92</v>
      </c>
      <c r="J777" s="343">
        <v>0.5</v>
      </c>
      <c r="K777" s="351">
        <f t="shared" si="65"/>
        <v>12</v>
      </c>
      <c r="L777" s="352">
        <v>12</v>
      </c>
      <c r="M777" s="448" t="str">
        <f>IF(L777="nio","",VLOOKUP(L777,'3-Productie normen'!$B$31:$H$45,3,FALSE))</f>
        <v>1 x per maand</v>
      </c>
      <c r="N777" s="353" t="e">
        <f t="shared" si="64"/>
        <v>#DIV/0!</v>
      </c>
      <c r="O777" s="354">
        <f>IF(L777="nio",0,IF(L777&gt;0,VLOOKUP(H777,'3-Productie normen'!A:P,VLOOKUP(L777,'3-Productie normen'!$B$31:$C$45,2,FALSE),FALSE)))/VLOOKUP(B777,'2-Kosten per locatie'!$A$13:$D$36,4,FALSE)</f>
        <v>0</v>
      </c>
      <c r="P777" s="82" t="str">
        <f>VLOOKUP(H777,'3-Productie normen'!A:T,20,FALSE)</f>
        <v>V</v>
      </c>
      <c r="Q777" s="447" t="s">
        <v>792</v>
      </c>
      <c r="S777" s="356">
        <f t="shared" si="63"/>
        <v>6</v>
      </c>
    </row>
    <row r="778" spans="1:19" ht="14.1" customHeight="1">
      <c r="A778" s="72">
        <f t="shared" si="62"/>
        <v>778</v>
      </c>
      <c r="B778" s="50" t="s">
        <v>814</v>
      </c>
      <c r="C778" s="50" t="s">
        <v>833</v>
      </c>
      <c r="D778" s="427" t="s">
        <v>1033</v>
      </c>
      <c r="E778" s="426" t="s">
        <v>612</v>
      </c>
      <c r="F778" s="349" t="s">
        <v>656</v>
      </c>
      <c r="G778" s="86" t="s">
        <v>209</v>
      </c>
      <c r="H778" s="63" t="s">
        <v>1040</v>
      </c>
      <c r="I778" s="86" t="s">
        <v>92</v>
      </c>
      <c r="J778" s="343">
        <v>0.51</v>
      </c>
      <c r="K778" s="351">
        <f t="shared" si="65"/>
        <v>12</v>
      </c>
      <c r="L778" s="352">
        <v>12</v>
      </c>
      <c r="M778" s="448" t="str">
        <f>IF(L778="nio","",VLOOKUP(L778,'3-Productie normen'!$B$31:$H$45,3,FALSE))</f>
        <v>1 x per maand</v>
      </c>
      <c r="N778" s="353" t="e">
        <f t="shared" si="64"/>
        <v>#DIV/0!</v>
      </c>
      <c r="O778" s="354">
        <f>IF(L778="nio",0,IF(L778&gt;0,VLOOKUP(H778,'3-Productie normen'!A:P,VLOOKUP(L778,'3-Productie normen'!$B$31:$C$45,2,FALSE),FALSE)))/VLOOKUP(B778,'2-Kosten per locatie'!$A$13:$D$36,4,FALSE)</f>
        <v>0</v>
      </c>
      <c r="P778" s="82" t="str">
        <f>VLOOKUP(H778,'3-Productie normen'!A:T,20,FALSE)</f>
        <v>V</v>
      </c>
      <c r="Q778" s="447" t="s">
        <v>792</v>
      </c>
      <c r="S778" s="356">
        <f t="shared" si="63"/>
        <v>6.12</v>
      </c>
    </row>
    <row r="779" spans="1:19" ht="14.1" customHeight="1">
      <c r="A779" s="72">
        <f t="shared" ref="A779:A842" si="66">A778+1</f>
        <v>779</v>
      </c>
      <c r="B779" s="50" t="s">
        <v>814</v>
      </c>
      <c r="C779" s="50" t="s">
        <v>833</v>
      </c>
      <c r="D779" s="427" t="s">
        <v>1033</v>
      </c>
      <c r="E779" s="426" t="s">
        <v>612</v>
      </c>
      <c r="F779" s="349" t="s">
        <v>657</v>
      </c>
      <c r="G779" s="86" t="s">
        <v>209</v>
      </c>
      <c r="H779" s="63" t="s">
        <v>1040</v>
      </c>
      <c r="I779" s="86" t="s">
        <v>92</v>
      </c>
      <c r="J779" s="343">
        <v>0.51</v>
      </c>
      <c r="K779" s="351">
        <f t="shared" si="65"/>
        <v>12</v>
      </c>
      <c r="L779" s="352">
        <v>12</v>
      </c>
      <c r="M779" s="448" t="str">
        <f>IF(L779="nio","",VLOOKUP(L779,'3-Productie normen'!$B$31:$H$45,3,FALSE))</f>
        <v>1 x per maand</v>
      </c>
      <c r="N779" s="353" t="e">
        <f t="shared" si="64"/>
        <v>#DIV/0!</v>
      </c>
      <c r="O779" s="354">
        <f>IF(L779="nio",0,IF(L779&gt;0,VLOOKUP(H779,'3-Productie normen'!A:P,VLOOKUP(L779,'3-Productie normen'!$B$31:$C$45,2,FALSE),FALSE)))/VLOOKUP(B779,'2-Kosten per locatie'!$A$13:$D$36,4,FALSE)</f>
        <v>0</v>
      </c>
      <c r="P779" s="82" t="str">
        <f>VLOOKUP(H779,'3-Productie normen'!A:T,20,FALSE)</f>
        <v>V</v>
      </c>
      <c r="Q779" s="447" t="s">
        <v>792</v>
      </c>
      <c r="S779" s="356">
        <f t="shared" si="63"/>
        <v>6.12</v>
      </c>
    </row>
    <row r="780" spans="1:19" ht="14.1" customHeight="1">
      <c r="A780" s="72">
        <f t="shared" si="66"/>
        <v>780</v>
      </c>
      <c r="B780" s="50" t="s">
        <v>814</v>
      </c>
      <c r="C780" s="50" t="s">
        <v>833</v>
      </c>
      <c r="D780" s="427" t="s">
        <v>1033</v>
      </c>
      <c r="E780" s="426" t="s">
        <v>612</v>
      </c>
      <c r="F780" s="349" t="s">
        <v>658</v>
      </c>
      <c r="G780" s="86" t="s">
        <v>209</v>
      </c>
      <c r="H780" s="63" t="s">
        <v>1040</v>
      </c>
      <c r="I780" s="86" t="s">
        <v>92</v>
      </c>
      <c r="J780" s="343">
        <v>0.51</v>
      </c>
      <c r="K780" s="351">
        <f t="shared" si="65"/>
        <v>12</v>
      </c>
      <c r="L780" s="352">
        <v>12</v>
      </c>
      <c r="M780" s="448" t="str">
        <f>IF(L780="nio","",VLOOKUP(L780,'3-Productie normen'!$B$31:$H$45,3,FALSE))</f>
        <v>1 x per maand</v>
      </c>
      <c r="N780" s="353" t="e">
        <f t="shared" si="64"/>
        <v>#DIV/0!</v>
      </c>
      <c r="O780" s="354">
        <f>IF(L780="nio",0,IF(L780&gt;0,VLOOKUP(H780,'3-Productie normen'!A:P,VLOOKUP(L780,'3-Productie normen'!$B$31:$C$45,2,FALSE),FALSE)))/VLOOKUP(B780,'2-Kosten per locatie'!$A$13:$D$36,4,FALSE)</f>
        <v>0</v>
      </c>
      <c r="P780" s="82" t="str">
        <f>VLOOKUP(H780,'3-Productie normen'!A:T,20,FALSE)</f>
        <v>V</v>
      </c>
      <c r="Q780" s="447" t="s">
        <v>792</v>
      </c>
      <c r="S780" s="356">
        <f t="shared" si="63"/>
        <v>6.12</v>
      </c>
    </row>
    <row r="781" spans="1:19" ht="14.1" customHeight="1">
      <c r="A781" s="72">
        <f t="shared" si="66"/>
        <v>781</v>
      </c>
      <c r="B781" s="50" t="s">
        <v>814</v>
      </c>
      <c r="C781" s="50" t="s">
        <v>833</v>
      </c>
      <c r="D781" s="427" t="s">
        <v>1033</v>
      </c>
      <c r="E781" s="426" t="s">
        <v>612</v>
      </c>
      <c r="F781" s="349" t="s">
        <v>659</v>
      </c>
      <c r="G781" s="86" t="s">
        <v>209</v>
      </c>
      <c r="H781" s="63" t="s">
        <v>1040</v>
      </c>
      <c r="I781" s="86" t="s">
        <v>92</v>
      </c>
      <c r="J781" s="343">
        <v>0.5</v>
      </c>
      <c r="K781" s="351">
        <f t="shared" si="65"/>
        <v>12</v>
      </c>
      <c r="L781" s="352">
        <v>12</v>
      </c>
      <c r="M781" s="448" t="str">
        <f>IF(L781="nio","",VLOOKUP(L781,'3-Productie normen'!$B$31:$H$45,3,FALSE))</f>
        <v>1 x per maand</v>
      </c>
      <c r="N781" s="353" t="e">
        <f t="shared" si="64"/>
        <v>#DIV/0!</v>
      </c>
      <c r="O781" s="354">
        <f>IF(L781="nio",0,IF(L781&gt;0,VLOOKUP(H781,'3-Productie normen'!A:P,VLOOKUP(L781,'3-Productie normen'!$B$31:$C$45,2,FALSE),FALSE)))/VLOOKUP(B781,'2-Kosten per locatie'!$A$13:$D$36,4,FALSE)</f>
        <v>0</v>
      </c>
      <c r="P781" s="82" t="str">
        <f>VLOOKUP(H781,'3-Productie normen'!A:T,20,FALSE)</f>
        <v>V</v>
      </c>
      <c r="Q781" s="447" t="s">
        <v>792</v>
      </c>
      <c r="S781" s="356">
        <f t="shared" si="63"/>
        <v>6</v>
      </c>
    </row>
    <row r="782" spans="1:19" ht="14.1" customHeight="1">
      <c r="A782" s="72">
        <f t="shared" si="66"/>
        <v>782</v>
      </c>
      <c r="B782" s="50" t="s">
        <v>814</v>
      </c>
      <c r="C782" s="50" t="s">
        <v>833</v>
      </c>
      <c r="D782" s="427" t="s">
        <v>1033</v>
      </c>
      <c r="E782" s="426" t="s">
        <v>612</v>
      </c>
      <c r="F782" s="349" t="s">
        <v>277</v>
      </c>
      <c r="G782" s="86" t="s">
        <v>232</v>
      </c>
      <c r="H782" s="430" t="s">
        <v>1046</v>
      </c>
      <c r="I782" s="86" t="s">
        <v>800</v>
      </c>
      <c r="J782" s="343">
        <v>7.48</v>
      </c>
      <c r="K782" s="351">
        <f t="shared" si="65"/>
        <v>200</v>
      </c>
      <c r="L782" s="352">
        <v>200</v>
      </c>
      <c r="M782" s="448" t="str">
        <f>IF(L782="nio","",VLOOKUP(L782,'3-Productie normen'!$B$31:$H$45,3,FALSE))</f>
        <v>5 x per week (40 weken)</v>
      </c>
      <c r="N782" s="353" t="e">
        <f t="shared" si="64"/>
        <v>#DIV/0!</v>
      </c>
      <c r="O782" s="354">
        <f>IF(L782="nio",0,IF(L782&gt;0,VLOOKUP(H782,'3-Productie normen'!A:P,VLOOKUP(L782,'3-Productie normen'!$B$31:$C$45,2,FALSE),FALSE)))/VLOOKUP(B782,'2-Kosten per locatie'!$A$13:$D$36,4,FALSE)</f>
        <v>0</v>
      </c>
      <c r="P782" s="82" t="str">
        <f>VLOOKUP(H782,'3-Productie normen'!A:T,20,FALSE)</f>
        <v>V</v>
      </c>
      <c r="Q782" s="447" t="s">
        <v>992</v>
      </c>
      <c r="S782" s="356">
        <f t="shared" ref="S782:S845" si="67">IF(L782="nio",0,K782*J782)</f>
        <v>1496</v>
      </c>
    </row>
    <row r="783" spans="1:19" ht="14.1" customHeight="1">
      <c r="A783" s="72">
        <f t="shared" si="66"/>
        <v>783</v>
      </c>
      <c r="B783" s="50" t="s">
        <v>814</v>
      </c>
      <c r="C783" s="50" t="s">
        <v>833</v>
      </c>
      <c r="D783" s="427" t="s">
        <v>1033</v>
      </c>
      <c r="E783" s="426" t="s">
        <v>612</v>
      </c>
      <c r="F783" s="349" t="s">
        <v>660</v>
      </c>
      <c r="G783" s="86" t="s">
        <v>232</v>
      </c>
      <c r="H783" s="65" t="s">
        <v>1053</v>
      </c>
      <c r="I783" s="86" t="s">
        <v>791</v>
      </c>
      <c r="J783" s="343">
        <v>2.8900001049041699</v>
      </c>
      <c r="K783" s="351" t="str">
        <f t="shared" si="65"/>
        <v>nio</v>
      </c>
      <c r="L783" s="352" t="s">
        <v>804</v>
      </c>
      <c r="M783" s="448" t="str">
        <f>IF(L783="nio","",VLOOKUP(L783,'3-Productie normen'!$B$31:$H$45,3,FALSE))</f>
        <v/>
      </c>
      <c r="N783" s="353">
        <f t="shared" si="64"/>
        <v>0</v>
      </c>
      <c r="O783" s="354">
        <f>IF(L783="nio",0,IF(L783&gt;0,VLOOKUP(H783,'3-Productie normen'!A:P,VLOOKUP(L783,'3-Productie normen'!$B$31:$C$45,2,FALSE),FALSE)))/VLOOKUP(B783,'2-Kosten per locatie'!$A$13:$D$36,4,FALSE)</f>
        <v>0</v>
      </c>
      <c r="P783" s="82">
        <f>VLOOKUP(H783,'3-Productie normen'!A:T,20,FALSE)</f>
        <v>0</v>
      </c>
      <c r="Q783" s="447" t="s">
        <v>893</v>
      </c>
      <c r="S783" s="356">
        <f t="shared" si="67"/>
        <v>0</v>
      </c>
    </row>
    <row r="784" spans="1:19" ht="14.1" customHeight="1">
      <c r="A784" s="72">
        <f t="shared" si="66"/>
        <v>784</v>
      </c>
      <c r="B784" s="50" t="s">
        <v>814</v>
      </c>
      <c r="C784" s="50" t="s">
        <v>833</v>
      </c>
      <c r="D784" s="427" t="s">
        <v>1033</v>
      </c>
      <c r="E784" s="426" t="s">
        <v>275</v>
      </c>
      <c r="F784" s="349" t="s">
        <v>276</v>
      </c>
      <c r="G784" s="86" t="s">
        <v>201</v>
      </c>
      <c r="H784" s="432" t="s">
        <v>198</v>
      </c>
      <c r="I784" s="86" t="s">
        <v>780</v>
      </c>
      <c r="J784" s="343">
        <v>4.6399999999999997</v>
      </c>
      <c r="K784" s="351">
        <f t="shared" si="65"/>
        <v>200</v>
      </c>
      <c r="L784" s="352">
        <v>200</v>
      </c>
      <c r="M784" s="448" t="str">
        <f>IF(L784="nio","",VLOOKUP(L784,'3-Productie normen'!$B$31:$H$45,3,FALSE))</f>
        <v>5 x per week (40 weken)</v>
      </c>
      <c r="N784" s="353" t="e">
        <f t="shared" si="64"/>
        <v>#DIV/0!</v>
      </c>
      <c r="O784" s="354">
        <f>IF(L784="nio",0,IF(L784&gt;0,VLOOKUP(H784,'3-Productie normen'!A:P,VLOOKUP(L784,'3-Productie normen'!$B$31:$C$45,2,FALSE),FALSE)))/VLOOKUP(B784,'2-Kosten per locatie'!$A$13:$D$36,4,FALSE)</f>
        <v>0</v>
      </c>
      <c r="P784" s="82" t="str">
        <f>VLOOKUP(H784,'3-Productie normen'!A:T,20,FALSE)</f>
        <v>V</v>
      </c>
      <c r="Q784" s="447" t="s">
        <v>989</v>
      </c>
      <c r="S784" s="356">
        <f t="shared" si="67"/>
        <v>927.99999999999989</v>
      </c>
    </row>
    <row r="785" spans="1:19" ht="14.1" customHeight="1">
      <c r="A785" s="72">
        <f t="shared" si="66"/>
        <v>785</v>
      </c>
      <c r="B785" s="50" t="s">
        <v>814</v>
      </c>
      <c r="C785" s="50" t="s">
        <v>833</v>
      </c>
      <c r="D785" s="427" t="s">
        <v>1033</v>
      </c>
      <c r="E785" s="426" t="s">
        <v>275</v>
      </c>
      <c r="F785" s="349" t="s">
        <v>278</v>
      </c>
      <c r="G785" s="86" t="s">
        <v>209</v>
      </c>
      <c r="H785" s="63" t="s">
        <v>1040</v>
      </c>
      <c r="I785" s="86" t="s">
        <v>780</v>
      </c>
      <c r="J785" s="343">
        <v>8.39</v>
      </c>
      <c r="K785" s="351">
        <f t="shared" si="65"/>
        <v>12</v>
      </c>
      <c r="L785" s="352">
        <v>12</v>
      </c>
      <c r="M785" s="448" t="str">
        <f>IF(L785="nio","",VLOOKUP(L785,'3-Productie normen'!$B$31:$H$45,3,FALSE))</f>
        <v>1 x per maand</v>
      </c>
      <c r="N785" s="353" t="e">
        <f t="shared" si="64"/>
        <v>#DIV/0!</v>
      </c>
      <c r="O785" s="354">
        <f>IF(L785="nio",0,IF(L785&gt;0,VLOOKUP(H785,'3-Productie normen'!A:P,VLOOKUP(L785,'3-Productie normen'!$B$31:$C$45,2,FALSE),FALSE)))/VLOOKUP(B785,'2-Kosten per locatie'!$A$13:$D$36,4,FALSE)</f>
        <v>0</v>
      </c>
      <c r="P785" s="82" t="str">
        <f>VLOOKUP(H785,'3-Productie normen'!A:T,20,FALSE)</f>
        <v>V</v>
      </c>
      <c r="Q785" s="447" t="s">
        <v>792</v>
      </c>
      <c r="S785" s="356">
        <f t="shared" si="67"/>
        <v>100.68</v>
      </c>
    </row>
    <row r="786" spans="1:19" ht="14.1" customHeight="1">
      <c r="A786" s="72">
        <f t="shared" si="66"/>
        <v>786</v>
      </c>
      <c r="B786" s="50" t="s">
        <v>814</v>
      </c>
      <c r="C786" s="50" t="s">
        <v>833</v>
      </c>
      <c r="D786" s="427" t="s">
        <v>1033</v>
      </c>
      <c r="E786" s="426" t="s">
        <v>275</v>
      </c>
      <c r="F786" s="349" t="s">
        <v>280</v>
      </c>
      <c r="G786" s="86" t="s">
        <v>201</v>
      </c>
      <c r="H786" s="432" t="s">
        <v>198</v>
      </c>
      <c r="I786" s="86" t="s">
        <v>780</v>
      </c>
      <c r="J786" s="343">
        <v>62.3</v>
      </c>
      <c r="K786" s="351">
        <f t="shared" si="65"/>
        <v>200</v>
      </c>
      <c r="L786" s="352">
        <v>200</v>
      </c>
      <c r="M786" s="448" t="str">
        <f>IF(L786="nio","",VLOOKUP(L786,'3-Productie normen'!$B$31:$H$45,3,FALSE))</f>
        <v>5 x per week (40 weken)</v>
      </c>
      <c r="N786" s="353" t="e">
        <f t="shared" si="64"/>
        <v>#DIV/0!</v>
      </c>
      <c r="O786" s="354">
        <f>IF(L786="nio",0,IF(L786&gt;0,VLOOKUP(H786,'3-Productie normen'!A:P,VLOOKUP(L786,'3-Productie normen'!$B$31:$C$45,2,FALSE),FALSE)))/VLOOKUP(B786,'2-Kosten per locatie'!$A$13:$D$36,4,FALSE)</f>
        <v>0</v>
      </c>
      <c r="P786" s="82" t="str">
        <f>VLOOKUP(H786,'3-Productie normen'!A:T,20,FALSE)</f>
        <v>V</v>
      </c>
      <c r="Q786" s="447" t="s">
        <v>792</v>
      </c>
      <c r="S786" s="356">
        <f t="shared" si="67"/>
        <v>12460</v>
      </c>
    </row>
    <row r="787" spans="1:19" ht="14.1" customHeight="1">
      <c r="A787" s="72">
        <f t="shared" si="66"/>
        <v>787</v>
      </c>
      <c r="B787" s="50" t="s">
        <v>814</v>
      </c>
      <c r="C787" s="50" t="s">
        <v>833</v>
      </c>
      <c r="D787" s="427" t="s">
        <v>1033</v>
      </c>
      <c r="E787" s="426" t="s">
        <v>275</v>
      </c>
      <c r="F787" s="349" t="s">
        <v>661</v>
      </c>
      <c r="G787" s="86" t="s">
        <v>232</v>
      </c>
      <c r="H787" s="430" t="s">
        <v>1046</v>
      </c>
      <c r="I787" s="86" t="s">
        <v>800</v>
      </c>
      <c r="J787" s="343">
        <v>7.44</v>
      </c>
      <c r="K787" s="351">
        <f t="shared" si="65"/>
        <v>200</v>
      </c>
      <c r="L787" s="352">
        <v>200</v>
      </c>
      <c r="M787" s="448" t="str">
        <f>IF(L787="nio","",VLOOKUP(L787,'3-Productie normen'!$B$31:$H$45,3,FALSE))</f>
        <v>5 x per week (40 weken)</v>
      </c>
      <c r="N787" s="353" t="e">
        <f t="shared" si="64"/>
        <v>#DIV/0!</v>
      </c>
      <c r="O787" s="354">
        <f>IF(L787="nio",0,IF(L787&gt;0,VLOOKUP(H787,'3-Productie normen'!A:P,VLOOKUP(L787,'3-Productie normen'!$B$31:$C$45,2,FALSE),FALSE)))/VLOOKUP(B787,'2-Kosten per locatie'!$A$13:$D$36,4,FALSE)</f>
        <v>0</v>
      </c>
      <c r="P787" s="82" t="str">
        <f>VLOOKUP(H787,'3-Productie normen'!A:T,20,FALSE)</f>
        <v>V</v>
      </c>
      <c r="Q787" s="447" t="s">
        <v>992</v>
      </c>
      <c r="S787" s="356">
        <f t="shared" si="67"/>
        <v>1488</v>
      </c>
    </row>
    <row r="788" spans="1:19" ht="14.1" customHeight="1">
      <c r="A788" s="72">
        <f t="shared" si="66"/>
        <v>788</v>
      </c>
      <c r="B788" s="50" t="s">
        <v>814</v>
      </c>
      <c r="C788" s="50" t="s">
        <v>833</v>
      </c>
      <c r="D788" s="427" t="s">
        <v>1033</v>
      </c>
      <c r="E788" s="426" t="s">
        <v>275</v>
      </c>
      <c r="F788" s="349" t="s">
        <v>662</v>
      </c>
      <c r="G788" s="86" t="s">
        <v>201</v>
      </c>
      <c r="H788" s="432" t="s">
        <v>198</v>
      </c>
      <c r="I788" s="86" t="s">
        <v>780</v>
      </c>
      <c r="J788" s="343">
        <v>27.25</v>
      </c>
      <c r="K788" s="351">
        <f t="shared" si="65"/>
        <v>200</v>
      </c>
      <c r="L788" s="352">
        <v>200</v>
      </c>
      <c r="M788" s="448" t="str">
        <f>IF(L788="nio","",VLOOKUP(L788,'3-Productie normen'!$B$31:$H$45,3,FALSE))</f>
        <v>5 x per week (40 weken)</v>
      </c>
      <c r="N788" s="353" t="e">
        <f t="shared" si="64"/>
        <v>#DIV/0!</v>
      </c>
      <c r="O788" s="354">
        <f>IF(L788="nio",0,IF(L788&gt;0,VLOOKUP(H788,'3-Productie normen'!A:P,VLOOKUP(L788,'3-Productie normen'!$B$31:$C$45,2,FALSE),FALSE)))/VLOOKUP(B788,'2-Kosten per locatie'!$A$13:$D$36,4,FALSE)</f>
        <v>0</v>
      </c>
      <c r="P788" s="82" t="str">
        <f>VLOOKUP(H788,'3-Productie normen'!A:T,20,FALSE)</f>
        <v>V</v>
      </c>
      <c r="Q788" s="447" t="s">
        <v>792</v>
      </c>
      <c r="S788" s="356">
        <f t="shared" si="67"/>
        <v>5450</v>
      </c>
    </row>
    <row r="789" spans="1:19" ht="14.1" customHeight="1">
      <c r="A789" s="72">
        <f t="shared" si="66"/>
        <v>789</v>
      </c>
      <c r="B789" s="50" t="s">
        <v>814</v>
      </c>
      <c r="C789" s="50" t="s">
        <v>833</v>
      </c>
      <c r="D789" s="427" t="s">
        <v>1033</v>
      </c>
      <c r="E789" s="426" t="s">
        <v>275</v>
      </c>
      <c r="F789" s="349" t="s">
        <v>282</v>
      </c>
      <c r="G789" s="86" t="s">
        <v>298</v>
      </c>
      <c r="H789" s="50" t="s">
        <v>241</v>
      </c>
      <c r="I789" s="86" t="s">
        <v>780</v>
      </c>
      <c r="J789" s="343">
        <v>50.04</v>
      </c>
      <c r="K789" s="351">
        <f t="shared" si="65"/>
        <v>201</v>
      </c>
      <c r="L789" s="352">
        <v>201</v>
      </c>
      <c r="M789" s="448" t="str">
        <f>IF(L789="nio","",VLOOKUP(L789,'3-Productie normen'!$B$31:$H$45,3,FALSE))</f>
        <v>5 x per week (40 weken + 1 Zomer refreshbeurt)</v>
      </c>
      <c r="N789" s="353" t="e">
        <f t="shared" si="64"/>
        <v>#DIV/0!</v>
      </c>
      <c r="O789" s="354">
        <f>IF(L789="nio",0,IF(L789&gt;0,VLOOKUP(H789,'3-Productie normen'!A:P,VLOOKUP(L789,'3-Productie normen'!$B$31:$C$45,2,FALSE),FALSE)))/VLOOKUP(B789,'2-Kosten per locatie'!$A$13:$D$36,4,FALSE)</f>
        <v>0</v>
      </c>
      <c r="P789" s="82" t="str">
        <f>VLOOKUP(H789,'3-Productie normen'!A:T,20,FALSE)</f>
        <v>L</v>
      </c>
      <c r="Q789" s="447" t="s">
        <v>880</v>
      </c>
      <c r="S789" s="356">
        <f t="shared" si="67"/>
        <v>10058.039999999999</v>
      </c>
    </row>
    <row r="790" spans="1:19" ht="14.1" customHeight="1">
      <c r="A790" s="72">
        <f t="shared" si="66"/>
        <v>790</v>
      </c>
      <c r="B790" s="50" t="s">
        <v>814</v>
      </c>
      <c r="C790" s="50" t="s">
        <v>833</v>
      </c>
      <c r="D790" s="427" t="s">
        <v>1033</v>
      </c>
      <c r="E790" s="426" t="s">
        <v>275</v>
      </c>
      <c r="F790" s="349" t="s">
        <v>663</v>
      </c>
      <c r="G790" s="86" t="s">
        <v>209</v>
      </c>
      <c r="H790" s="63" t="s">
        <v>1040</v>
      </c>
      <c r="I790" s="86" t="s">
        <v>780</v>
      </c>
      <c r="J790" s="343">
        <v>2.35</v>
      </c>
      <c r="K790" s="351">
        <f t="shared" si="65"/>
        <v>12</v>
      </c>
      <c r="L790" s="352">
        <v>12</v>
      </c>
      <c r="M790" s="448" t="str">
        <f>IF(L790="nio","",VLOOKUP(L790,'3-Productie normen'!$B$31:$H$45,3,FALSE))</f>
        <v>1 x per maand</v>
      </c>
      <c r="N790" s="353" t="e">
        <f t="shared" si="64"/>
        <v>#DIV/0!</v>
      </c>
      <c r="O790" s="354">
        <f>IF(L790="nio",0,IF(L790&gt;0,VLOOKUP(H790,'3-Productie normen'!A:P,VLOOKUP(L790,'3-Productie normen'!$B$31:$C$45,2,FALSE),FALSE)))/VLOOKUP(B790,'2-Kosten per locatie'!$A$13:$D$36,4,FALSE)</f>
        <v>0</v>
      </c>
      <c r="P790" s="82" t="str">
        <f>VLOOKUP(H790,'3-Productie normen'!A:T,20,FALSE)</f>
        <v>V</v>
      </c>
      <c r="Q790" s="447" t="s">
        <v>792</v>
      </c>
      <c r="S790" s="356">
        <f t="shared" si="67"/>
        <v>28.200000000000003</v>
      </c>
    </row>
    <row r="791" spans="1:19" ht="14.1" customHeight="1">
      <c r="A791" s="72">
        <f t="shared" si="66"/>
        <v>791</v>
      </c>
      <c r="B791" s="50" t="s">
        <v>814</v>
      </c>
      <c r="C791" s="50" t="s">
        <v>833</v>
      </c>
      <c r="D791" s="427" t="s">
        <v>1033</v>
      </c>
      <c r="E791" s="426" t="s">
        <v>275</v>
      </c>
      <c r="F791" s="349" t="s">
        <v>284</v>
      </c>
      <c r="G791" s="86" t="s">
        <v>226</v>
      </c>
      <c r="H791" s="86" t="s">
        <v>16</v>
      </c>
      <c r="I791" s="86" t="s">
        <v>781</v>
      </c>
      <c r="J791" s="343">
        <v>10.33</v>
      </c>
      <c r="K791" s="351">
        <f t="shared" si="65"/>
        <v>201</v>
      </c>
      <c r="L791" s="352">
        <v>201</v>
      </c>
      <c r="M791" s="448" t="str">
        <f>IF(L791="nio","",VLOOKUP(L791,'3-Productie normen'!$B$31:$H$45,3,FALSE))</f>
        <v>5 x per week (40 weken + 1 Zomer refreshbeurt)</v>
      </c>
      <c r="N791" s="353" t="e">
        <f t="shared" si="64"/>
        <v>#DIV/0!</v>
      </c>
      <c r="O791" s="354">
        <f>IF(L791="nio",0,IF(L791&gt;0,VLOOKUP(H791,'3-Productie normen'!A:P,VLOOKUP(L791,'3-Productie normen'!$B$31:$C$45,2,FALSE),FALSE)))/VLOOKUP(B791,'2-Kosten per locatie'!$A$13:$D$36,4,FALSE)</f>
        <v>0</v>
      </c>
      <c r="P791" s="82" t="str">
        <f>VLOOKUP(H791,'3-Productie normen'!A:T,20,FALSE)</f>
        <v>S</v>
      </c>
      <c r="Q791" s="447" t="s">
        <v>993</v>
      </c>
      <c r="S791" s="356">
        <f t="shared" si="67"/>
        <v>2076.33</v>
      </c>
    </row>
    <row r="792" spans="1:19" ht="14.1" customHeight="1">
      <c r="A792" s="72">
        <f t="shared" si="66"/>
        <v>792</v>
      </c>
      <c r="B792" s="50" t="s">
        <v>814</v>
      </c>
      <c r="C792" s="50" t="s">
        <v>833</v>
      </c>
      <c r="D792" s="427" t="s">
        <v>1033</v>
      </c>
      <c r="E792" s="426" t="s">
        <v>275</v>
      </c>
      <c r="F792" s="349" t="s">
        <v>285</v>
      </c>
      <c r="G792" s="86" t="s">
        <v>298</v>
      </c>
      <c r="H792" s="50" t="s">
        <v>241</v>
      </c>
      <c r="I792" s="86" t="s">
        <v>780</v>
      </c>
      <c r="J792" s="343">
        <v>50.01</v>
      </c>
      <c r="K792" s="351">
        <f t="shared" si="65"/>
        <v>201</v>
      </c>
      <c r="L792" s="352">
        <v>201</v>
      </c>
      <c r="M792" s="448" t="str">
        <f>IF(L792="nio","",VLOOKUP(L792,'3-Productie normen'!$B$31:$H$45,3,FALSE))</f>
        <v>5 x per week (40 weken + 1 Zomer refreshbeurt)</v>
      </c>
      <c r="N792" s="353" t="e">
        <f t="shared" si="64"/>
        <v>#DIV/0!</v>
      </c>
      <c r="O792" s="354">
        <f>IF(L792="nio",0,IF(L792&gt;0,VLOOKUP(H792,'3-Productie normen'!A:P,VLOOKUP(L792,'3-Productie normen'!$B$31:$C$45,2,FALSE),FALSE)))/VLOOKUP(B792,'2-Kosten per locatie'!$A$13:$D$36,4,FALSE)</f>
        <v>0</v>
      </c>
      <c r="P792" s="82" t="str">
        <f>VLOOKUP(H792,'3-Productie normen'!A:T,20,FALSE)</f>
        <v>L</v>
      </c>
      <c r="Q792" s="447" t="s">
        <v>880</v>
      </c>
      <c r="S792" s="356">
        <f t="shared" si="67"/>
        <v>10052.01</v>
      </c>
    </row>
    <row r="793" spans="1:19" ht="14.1" customHeight="1">
      <c r="A793" s="72">
        <f t="shared" si="66"/>
        <v>793</v>
      </c>
      <c r="B793" s="50" t="s">
        <v>814</v>
      </c>
      <c r="C793" s="50" t="s">
        <v>833</v>
      </c>
      <c r="D793" s="427" t="s">
        <v>1033</v>
      </c>
      <c r="E793" s="426" t="s">
        <v>275</v>
      </c>
      <c r="F793" s="349" t="s">
        <v>390</v>
      </c>
      <c r="G793" s="86" t="s">
        <v>209</v>
      </c>
      <c r="H793" s="63" t="s">
        <v>1040</v>
      </c>
      <c r="I793" s="86" t="s">
        <v>780</v>
      </c>
      <c r="J793" s="343">
        <v>2.36</v>
      </c>
      <c r="K793" s="351">
        <f t="shared" si="65"/>
        <v>12</v>
      </c>
      <c r="L793" s="352">
        <v>12</v>
      </c>
      <c r="M793" s="448" t="str">
        <f>IF(L793="nio","",VLOOKUP(L793,'3-Productie normen'!$B$31:$H$45,3,FALSE))</f>
        <v>1 x per maand</v>
      </c>
      <c r="N793" s="353" t="e">
        <f t="shared" si="64"/>
        <v>#DIV/0!</v>
      </c>
      <c r="O793" s="354">
        <f>IF(L793="nio",0,IF(L793&gt;0,VLOOKUP(H793,'3-Productie normen'!A:P,VLOOKUP(L793,'3-Productie normen'!$B$31:$C$45,2,FALSE),FALSE)))/VLOOKUP(B793,'2-Kosten per locatie'!$A$13:$D$36,4,FALSE)</f>
        <v>0</v>
      </c>
      <c r="P793" s="82" t="str">
        <f>VLOOKUP(H793,'3-Productie normen'!A:T,20,FALSE)</f>
        <v>V</v>
      </c>
      <c r="Q793" s="447" t="s">
        <v>792</v>
      </c>
      <c r="S793" s="356">
        <f t="shared" si="67"/>
        <v>28.32</v>
      </c>
    </row>
    <row r="794" spans="1:19" ht="14.1" customHeight="1">
      <c r="A794" s="72">
        <f t="shared" si="66"/>
        <v>794</v>
      </c>
      <c r="B794" s="50" t="s">
        <v>814</v>
      </c>
      <c r="C794" s="50" t="s">
        <v>833</v>
      </c>
      <c r="D794" s="427" t="s">
        <v>1033</v>
      </c>
      <c r="E794" s="426" t="s">
        <v>275</v>
      </c>
      <c r="F794" s="349" t="s">
        <v>286</v>
      </c>
      <c r="G794" s="86" t="s">
        <v>298</v>
      </c>
      <c r="H794" s="50" t="s">
        <v>241</v>
      </c>
      <c r="I794" s="86" t="s">
        <v>780</v>
      </c>
      <c r="J794" s="343">
        <v>50.09</v>
      </c>
      <c r="K794" s="351">
        <f t="shared" si="65"/>
        <v>201</v>
      </c>
      <c r="L794" s="352">
        <v>201</v>
      </c>
      <c r="M794" s="448" t="str">
        <f>IF(L794="nio","",VLOOKUP(L794,'3-Productie normen'!$B$31:$H$45,3,FALSE))</f>
        <v>5 x per week (40 weken + 1 Zomer refreshbeurt)</v>
      </c>
      <c r="N794" s="353" t="e">
        <f t="shared" si="64"/>
        <v>#DIV/0!</v>
      </c>
      <c r="O794" s="354">
        <f>IF(L794="nio",0,IF(L794&gt;0,VLOOKUP(H794,'3-Productie normen'!A:P,VLOOKUP(L794,'3-Productie normen'!$B$31:$C$45,2,FALSE),FALSE)))/VLOOKUP(B794,'2-Kosten per locatie'!$A$13:$D$36,4,FALSE)</f>
        <v>0</v>
      </c>
      <c r="P794" s="82" t="str">
        <f>VLOOKUP(H794,'3-Productie normen'!A:T,20,FALSE)</f>
        <v>L</v>
      </c>
      <c r="Q794" s="447" t="s">
        <v>880</v>
      </c>
      <c r="S794" s="356">
        <f t="shared" si="67"/>
        <v>10068.09</v>
      </c>
    </row>
    <row r="795" spans="1:19" ht="14.1" customHeight="1">
      <c r="A795" s="72">
        <f t="shared" si="66"/>
        <v>795</v>
      </c>
      <c r="B795" s="50" t="s">
        <v>814</v>
      </c>
      <c r="C795" s="50" t="s">
        <v>833</v>
      </c>
      <c r="D795" s="427" t="s">
        <v>1033</v>
      </c>
      <c r="E795" s="426" t="s">
        <v>275</v>
      </c>
      <c r="F795" s="349" t="s">
        <v>664</v>
      </c>
      <c r="G795" s="86" t="s">
        <v>209</v>
      </c>
      <c r="H795" s="63" t="s">
        <v>1040</v>
      </c>
      <c r="I795" s="86" t="s">
        <v>780</v>
      </c>
      <c r="J795" s="343">
        <v>2.35</v>
      </c>
      <c r="K795" s="351">
        <f t="shared" si="65"/>
        <v>12</v>
      </c>
      <c r="L795" s="352">
        <v>12</v>
      </c>
      <c r="M795" s="448" t="str">
        <f>IF(L795="nio","",VLOOKUP(L795,'3-Productie normen'!$B$31:$H$45,3,FALSE))</f>
        <v>1 x per maand</v>
      </c>
      <c r="N795" s="353" t="e">
        <f t="shared" si="64"/>
        <v>#DIV/0!</v>
      </c>
      <c r="O795" s="354">
        <f>IF(L795="nio",0,IF(L795&gt;0,VLOOKUP(H795,'3-Productie normen'!A:P,VLOOKUP(L795,'3-Productie normen'!$B$31:$C$45,2,FALSE),FALSE)))/VLOOKUP(B795,'2-Kosten per locatie'!$A$13:$D$36,4,FALSE)</f>
        <v>0</v>
      </c>
      <c r="P795" s="82" t="str">
        <f>VLOOKUP(H795,'3-Productie normen'!A:T,20,FALSE)</f>
        <v>V</v>
      </c>
      <c r="Q795" s="447" t="s">
        <v>792</v>
      </c>
      <c r="S795" s="356">
        <f t="shared" si="67"/>
        <v>28.200000000000003</v>
      </c>
    </row>
    <row r="796" spans="1:19" ht="14.1" customHeight="1">
      <c r="A796" s="72">
        <f t="shared" si="66"/>
        <v>796</v>
      </c>
      <c r="B796" s="50" t="s">
        <v>814</v>
      </c>
      <c r="C796" s="50" t="s">
        <v>833</v>
      </c>
      <c r="D796" s="427" t="s">
        <v>1033</v>
      </c>
      <c r="E796" s="426" t="s">
        <v>275</v>
      </c>
      <c r="F796" s="349" t="s">
        <v>287</v>
      </c>
      <c r="G796" s="86" t="s">
        <v>226</v>
      </c>
      <c r="H796" s="86" t="s">
        <v>16</v>
      </c>
      <c r="I796" s="86" t="s">
        <v>781</v>
      </c>
      <c r="J796" s="343">
        <v>10.33</v>
      </c>
      <c r="K796" s="351">
        <f t="shared" si="65"/>
        <v>201</v>
      </c>
      <c r="L796" s="352">
        <v>201</v>
      </c>
      <c r="M796" s="448" t="str">
        <f>IF(L796="nio","",VLOOKUP(L796,'3-Productie normen'!$B$31:$H$45,3,FALSE))</f>
        <v>5 x per week (40 weken + 1 Zomer refreshbeurt)</v>
      </c>
      <c r="N796" s="353" t="e">
        <f t="shared" si="64"/>
        <v>#DIV/0!</v>
      </c>
      <c r="O796" s="354">
        <f>IF(L796="nio",0,IF(L796&gt;0,VLOOKUP(H796,'3-Productie normen'!A:P,VLOOKUP(L796,'3-Productie normen'!$B$31:$C$45,2,FALSE),FALSE)))/VLOOKUP(B796,'2-Kosten per locatie'!$A$13:$D$36,4,FALSE)</f>
        <v>0</v>
      </c>
      <c r="P796" s="82" t="str">
        <f>VLOOKUP(H796,'3-Productie normen'!A:T,20,FALSE)</f>
        <v>S</v>
      </c>
      <c r="Q796" s="447" t="s">
        <v>985</v>
      </c>
      <c r="S796" s="356">
        <f t="shared" si="67"/>
        <v>2076.33</v>
      </c>
    </row>
    <row r="797" spans="1:19" ht="14.1" customHeight="1">
      <c r="A797" s="72">
        <f t="shared" si="66"/>
        <v>797</v>
      </c>
      <c r="B797" s="50" t="s">
        <v>814</v>
      </c>
      <c r="C797" s="50" t="s">
        <v>833</v>
      </c>
      <c r="D797" s="427" t="s">
        <v>1033</v>
      </c>
      <c r="E797" s="426" t="s">
        <v>275</v>
      </c>
      <c r="F797" s="349" t="s">
        <v>288</v>
      </c>
      <c r="G797" s="86" t="s">
        <v>298</v>
      </c>
      <c r="H797" s="50" t="s">
        <v>241</v>
      </c>
      <c r="I797" s="86" t="s">
        <v>780</v>
      </c>
      <c r="J797" s="343">
        <v>50.02</v>
      </c>
      <c r="K797" s="351">
        <f t="shared" si="65"/>
        <v>201</v>
      </c>
      <c r="L797" s="352">
        <v>201</v>
      </c>
      <c r="M797" s="448" t="str">
        <f>IF(L797="nio","",VLOOKUP(L797,'3-Productie normen'!$B$31:$H$45,3,FALSE))</f>
        <v>5 x per week (40 weken + 1 Zomer refreshbeurt)</v>
      </c>
      <c r="N797" s="353" t="e">
        <f t="shared" si="64"/>
        <v>#DIV/0!</v>
      </c>
      <c r="O797" s="354">
        <f>IF(L797="nio",0,IF(L797&gt;0,VLOOKUP(H797,'3-Productie normen'!A:P,VLOOKUP(L797,'3-Productie normen'!$B$31:$C$45,2,FALSE),FALSE)))/VLOOKUP(B797,'2-Kosten per locatie'!$A$13:$D$36,4,FALSE)</f>
        <v>0</v>
      </c>
      <c r="P797" s="82" t="str">
        <f>VLOOKUP(H797,'3-Productie normen'!A:T,20,FALSE)</f>
        <v>L</v>
      </c>
      <c r="Q797" s="447" t="s">
        <v>884</v>
      </c>
      <c r="S797" s="356">
        <f t="shared" si="67"/>
        <v>10054.02</v>
      </c>
    </row>
    <row r="798" spans="1:19" ht="14.1" customHeight="1">
      <c r="A798" s="72">
        <f t="shared" si="66"/>
        <v>798</v>
      </c>
      <c r="B798" s="50" t="s">
        <v>814</v>
      </c>
      <c r="C798" s="50" t="s">
        <v>833</v>
      </c>
      <c r="D798" s="427" t="s">
        <v>1033</v>
      </c>
      <c r="E798" s="426" t="s">
        <v>275</v>
      </c>
      <c r="F798" s="349" t="s">
        <v>608</v>
      </c>
      <c r="G798" s="86" t="s">
        <v>209</v>
      </c>
      <c r="H798" s="63" t="s">
        <v>1040</v>
      </c>
      <c r="I798" s="86" t="s">
        <v>780</v>
      </c>
      <c r="J798" s="343">
        <v>2.36</v>
      </c>
      <c r="K798" s="351">
        <f t="shared" si="65"/>
        <v>12</v>
      </c>
      <c r="L798" s="352">
        <v>12</v>
      </c>
      <c r="M798" s="448" t="str">
        <f>IF(L798="nio","",VLOOKUP(L798,'3-Productie normen'!$B$31:$H$45,3,FALSE))</f>
        <v>1 x per maand</v>
      </c>
      <c r="N798" s="353" t="e">
        <f t="shared" si="64"/>
        <v>#DIV/0!</v>
      </c>
      <c r="O798" s="354">
        <f>IF(L798="nio",0,IF(L798&gt;0,VLOOKUP(H798,'3-Productie normen'!A:P,VLOOKUP(L798,'3-Productie normen'!$B$31:$C$45,2,FALSE),FALSE)))/VLOOKUP(B798,'2-Kosten per locatie'!$A$13:$D$36,4,FALSE)</f>
        <v>0</v>
      </c>
      <c r="P798" s="82" t="str">
        <f>VLOOKUP(H798,'3-Productie normen'!A:T,20,FALSE)</f>
        <v>V</v>
      </c>
      <c r="Q798" s="447" t="s">
        <v>792</v>
      </c>
      <c r="S798" s="356">
        <f t="shared" si="67"/>
        <v>28.32</v>
      </c>
    </row>
    <row r="799" spans="1:19" ht="14.1" customHeight="1">
      <c r="A799" s="72">
        <f t="shared" si="66"/>
        <v>799</v>
      </c>
      <c r="B799" s="50" t="s">
        <v>814</v>
      </c>
      <c r="C799" s="50" t="s">
        <v>833</v>
      </c>
      <c r="D799" s="427" t="s">
        <v>1033</v>
      </c>
      <c r="E799" s="426" t="s">
        <v>275</v>
      </c>
      <c r="F799" s="349" t="s">
        <v>289</v>
      </c>
      <c r="G799" s="86" t="s">
        <v>298</v>
      </c>
      <c r="H799" s="86" t="s">
        <v>241</v>
      </c>
      <c r="I799" s="86" t="s">
        <v>780</v>
      </c>
      <c r="J799" s="343">
        <v>50.03</v>
      </c>
      <c r="K799" s="351">
        <f t="shared" si="65"/>
        <v>201</v>
      </c>
      <c r="L799" s="352">
        <v>201</v>
      </c>
      <c r="M799" s="448" t="str">
        <f>IF(L799="nio","",VLOOKUP(L799,'3-Productie normen'!$B$31:$H$45,3,FALSE))</f>
        <v>5 x per week (40 weken + 1 Zomer refreshbeurt)</v>
      </c>
      <c r="N799" s="353" t="e">
        <f t="shared" si="64"/>
        <v>#DIV/0!</v>
      </c>
      <c r="O799" s="354">
        <f>IF(L799="nio",0,IF(L799&gt;0,VLOOKUP(H799,'3-Productie normen'!A:P,VLOOKUP(L799,'3-Productie normen'!$B$31:$C$45,2,FALSE),FALSE)))/VLOOKUP(B799,'2-Kosten per locatie'!$A$13:$D$36,4,FALSE)</f>
        <v>0</v>
      </c>
      <c r="P799" s="82" t="str">
        <f>VLOOKUP(H799,'3-Productie normen'!A:T,20,FALSE)</f>
        <v>L</v>
      </c>
      <c r="Q799" s="447" t="s">
        <v>896</v>
      </c>
      <c r="S799" s="356">
        <f t="shared" si="67"/>
        <v>10056.030000000001</v>
      </c>
    </row>
    <row r="800" spans="1:19" ht="14.1" customHeight="1">
      <c r="A800" s="72">
        <f t="shared" si="66"/>
        <v>800</v>
      </c>
      <c r="B800" s="50" t="s">
        <v>814</v>
      </c>
      <c r="C800" s="50" t="s">
        <v>833</v>
      </c>
      <c r="D800" s="427" t="s">
        <v>1033</v>
      </c>
      <c r="E800" s="426" t="s">
        <v>275</v>
      </c>
      <c r="F800" s="349" t="s">
        <v>290</v>
      </c>
      <c r="G800" s="86" t="s">
        <v>392</v>
      </c>
      <c r="H800" s="65" t="s">
        <v>1053</v>
      </c>
      <c r="I800" s="86" t="s">
        <v>788</v>
      </c>
      <c r="J800" s="343">
        <v>9.4700000000000006</v>
      </c>
      <c r="K800" s="351" t="str">
        <f t="shared" si="65"/>
        <v>nio</v>
      </c>
      <c r="L800" s="484" t="s">
        <v>804</v>
      </c>
      <c r="M800" s="448" t="str">
        <f>IF(L800="nio","",VLOOKUP(L800,'3-Productie normen'!$B$31:$H$45,3,FALSE))</f>
        <v/>
      </c>
      <c r="N800" s="353">
        <f t="shared" si="64"/>
        <v>0</v>
      </c>
      <c r="O800" s="354">
        <f>IF(L800="nio",0,IF(L800&gt;0,VLOOKUP(H800,'3-Productie normen'!A:P,VLOOKUP(L800,'3-Productie normen'!$B$31:$C$45,2,FALSE),FALSE)))/VLOOKUP(B800,'2-Kosten per locatie'!$A$13:$D$36,4,FALSE)</f>
        <v>0</v>
      </c>
      <c r="P800" s="82">
        <f>VLOOKUP(H800,'3-Productie normen'!A:T,20,FALSE)</f>
        <v>0</v>
      </c>
      <c r="Q800" s="447" t="s">
        <v>792</v>
      </c>
      <c r="S800" s="356">
        <f t="shared" si="67"/>
        <v>0</v>
      </c>
    </row>
    <row r="801" spans="1:19" ht="14.1" customHeight="1">
      <c r="A801" s="72">
        <f t="shared" si="66"/>
        <v>801</v>
      </c>
      <c r="B801" s="50" t="s">
        <v>814</v>
      </c>
      <c r="C801" s="50" t="s">
        <v>833</v>
      </c>
      <c r="D801" s="427" t="s">
        <v>1033</v>
      </c>
      <c r="E801" s="426" t="s">
        <v>275</v>
      </c>
      <c r="F801" s="349" t="s">
        <v>291</v>
      </c>
      <c r="G801" s="86" t="s">
        <v>209</v>
      </c>
      <c r="H801" s="63" t="s">
        <v>1040</v>
      </c>
      <c r="I801" s="86" t="s">
        <v>788</v>
      </c>
      <c r="J801" s="343">
        <v>32.53</v>
      </c>
      <c r="K801" s="351">
        <f t="shared" si="65"/>
        <v>12</v>
      </c>
      <c r="L801" s="484">
        <v>12</v>
      </c>
      <c r="M801" s="448" t="str">
        <f>IF(L801="nio","",VLOOKUP(L801,'3-Productie normen'!$B$31:$H$45,3,FALSE))</f>
        <v>1 x per maand</v>
      </c>
      <c r="N801" s="353" t="e">
        <f t="shared" si="64"/>
        <v>#DIV/0!</v>
      </c>
      <c r="O801" s="354">
        <f>IF(L801="nio",0,IF(L801&gt;0,VLOOKUP(H801,'3-Productie normen'!A:P,VLOOKUP(L801,'3-Productie normen'!$B$31:$C$45,2,FALSE),FALSE)))/VLOOKUP(B801,'2-Kosten per locatie'!$A$13:$D$36,4,FALSE)</f>
        <v>0</v>
      </c>
      <c r="P801" s="82" t="str">
        <f>VLOOKUP(H801,'3-Productie normen'!A:T,20,FALSE)</f>
        <v>V</v>
      </c>
      <c r="Q801" s="447" t="s">
        <v>792</v>
      </c>
      <c r="S801" s="356">
        <f t="shared" si="67"/>
        <v>390.36</v>
      </c>
    </row>
    <row r="802" spans="1:19" ht="14.1" customHeight="1">
      <c r="A802" s="72">
        <f t="shared" si="66"/>
        <v>802</v>
      </c>
      <c r="B802" s="50" t="s">
        <v>814</v>
      </c>
      <c r="C802" s="50" t="s">
        <v>833</v>
      </c>
      <c r="D802" s="427" t="s">
        <v>1033</v>
      </c>
      <c r="E802" s="426" t="s">
        <v>275</v>
      </c>
      <c r="F802" s="349" t="s">
        <v>292</v>
      </c>
      <c r="G802" s="86" t="s">
        <v>209</v>
      </c>
      <c r="H802" s="63" t="s">
        <v>1040</v>
      </c>
      <c r="I802" s="86" t="s">
        <v>788</v>
      </c>
      <c r="J802" s="343">
        <v>65.64</v>
      </c>
      <c r="K802" s="351">
        <f t="shared" si="65"/>
        <v>12</v>
      </c>
      <c r="L802" s="484">
        <v>12</v>
      </c>
      <c r="M802" s="448" t="str">
        <f>IF(L802="nio","",VLOOKUP(L802,'3-Productie normen'!$B$31:$H$45,3,FALSE))</f>
        <v>1 x per maand</v>
      </c>
      <c r="N802" s="353" t="e">
        <f t="shared" si="64"/>
        <v>#DIV/0!</v>
      </c>
      <c r="O802" s="354">
        <f>IF(L802="nio",0,IF(L802&gt;0,VLOOKUP(H802,'3-Productie normen'!A:P,VLOOKUP(L802,'3-Productie normen'!$B$31:$C$45,2,FALSE),FALSE)))/VLOOKUP(B802,'2-Kosten per locatie'!$A$13:$D$36,4,FALSE)</f>
        <v>0</v>
      </c>
      <c r="P802" s="82" t="str">
        <f>VLOOKUP(H802,'3-Productie normen'!A:T,20,FALSE)</f>
        <v>V</v>
      </c>
      <c r="Q802" s="447" t="s">
        <v>792</v>
      </c>
      <c r="S802" s="356">
        <f t="shared" si="67"/>
        <v>787.68000000000006</v>
      </c>
    </row>
    <row r="803" spans="1:19" ht="14.1" customHeight="1">
      <c r="A803" s="72">
        <f t="shared" si="66"/>
        <v>803</v>
      </c>
      <c r="B803" s="50" t="s">
        <v>815</v>
      </c>
      <c r="C803" s="50" t="s">
        <v>834</v>
      </c>
      <c r="D803" s="427" t="s">
        <v>1035</v>
      </c>
      <c r="E803" s="426" t="s">
        <v>612</v>
      </c>
      <c r="F803" s="349" t="s">
        <v>613</v>
      </c>
      <c r="G803" s="86" t="s">
        <v>201</v>
      </c>
      <c r="H803" s="432" t="s">
        <v>198</v>
      </c>
      <c r="I803" s="86" t="s">
        <v>789</v>
      </c>
      <c r="J803" s="343">
        <v>20.899999618530298</v>
      </c>
      <c r="K803" s="351">
        <f t="shared" si="65"/>
        <v>255</v>
      </c>
      <c r="L803" s="484">
        <v>255</v>
      </c>
      <c r="M803" s="448" t="str">
        <f>IF(L803="nio","",VLOOKUP(L803,'3-Productie normen'!$B$31:$H$45,3,FALSE))</f>
        <v>5 x per week (52 weken)</v>
      </c>
      <c r="N803" s="353" t="e">
        <f t="shared" si="64"/>
        <v>#DIV/0!</v>
      </c>
      <c r="O803" s="354">
        <f>IF(L803="nio",0,IF(L803&gt;0,VLOOKUP(H803,'3-Productie normen'!A:P,VLOOKUP(L803,'3-Productie normen'!$B$31:$C$45,2,FALSE),FALSE)))/VLOOKUP(B803,'2-Kosten per locatie'!$A$13:$D$36,4,FALSE)</f>
        <v>0</v>
      </c>
      <c r="P803" s="82" t="str">
        <f>VLOOKUP(H803,'3-Productie normen'!A:T,20,FALSE)</f>
        <v>V</v>
      </c>
      <c r="Q803" s="447" t="s">
        <v>792</v>
      </c>
      <c r="S803" s="356">
        <f t="shared" si="67"/>
        <v>5329.4999027252261</v>
      </c>
    </row>
    <row r="804" spans="1:19" ht="14.1" customHeight="1">
      <c r="A804" s="72">
        <f t="shared" si="66"/>
        <v>804</v>
      </c>
      <c r="B804" s="50" t="s">
        <v>815</v>
      </c>
      <c r="C804" s="50" t="s">
        <v>834</v>
      </c>
      <c r="D804" s="427" t="s">
        <v>1035</v>
      </c>
      <c r="E804" s="426" t="s">
        <v>612</v>
      </c>
      <c r="F804" s="349" t="s">
        <v>665</v>
      </c>
      <c r="G804" s="86" t="s">
        <v>232</v>
      </c>
      <c r="H804" s="430" t="s">
        <v>1046</v>
      </c>
      <c r="I804" s="86" t="s">
        <v>800</v>
      </c>
      <c r="J804" s="343">
        <v>12.199999809265099</v>
      </c>
      <c r="K804" s="351">
        <f t="shared" si="65"/>
        <v>255</v>
      </c>
      <c r="L804" s="484">
        <v>255</v>
      </c>
      <c r="M804" s="448" t="str">
        <f>IF(L804="nio","",VLOOKUP(L804,'3-Productie normen'!$B$31:$H$45,3,FALSE))</f>
        <v>5 x per week (52 weken)</v>
      </c>
      <c r="N804" s="353" t="e">
        <f t="shared" si="64"/>
        <v>#DIV/0!</v>
      </c>
      <c r="O804" s="354">
        <f>IF(L804="nio",0,IF(L804&gt;0,VLOOKUP(H804,'3-Productie normen'!A:P,VLOOKUP(L804,'3-Productie normen'!$B$31:$C$45,2,FALSE),FALSE)))/VLOOKUP(B804,'2-Kosten per locatie'!$A$13:$D$36,4,FALSE)</f>
        <v>0</v>
      </c>
      <c r="P804" s="82" t="str">
        <f>VLOOKUP(H804,'3-Productie normen'!A:T,20,FALSE)</f>
        <v>V</v>
      </c>
      <c r="Q804" s="447" t="s">
        <v>792</v>
      </c>
      <c r="S804" s="356">
        <f t="shared" si="67"/>
        <v>3110.9999513626003</v>
      </c>
    </row>
    <row r="805" spans="1:19" ht="14.1" customHeight="1">
      <c r="A805" s="72">
        <f t="shared" si="66"/>
        <v>805</v>
      </c>
      <c r="B805" s="50" t="s">
        <v>815</v>
      </c>
      <c r="C805" s="50" t="s">
        <v>834</v>
      </c>
      <c r="D805" s="427" t="s">
        <v>1035</v>
      </c>
      <c r="E805" s="426" t="s">
        <v>612</v>
      </c>
      <c r="F805" s="349" t="s">
        <v>666</v>
      </c>
      <c r="G805" s="86" t="s">
        <v>188</v>
      </c>
      <c r="H805" s="81" t="s">
        <v>1047</v>
      </c>
      <c r="I805" s="86" t="s">
        <v>801</v>
      </c>
      <c r="J805" s="343">
        <v>2.7999999523162802</v>
      </c>
      <c r="K805" s="351">
        <f t="shared" si="65"/>
        <v>255</v>
      </c>
      <c r="L805" s="484">
        <v>255</v>
      </c>
      <c r="M805" s="448" t="str">
        <f>IF(L805="nio","",VLOOKUP(L805,'3-Productie normen'!$B$31:$H$45,3,FALSE))</f>
        <v>5 x per week (52 weken)</v>
      </c>
      <c r="N805" s="353" t="e">
        <f t="shared" si="64"/>
        <v>#DIV/0!</v>
      </c>
      <c r="O805" s="354">
        <f>IF(L805="nio",0,IF(L805&gt;0,VLOOKUP(H805,'3-Productie normen'!A:P,VLOOKUP(L805,'3-Productie normen'!$B$31:$C$45,2,FALSE),FALSE)))/VLOOKUP(B805,'2-Kosten per locatie'!$A$13:$D$36,4,FALSE)</f>
        <v>0</v>
      </c>
      <c r="P805" s="82" t="str">
        <f>VLOOKUP(H805,'3-Productie normen'!A:T,20,FALSE)</f>
        <v>V</v>
      </c>
      <c r="Q805" s="447" t="s">
        <v>792</v>
      </c>
      <c r="S805" s="356">
        <f t="shared" si="67"/>
        <v>713.99998784065144</v>
      </c>
    </row>
    <row r="806" spans="1:19" ht="14.1" customHeight="1">
      <c r="A806" s="72">
        <f t="shared" si="66"/>
        <v>806</v>
      </c>
      <c r="B806" s="50" t="s">
        <v>815</v>
      </c>
      <c r="C806" s="50" t="s">
        <v>834</v>
      </c>
      <c r="D806" s="427" t="s">
        <v>1035</v>
      </c>
      <c r="E806" s="426" t="s">
        <v>612</v>
      </c>
      <c r="F806" s="349" t="s">
        <v>611</v>
      </c>
      <c r="G806" s="86" t="s">
        <v>419</v>
      </c>
      <c r="H806" s="432" t="s">
        <v>198</v>
      </c>
      <c r="I806" s="86" t="s">
        <v>789</v>
      </c>
      <c r="J806" s="343">
        <v>8.1999998092651403</v>
      </c>
      <c r="K806" s="351">
        <f t="shared" si="65"/>
        <v>255</v>
      </c>
      <c r="L806" s="484">
        <v>255</v>
      </c>
      <c r="M806" s="448" t="str">
        <f>IF(L806="nio","",VLOOKUP(L806,'3-Productie normen'!$B$31:$H$45,3,FALSE))</f>
        <v>5 x per week (52 weken)</v>
      </c>
      <c r="N806" s="353" t="e">
        <f t="shared" si="64"/>
        <v>#DIV/0!</v>
      </c>
      <c r="O806" s="354">
        <f>IF(L806="nio",0,IF(L806&gt;0,VLOOKUP(H806,'3-Productie normen'!A:P,VLOOKUP(L806,'3-Productie normen'!$B$31:$C$45,2,FALSE),FALSE)))/VLOOKUP(B806,'2-Kosten per locatie'!$A$13:$D$36,4,FALSE)</f>
        <v>0</v>
      </c>
      <c r="P806" s="82" t="str">
        <f>VLOOKUP(H806,'3-Productie normen'!A:T,20,FALSE)</f>
        <v>V</v>
      </c>
      <c r="Q806" s="447" t="s">
        <v>792</v>
      </c>
      <c r="S806" s="356">
        <f t="shared" si="67"/>
        <v>2090.9999513626108</v>
      </c>
    </row>
    <row r="807" spans="1:19" ht="14.1" customHeight="1">
      <c r="A807" s="72">
        <f t="shared" si="66"/>
        <v>807</v>
      </c>
      <c r="B807" s="50" t="s">
        <v>815</v>
      </c>
      <c r="C807" s="50" t="s">
        <v>834</v>
      </c>
      <c r="D807" s="427" t="s">
        <v>1035</v>
      </c>
      <c r="E807" s="426" t="s">
        <v>612</v>
      </c>
      <c r="F807" s="349" t="s">
        <v>614</v>
      </c>
      <c r="G807" s="86" t="s">
        <v>206</v>
      </c>
      <c r="H807" s="65" t="s">
        <v>1053</v>
      </c>
      <c r="I807" s="86" t="s">
        <v>92</v>
      </c>
      <c r="J807" s="343">
        <v>1.29999995231628</v>
      </c>
      <c r="K807" s="351" t="str">
        <f t="shared" si="65"/>
        <v>nio</v>
      </c>
      <c r="L807" s="484" t="s">
        <v>804</v>
      </c>
      <c r="M807" s="448" t="str">
        <f>IF(L807="nio","",VLOOKUP(L807,'3-Productie normen'!$B$31:$H$45,3,FALSE))</f>
        <v/>
      </c>
      <c r="N807" s="353">
        <f t="shared" si="64"/>
        <v>0</v>
      </c>
      <c r="O807" s="354">
        <f>IF(L807="nio",0,IF(L807&gt;0,VLOOKUP(H807,'3-Productie normen'!A:P,VLOOKUP(L807,'3-Productie normen'!$B$31:$C$45,2,FALSE),FALSE)))/VLOOKUP(B807,'2-Kosten per locatie'!$A$13:$D$36,4,FALSE)</f>
        <v>0</v>
      </c>
      <c r="P807" s="82">
        <f>VLOOKUP(H807,'3-Productie normen'!A:T,20,FALSE)</f>
        <v>0</v>
      </c>
      <c r="Q807" s="447" t="s">
        <v>792</v>
      </c>
      <c r="S807" s="356">
        <f t="shared" si="67"/>
        <v>0</v>
      </c>
    </row>
    <row r="808" spans="1:19" ht="14.1" customHeight="1">
      <c r="A808" s="72">
        <f t="shared" si="66"/>
        <v>808</v>
      </c>
      <c r="B808" s="50" t="s">
        <v>815</v>
      </c>
      <c r="C808" s="50" t="s">
        <v>834</v>
      </c>
      <c r="D808" s="427" t="s">
        <v>1035</v>
      </c>
      <c r="E808" s="426" t="s">
        <v>612</v>
      </c>
      <c r="F808" s="349" t="s">
        <v>615</v>
      </c>
      <c r="G808" s="86" t="s">
        <v>199</v>
      </c>
      <c r="H808" s="432" t="s">
        <v>198</v>
      </c>
      <c r="I808" s="86" t="s">
        <v>789</v>
      </c>
      <c r="J808" s="343">
        <v>8.1999998092651403</v>
      </c>
      <c r="K808" s="351">
        <f t="shared" si="65"/>
        <v>255</v>
      </c>
      <c r="L808" s="484">
        <v>255</v>
      </c>
      <c r="M808" s="448" t="str">
        <f>IF(L808="nio","",VLOOKUP(L808,'3-Productie normen'!$B$31:$H$45,3,FALSE))</f>
        <v>5 x per week (52 weken)</v>
      </c>
      <c r="N808" s="353" t="e">
        <f t="shared" si="64"/>
        <v>#DIV/0!</v>
      </c>
      <c r="O808" s="354">
        <f>IF(L808="nio",0,IF(L808&gt;0,VLOOKUP(H808,'3-Productie normen'!A:P,VLOOKUP(L808,'3-Productie normen'!$B$31:$C$45,2,FALSE),FALSE)))/VLOOKUP(B808,'2-Kosten per locatie'!$A$13:$D$36,4,FALSE)</f>
        <v>0</v>
      </c>
      <c r="P808" s="82" t="str">
        <f>VLOOKUP(H808,'3-Productie normen'!A:T,20,FALSE)</f>
        <v>V</v>
      </c>
      <c r="Q808" s="447" t="s">
        <v>792</v>
      </c>
      <c r="S808" s="356">
        <f t="shared" si="67"/>
        <v>2090.9999513626108</v>
      </c>
    </row>
    <row r="809" spans="1:19" ht="14.1" customHeight="1">
      <c r="A809" s="72">
        <f t="shared" si="66"/>
        <v>809</v>
      </c>
      <c r="B809" s="50" t="s">
        <v>815</v>
      </c>
      <c r="C809" s="50" t="s">
        <v>834</v>
      </c>
      <c r="D809" s="427" t="s">
        <v>1035</v>
      </c>
      <c r="E809" s="426" t="s">
        <v>612</v>
      </c>
      <c r="F809" s="349" t="s">
        <v>615</v>
      </c>
      <c r="G809" s="86" t="s">
        <v>199</v>
      </c>
      <c r="H809" s="432" t="s">
        <v>198</v>
      </c>
      <c r="I809" s="86" t="s">
        <v>779</v>
      </c>
      <c r="J809" s="343">
        <v>9.8999996185302699</v>
      </c>
      <c r="K809" s="351">
        <f t="shared" si="65"/>
        <v>255</v>
      </c>
      <c r="L809" s="484">
        <v>255</v>
      </c>
      <c r="M809" s="448" t="str">
        <f>IF(L809="nio","",VLOOKUP(L809,'3-Productie normen'!$B$31:$H$45,3,FALSE))</f>
        <v>5 x per week (52 weken)</v>
      </c>
      <c r="N809" s="353" t="e">
        <f t="shared" si="64"/>
        <v>#DIV/0!</v>
      </c>
      <c r="O809" s="354">
        <f>IF(L809="nio",0,IF(L809&gt;0,VLOOKUP(H809,'3-Productie normen'!A:P,VLOOKUP(L809,'3-Productie normen'!$B$31:$C$45,2,FALSE),FALSE)))/VLOOKUP(B809,'2-Kosten per locatie'!$A$13:$D$36,4,FALSE)</f>
        <v>0</v>
      </c>
      <c r="P809" s="82" t="str">
        <f>VLOOKUP(H809,'3-Productie normen'!A:T,20,FALSE)</f>
        <v>V</v>
      </c>
      <c r="Q809" s="447" t="s">
        <v>792</v>
      </c>
      <c r="S809" s="356">
        <f t="shared" si="67"/>
        <v>2524.4999027252188</v>
      </c>
    </row>
    <row r="810" spans="1:19" ht="14.1" customHeight="1">
      <c r="A810" s="72">
        <f t="shared" si="66"/>
        <v>810</v>
      </c>
      <c r="B810" s="50" t="s">
        <v>815</v>
      </c>
      <c r="C810" s="50" t="s">
        <v>834</v>
      </c>
      <c r="D810" s="427" t="s">
        <v>1035</v>
      </c>
      <c r="E810" s="426" t="s">
        <v>612</v>
      </c>
      <c r="F810" s="349" t="s">
        <v>616</v>
      </c>
      <c r="G810" s="86" t="s">
        <v>398</v>
      </c>
      <c r="H810" s="86" t="s">
        <v>203</v>
      </c>
      <c r="I810" s="86" t="s">
        <v>789</v>
      </c>
      <c r="J810" s="343">
        <v>13.699999809265099</v>
      </c>
      <c r="K810" s="351">
        <f t="shared" si="65"/>
        <v>255</v>
      </c>
      <c r="L810" s="484">
        <v>255</v>
      </c>
      <c r="M810" s="448" t="str">
        <f>IF(L810="nio","",VLOOKUP(L810,'3-Productie normen'!$B$31:$H$45,3,FALSE))</f>
        <v>5 x per week (52 weken)</v>
      </c>
      <c r="N810" s="353" t="e">
        <f t="shared" si="64"/>
        <v>#DIV/0!</v>
      </c>
      <c r="O810" s="354">
        <f>IF(L810="nio",0,IF(L810&gt;0,VLOOKUP(H810,'3-Productie normen'!A:P,VLOOKUP(L810,'3-Productie normen'!$B$31:$C$45,2,FALSE),FALSE)))/VLOOKUP(B810,'2-Kosten per locatie'!$A$13:$D$36,4,FALSE)</f>
        <v>0</v>
      </c>
      <c r="P810" s="82" t="str">
        <f>VLOOKUP(H810,'3-Productie normen'!A:T,20,FALSE)</f>
        <v>B</v>
      </c>
      <c r="Q810" s="447" t="s">
        <v>792</v>
      </c>
      <c r="S810" s="356">
        <f t="shared" si="67"/>
        <v>3493.4999513626003</v>
      </c>
    </row>
    <row r="811" spans="1:19" ht="14.1" customHeight="1">
      <c r="A811" s="72">
        <f t="shared" si="66"/>
        <v>811</v>
      </c>
      <c r="B811" s="50" t="s">
        <v>815</v>
      </c>
      <c r="C811" s="50" t="s">
        <v>834</v>
      </c>
      <c r="D811" s="427" t="s">
        <v>1035</v>
      </c>
      <c r="E811" s="426" t="s">
        <v>612</v>
      </c>
      <c r="F811" s="349" t="s">
        <v>617</v>
      </c>
      <c r="G811" s="86" t="s">
        <v>222</v>
      </c>
      <c r="H811" s="86" t="s">
        <v>16</v>
      </c>
      <c r="I811" s="86" t="s">
        <v>781</v>
      </c>
      <c r="J811" s="343">
        <v>6.5999999046325701</v>
      </c>
      <c r="K811" s="351">
        <f t="shared" si="65"/>
        <v>255</v>
      </c>
      <c r="L811" s="484">
        <v>255</v>
      </c>
      <c r="M811" s="448" t="str">
        <f>IF(L811="nio","",VLOOKUP(L811,'3-Productie normen'!$B$31:$H$45,3,FALSE))</f>
        <v>5 x per week (52 weken)</v>
      </c>
      <c r="N811" s="353" t="e">
        <f t="shared" si="64"/>
        <v>#DIV/0!</v>
      </c>
      <c r="O811" s="354">
        <f>IF(L811="nio",0,IF(L811&gt;0,VLOOKUP(H811,'3-Productie normen'!A:P,VLOOKUP(L811,'3-Productie normen'!$B$31:$C$45,2,FALSE),FALSE)))/VLOOKUP(B811,'2-Kosten per locatie'!$A$13:$D$36,4,FALSE)</f>
        <v>0</v>
      </c>
      <c r="P811" s="82" t="str">
        <f>VLOOKUP(H811,'3-Productie normen'!A:T,20,FALSE)</f>
        <v>S</v>
      </c>
      <c r="Q811" s="447" t="s">
        <v>855</v>
      </c>
      <c r="S811" s="356">
        <f t="shared" si="67"/>
        <v>1682.9999756813054</v>
      </c>
    </row>
    <row r="812" spans="1:19" ht="14.1" customHeight="1">
      <c r="A812" s="72">
        <f t="shared" si="66"/>
        <v>812</v>
      </c>
      <c r="B812" s="50" t="s">
        <v>815</v>
      </c>
      <c r="C812" s="50" t="s">
        <v>834</v>
      </c>
      <c r="D812" s="427" t="s">
        <v>1035</v>
      </c>
      <c r="E812" s="426" t="s">
        <v>612</v>
      </c>
      <c r="F812" s="349" t="s">
        <v>618</v>
      </c>
      <c r="G812" s="86" t="s">
        <v>222</v>
      </c>
      <c r="H812" s="86" t="s">
        <v>16</v>
      </c>
      <c r="I812" s="86" t="s">
        <v>781</v>
      </c>
      <c r="J812" s="343">
        <v>6.1999998092651403</v>
      </c>
      <c r="K812" s="351">
        <f t="shared" si="65"/>
        <v>255</v>
      </c>
      <c r="L812" s="484">
        <v>255</v>
      </c>
      <c r="M812" s="448" t="str">
        <f>IF(L812="nio","",VLOOKUP(L812,'3-Productie normen'!$B$31:$H$45,3,FALSE))</f>
        <v>5 x per week (52 weken)</v>
      </c>
      <c r="N812" s="353" t="e">
        <f t="shared" si="64"/>
        <v>#DIV/0!</v>
      </c>
      <c r="O812" s="354">
        <f>IF(L812="nio",0,IF(L812&gt;0,VLOOKUP(H812,'3-Productie normen'!A:P,VLOOKUP(L812,'3-Productie normen'!$B$31:$C$45,2,FALSE),FALSE)))/VLOOKUP(B812,'2-Kosten per locatie'!$A$13:$D$36,4,FALSE)</f>
        <v>0</v>
      </c>
      <c r="P812" s="82" t="str">
        <f>VLOOKUP(H812,'3-Productie normen'!A:T,20,FALSE)</f>
        <v>S</v>
      </c>
      <c r="Q812" s="447" t="s">
        <v>994</v>
      </c>
      <c r="S812" s="356">
        <f t="shared" si="67"/>
        <v>1580.9999513626108</v>
      </c>
    </row>
    <row r="813" spans="1:19" ht="14.1" customHeight="1">
      <c r="A813" s="72">
        <f t="shared" si="66"/>
        <v>813</v>
      </c>
      <c r="B813" s="50" t="s">
        <v>815</v>
      </c>
      <c r="C813" s="50" t="s">
        <v>834</v>
      </c>
      <c r="D813" s="427" t="s">
        <v>1035</v>
      </c>
      <c r="E813" s="426" t="s">
        <v>612</v>
      </c>
      <c r="F813" s="349" t="s">
        <v>619</v>
      </c>
      <c r="G813" s="86" t="s">
        <v>222</v>
      </c>
      <c r="H813" s="86" t="s">
        <v>16</v>
      </c>
      <c r="I813" s="86" t="s">
        <v>781</v>
      </c>
      <c r="J813" s="343">
        <v>6.5999999046325701</v>
      </c>
      <c r="K813" s="351">
        <f t="shared" si="65"/>
        <v>255</v>
      </c>
      <c r="L813" s="484">
        <v>255</v>
      </c>
      <c r="M813" s="448" t="str">
        <f>IF(L813="nio","",VLOOKUP(L813,'3-Productie normen'!$B$31:$H$45,3,FALSE))</f>
        <v>5 x per week (52 weken)</v>
      </c>
      <c r="N813" s="353" t="e">
        <f t="shared" si="64"/>
        <v>#DIV/0!</v>
      </c>
      <c r="O813" s="354">
        <f>IF(L813="nio",0,IF(L813&gt;0,VLOOKUP(H813,'3-Productie normen'!A:P,VLOOKUP(L813,'3-Productie normen'!$B$31:$C$45,2,FALSE),FALSE)))/VLOOKUP(B813,'2-Kosten per locatie'!$A$13:$D$36,4,FALSE)</f>
        <v>0</v>
      </c>
      <c r="P813" s="82" t="str">
        <f>VLOOKUP(H813,'3-Productie normen'!A:T,20,FALSE)</f>
        <v>S</v>
      </c>
      <c r="Q813" s="447" t="s">
        <v>855</v>
      </c>
      <c r="S813" s="356">
        <f t="shared" si="67"/>
        <v>1682.9999756813054</v>
      </c>
    </row>
    <row r="814" spans="1:19" ht="14.1" customHeight="1">
      <c r="A814" s="72">
        <f t="shared" si="66"/>
        <v>814</v>
      </c>
      <c r="B814" s="50" t="s">
        <v>815</v>
      </c>
      <c r="C814" s="50" t="s">
        <v>834</v>
      </c>
      <c r="D814" s="427" t="s">
        <v>1035</v>
      </c>
      <c r="E814" s="426" t="s">
        <v>612</v>
      </c>
      <c r="F814" s="349" t="s">
        <v>214</v>
      </c>
      <c r="G814" s="86" t="s">
        <v>201</v>
      </c>
      <c r="H814" s="432" t="s">
        <v>198</v>
      </c>
      <c r="I814" s="86" t="s">
        <v>789</v>
      </c>
      <c r="J814" s="343">
        <v>61.900001525878899</v>
      </c>
      <c r="K814" s="351">
        <f t="shared" si="65"/>
        <v>255</v>
      </c>
      <c r="L814" s="484">
        <v>255</v>
      </c>
      <c r="M814" s="448" t="str">
        <f>IF(L814="nio","",VLOOKUP(L814,'3-Productie normen'!$B$31:$H$45,3,FALSE))</f>
        <v>5 x per week (52 weken)</v>
      </c>
      <c r="N814" s="353" t="e">
        <f t="shared" si="64"/>
        <v>#DIV/0!</v>
      </c>
      <c r="O814" s="354">
        <f>IF(L814="nio",0,IF(L814&gt;0,VLOOKUP(H814,'3-Productie normen'!A:P,VLOOKUP(L814,'3-Productie normen'!$B$31:$C$45,2,FALSE),FALSE)))/VLOOKUP(B814,'2-Kosten per locatie'!$A$13:$D$36,4,FALSE)</f>
        <v>0</v>
      </c>
      <c r="P814" s="82" t="str">
        <f>VLOOKUP(H814,'3-Productie normen'!A:T,20,FALSE)</f>
        <v>V</v>
      </c>
      <c r="Q814" s="447" t="s">
        <v>792</v>
      </c>
      <c r="S814" s="356">
        <f t="shared" si="67"/>
        <v>15784.500389099119</v>
      </c>
    </row>
    <row r="815" spans="1:19" ht="14.1" customHeight="1">
      <c r="A815" s="72">
        <f t="shared" si="66"/>
        <v>815</v>
      </c>
      <c r="B815" s="50" t="s">
        <v>815</v>
      </c>
      <c r="C815" s="50" t="s">
        <v>834</v>
      </c>
      <c r="D815" s="427" t="s">
        <v>1035</v>
      </c>
      <c r="E815" s="426" t="s">
        <v>612</v>
      </c>
      <c r="F815" s="349" t="s">
        <v>217</v>
      </c>
      <c r="G815" s="86" t="s">
        <v>407</v>
      </c>
      <c r="H815" s="432" t="s">
        <v>198</v>
      </c>
      <c r="I815" s="86" t="s">
        <v>789</v>
      </c>
      <c r="J815" s="343">
        <v>70.099998474121094</v>
      </c>
      <c r="K815" s="351">
        <f t="shared" si="65"/>
        <v>255</v>
      </c>
      <c r="L815" s="484">
        <v>255</v>
      </c>
      <c r="M815" s="448" t="str">
        <f>IF(L815="nio","",VLOOKUP(L815,'3-Productie normen'!$B$31:$H$45,3,FALSE))</f>
        <v>5 x per week (52 weken)</v>
      </c>
      <c r="N815" s="353" t="e">
        <f t="shared" si="64"/>
        <v>#DIV/0!</v>
      </c>
      <c r="O815" s="354">
        <f>IF(L815="nio",0,IF(L815&gt;0,VLOOKUP(H815,'3-Productie normen'!A:P,VLOOKUP(L815,'3-Productie normen'!$B$31:$C$45,2,FALSE),FALSE)))/VLOOKUP(B815,'2-Kosten per locatie'!$A$13:$D$36,4,FALSE)</f>
        <v>0</v>
      </c>
      <c r="P815" s="82" t="str">
        <f>VLOOKUP(H815,'3-Productie normen'!A:T,20,FALSE)</f>
        <v>V</v>
      </c>
      <c r="Q815" s="447" t="s">
        <v>792</v>
      </c>
      <c r="S815" s="356">
        <f t="shared" si="67"/>
        <v>17875.499610900879</v>
      </c>
    </row>
    <row r="816" spans="1:19" ht="14.1" customHeight="1">
      <c r="A816" s="72">
        <f t="shared" si="66"/>
        <v>816</v>
      </c>
      <c r="B816" s="50" t="s">
        <v>815</v>
      </c>
      <c r="C816" s="50" t="s">
        <v>834</v>
      </c>
      <c r="D816" s="427" t="s">
        <v>1035</v>
      </c>
      <c r="E816" s="426" t="s">
        <v>612</v>
      </c>
      <c r="F816" s="349" t="s">
        <v>218</v>
      </c>
      <c r="G816" s="86" t="s">
        <v>209</v>
      </c>
      <c r="H816" s="63" t="s">
        <v>1040</v>
      </c>
      <c r="I816" s="86" t="s">
        <v>780</v>
      </c>
      <c r="J816" s="343">
        <v>4.5</v>
      </c>
      <c r="K816" s="351">
        <f t="shared" si="65"/>
        <v>12</v>
      </c>
      <c r="L816" s="484">
        <v>12</v>
      </c>
      <c r="M816" s="448" t="str">
        <f>IF(L816="nio","",VLOOKUP(L816,'3-Productie normen'!$B$31:$H$45,3,FALSE))</f>
        <v>1 x per maand</v>
      </c>
      <c r="N816" s="353" t="e">
        <f t="shared" si="64"/>
        <v>#DIV/0!</v>
      </c>
      <c r="O816" s="354">
        <f>IF(L816="nio",0,IF(L816&gt;0,VLOOKUP(H816,'3-Productie normen'!A:P,VLOOKUP(L816,'3-Productie normen'!$B$31:$C$45,2,FALSE),FALSE)))/VLOOKUP(B816,'2-Kosten per locatie'!$A$13:$D$36,4,FALSE)</f>
        <v>0</v>
      </c>
      <c r="P816" s="82" t="str">
        <f>VLOOKUP(H816,'3-Productie normen'!A:T,20,FALSE)</f>
        <v>V</v>
      </c>
      <c r="Q816" s="447" t="s">
        <v>792</v>
      </c>
      <c r="S816" s="356">
        <f t="shared" si="67"/>
        <v>54</v>
      </c>
    </row>
    <row r="817" spans="1:19" ht="14.1" customHeight="1">
      <c r="A817" s="72">
        <f t="shared" si="66"/>
        <v>817</v>
      </c>
      <c r="B817" s="50" t="s">
        <v>815</v>
      </c>
      <c r="C817" s="50" t="s">
        <v>834</v>
      </c>
      <c r="D817" s="427" t="s">
        <v>1038</v>
      </c>
      <c r="E817" s="426" t="s">
        <v>612</v>
      </c>
      <c r="F817" s="349" t="s">
        <v>219</v>
      </c>
      <c r="G817" s="86" t="s">
        <v>215</v>
      </c>
      <c r="H817" s="63" t="s">
        <v>1040</v>
      </c>
      <c r="I817" s="86" t="s">
        <v>781</v>
      </c>
      <c r="J817" s="343">
        <v>5.1999998092651403</v>
      </c>
      <c r="K817" s="351">
        <f t="shared" si="65"/>
        <v>12</v>
      </c>
      <c r="L817" s="484">
        <v>12</v>
      </c>
      <c r="M817" s="448" t="str">
        <f>IF(L817="nio","",VLOOKUP(L817,'3-Productie normen'!$B$31:$H$45,3,FALSE))</f>
        <v>1 x per maand</v>
      </c>
      <c r="N817" s="353" t="e">
        <f t="shared" si="64"/>
        <v>#DIV/0!</v>
      </c>
      <c r="O817" s="354">
        <f>IF(L817="nio",0,IF(L817&gt;0,VLOOKUP(H817,'3-Productie normen'!A:P,VLOOKUP(L817,'3-Productie normen'!$B$31:$C$45,2,FALSE),FALSE)))/VLOOKUP(B817,'2-Kosten per locatie'!$A$13:$D$36,4,FALSE)</f>
        <v>0</v>
      </c>
      <c r="P817" s="82" t="str">
        <f>VLOOKUP(H817,'3-Productie normen'!A:T,20,FALSE)</f>
        <v>V</v>
      </c>
      <c r="Q817" s="447" t="s">
        <v>853</v>
      </c>
      <c r="S817" s="356">
        <f t="shared" si="67"/>
        <v>62.399997711181683</v>
      </c>
    </row>
    <row r="818" spans="1:19" ht="14.1" customHeight="1">
      <c r="A818" s="72">
        <f t="shared" si="66"/>
        <v>818</v>
      </c>
      <c r="B818" s="50" t="s">
        <v>815</v>
      </c>
      <c r="C818" s="50" t="s">
        <v>834</v>
      </c>
      <c r="D818" s="427" t="s">
        <v>1035</v>
      </c>
      <c r="E818" s="426" t="s">
        <v>612</v>
      </c>
      <c r="F818" s="349" t="s">
        <v>220</v>
      </c>
      <c r="G818" s="86" t="s">
        <v>368</v>
      </c>
      <c r="H818" s="432" t="s">
        <v>198</v>
      </c>
      <c r="I818" s="86" t="s">
        <v>789</v>
      </c>
      <c r="J818" s="343">
        <v>17.799999237060501</v>
      </c>
      <c r="K818" s="351">
        <f t="shared" si="65"/>
        <v>255</v>
      </c>
      <c r="L818" s="484">
        <v>255</v>
      </c>
      <c r="M818" s="448" t="str">
        <f>IF(L818="nio","",VLOOKUP(L818,'3-Productie normen'!$B$31:$H$45,3,FALSE))</f>
        <v>5 x per week (52 weken)</v>
      </c>
      <c r="N818" s="353" t="e">
        <f t="shared" si="64"/>
        <v>#DIV/0!</v>
      </c>
      <c r="O818" s="354">
        <f>IF(L818="nio",0,IF(L818&gt;0,VLOOKUP(H818,'3-Productie normen'!A:P,VLOOKUP(L818,'3-Productie normen'!$B$31:$C$45,2,FALSE),FALSE)))/VLOOKUP(B818,'2-Kosten per locatie'!$A$13:$D$36,4,FALSE)</f>
        <v>0</v>
      </c>
      <c r="P818" s="82" t="str">
        <f>VLOOKUP(H818,'3-Productie normen'!A:T,20,FALSE)</f>
        <v>V</v>
      </c>
      <c r="Q818" s="447" t="s">
        <v>792</v>
      </c>
      <c r="S818" s="356">
        <f t="shared" si="67"/>
        <v>4538.9998054504276</v>
      </c>
    </row>
    <row r="819" spans="1:19" ht="14.1" customHeight="1">
      <c r="A819" s="72">
        <f t="shared" si="66"/>
        <v>819</v>
      </c>
      <c r="B819" s="50" t="s">
        <v>815</v>
      </c>
      <c r="C819" s="50" t="s">
        <v>834</v>
      </c>
      <c r="D819" s="427" t="s">
        <v>1035</v>
      </c>
      <c r="E819" s="426" t="s">
        <v>612</v>
      </c>
      <c r="F819" s="349" t="s">
        <v>221</v>
      </c>
      <c r="G819" s="86" t="s">
        <v>209</v>
      </c>
      <c r="H819" s="63" t="s">
        <v>1040</v>
      </c>
      <c r="I819" s="86" t="s">
        <v>789</v>
      </c>
      <c r="J819" s="343">
        <v>4.9000000953674299</v>
      </c>
      <c r="K819" s="351">
        <f t="shared" si="65"/>
        <v>12</v>
      </c>
      <c r="L819" s="484">
        <v>12</v>
      </c>
      <c r="M819" s="448" t="str">
        <f>IF(L819="nio","",VLOOKUP(L819,'3-Productie normen'!$B$31:$H$45,3,FALSE))</f>
        <v>1 x per maand</v>
      </c>
      <c r="N819" s="353" t="e">
        <f t="shared" si="64"/>
        <v>#DIV/0!</v>
      </c>
      <c r="O819" s="354">
        <f>IF(L819="nio",0,IF(L819&gt;0,VLOOKUP(H819,'3-Productie normen'!A:P,VLOOKUP(L819,'3-Productie normen'!$B$31:$C$45,2,FALSE),FALSE)))/VLOOKUP(B819,'2-Kosten per locatie'!$A$13:$D$36,4,FALSE)</f>
        <v>0</v>
      </c>
      <c r="P819" s="82" t="str">
        <f>VLOOKUP(H819,'3-Productie normen'!A:T,20,FALSE)</f>
        <v>V</v>
      </c>
      <c r="Q819" s="447" t="s">
        <v>792</v>
      </c>
      <c r="S819" s="356">
        <f t="shared" si="67"/>
        <v>58.800001144409158</v>
      </c>
    </row>
    <row r="820" spans="1:19" ht="14.1" customHeight="1">
      <c r="A820" s="72">
        <f t="shared" si="66"/>
        <v>820</v>
      </c>
      <c r="B820" s="50" t="s">
        <v>815</v>
      </c>
      <c r="C820" s="50" t="s">
        <v>834</v>
      </c>
      <c r="D820" s="427" t="s">
        <v>1035</v>
      </c>
      <c r="E820" s="426" t="s">
        <v>612</v>
      </c>
      <c r="F820" s="349" t="s">
        <v>223</v>
      </c>
      <c r="G820" s="86" t="s">
        <v>393</v>
      </c>
      <c r="H820" s="432" t="s">
        <v>198</v>
      </c>
      <c r="I820" s="86" t="s">
        <v>789</v>
      </c>
      <c r="J820" s="343">
        <v>124.300003051758</v>
      </c>
      <c r="K820" s="351">
        <f t="shared" si="65"/>
        <v>255</v>
      </c>
      <c r="L820" s="484">
        <v>255</v>
      </c>
      <c r="M820" s="448" t="str">
        <f>IF(L820="nio","",VLOOKUP(L820,'3-Productie normen'!$B$31:$H$45,3,FALSE))</f>
        <v>5 x per week (52 weken)</v>
      </c>
      <c r="N820" s="353" t="e">
        <f t="shared" si="64"/>
        <v>#DIV/0!</v>
      </c>
      <c r="O820" s="354">
        <f>IF(L820="nio",0,IF(L820&gt;0,VLOOKUP(H820,'3-Productie normen'!A:P,VLOOKUP(L820,'3-Productie normen'!$B$31:$C$45,2,FALSE),FALSE)))/VLOOKUP(B820,'2-Kosten per locatie'!$A$13:$D$36,4,FALSE)</f>
        <v>0</v>
      </c>
      <c r="P820" s="82" t="str">
        <f>VLOOKUP(H820,'3-Productie normen'!A:T,20,FALSE)</f>
        <v>V</v>
      </c>
      <c r="Q820" s="447" t="s">
        <v>792</v>
      </c>
      <c r="S820" s="356">
        <f t="shared" si="67"/>
        <v>31696.500778198289</v>
      </c>
    </row>
    <row r="821" spans="1:19" ht="14.1" customHeight="1">
      <c r="A821" s="72">
        <f t="shared" si="66"/>
        <v>821</v>
      </c>
      <c r="B821" s="50" t="s">
        <v>815</v>
      </c>
      <c r="C821" s="50" t="s">
        <v>834</v>
      </c>
      <c r="D821" s="427" t="s">
        <v>1035</v>
      </c>
      <c r="E821" s="426" t="s">
        <v>612</v>
      </c>
      <c r="F821" s="349" t="s">
        <v>224</v>
      </c>
      <c r="G821" s="86" t="s">
        <v>384</v>
      </c>
      <c r="H821" s="86" t="s">
        <v>241</v>
      </c>
      <c r="I821" s="86" t="s">
        <v>800</v>
      </c>
      <c r="J821" s="343">
        <v>92.300003051757798</v>
      </c>
      <c r="K821" s="351">
        <f t="shared" si="65"/>
        <v>255</v>
      </c>
      <c r="L821" s="484">
        <v>255</v>
      </c>
      <c r="M821" s="448" t="str">
        <f>IF(L821="nio","",VLOOKUP(L821,'3-Productie normen'!$B$31:$H$45,3,FALSE))</f>
        <v>5 x per week (52 weken)</v>
      </c>
      <c r="N821" s="353" t="e">
        <f t="shared" si="64"/>
        <v>#DIV/0!</v>
      </c>
      <c r="O821" s="354">
        <f>IF(L821="nio",0,IF(L821&gt;0,VLOOKUP(H821,'3-Productie normen'!A:P,VLOOKUP(L821,'3-Productie normen'!$B$31:$C$45,2,FALSE),FALSE)))/VLOOKUP(B821,'2-Kosten per locatie'!$A$13:$D$36,4,FALSE)</f>
        <v>0</v>
      </c>
      <c r="P821" s="82" t="str">
        <f>VLOOKUP(H821,'3-Productie normen'!A:T,20,FALSE)</f>
        <v>L</v>
      </c>
      <c r="Q821" s="447" t="s">
        <v>792</v>
      </c>
      <c r="S821" s="356">
        <f t="shared" si="67"/>
        <v>23536.500778198239</v>
      </c>
    </row>
    <row r="822" spans="1:19" ht="14.1" customHeight="1">
      <c r="A822" s="72">
        <f t="shared" si="66"/>
        <v>822</v>
      </c>
      <c r="B822" s="50" t="s">
        <v>815</v>
      </c>
      <c r="C822" s="50" t="s">
        <v>834</v>
      </c>
      <c r="D822" s="427" t="s">
        <v>1035</v>
      </c>
      <c r="E822" s="426" t="s">
        <v>612</v>
      </c>
      <c r="F822" s="349" t="s">
        <v>225</v>
      </c>
      <c r="G822" s="86" t="s">
        <v>201</v>
      </c>
      <c r="H822" s="432" t="s">
        <v>198</v>
      </c>
      <c r="I822" s="86" t="s">
        <v>789</v>
      </c>
      <c r="J822" s="343">
        <v>21.299999237060501</v>
      </c>
      <c r="K822" s="351">
        <f t="shared" si="65"/>
        <v>255</v>
      </c>
      <c r="L822" s="484">
        <v>255</v>
      </c>
      <c r="M822" s="448" t="str">
        <f>IF(L822="nio","",VLOOKUP(L822,'3-Productie normen'!$B$31:$H$45,3,FALSE))</f>
        <v>5 x per week (52 weken)</v>
      </c>
      <c r="N822" s="353" t="e">
        <f t="shared" ref="N822:N868" si="68">IF(L822="nio",0,IF(L822&gt;0,L822*J822/O822,0))</f>
        <v>#DIV/0!</v>
      </c>
      <c r="O822" s="354">
        <f>IF(L822="nio",0,IF(L822&gt;0,VLOOKUP(H822,'3-Productie normen'!A:P,VLOOKUP(L822,'3-Productie normen'!$B$31:$C$45,2,FALSE),FALSE)))/VLOOKUP(B822,'2-Kosten per locatie'!$A$13:$D$36,4,FALSE)</f>
        <v>0</v>
      </c>
      <c r="P822" s="82" t="str">
        <f>VLOOKUP(H822,'3-Productie normen'!A:T,20,FALSE)</f>
        <v>V</v>
      </c>
      <c r="Q822" s="447" t="s">
        <v>792</v>
      </c>
      <c r="S822" s="356">
        <f t="shared" si="67"/>
        <v>5431.4998054504276</v>
      </c>
    </row>
    <row r="823" spans="1:19" ht="14.1" customHeight="1">
      <c r="A823" s="72">
        <f t="shared" si="66"/>
        <v>823</v>
      </c>
      <c r="B823" s="50" t="s">
        <v>815</v>
      </c>
      <c r="C823" s="50" t="s">
        <v>834</v>
      </c>
      <c r="D823" s="427" t="s">
        <v>1035</v>
      </c>
      <c r="E823" s="426" t="s">
        <v>612</v>
      </c>
      <c r="F823" s="349" t="s">
        <v>227</v>
      </c>
      <c r="G823" s="86" t="s">
        <v>246</v>
      </c>
      <c r="H823" s="81" t="s">
        <v>1039</v>
      </c>
      <c r="I823" s="86" t="s">
        <v>800</v>
      </c>
      <c r="J823" s="343">
        <v>84.199996948242202</v>
      </c>
      <c r="K823" s="351">
        <f t="shared" si="65"/>
        <v>255</v>
      </c>
      <c r="L823" s="484">
        <v>255</v>
      </c>
      <c r="M823" s="448" t="str">
        <f>IF(L823="nio","",VLOOKUP(L823,'3-Productie normen'!$B$31:$H$45,3,FALSE))</f>
        <v>5 x per week (52 weken)</v>
      </c>
      <c r="N823" s="353" t="e">
        <f t="shared" si="68"/>
        <v>#DIV/0!</v>
      </c>
      <c r="O823" s="354">
        <f>IF(L823="nio",0,IF(L823&gt;0,VLOOKUP(H823,'3-Productie normen'!A:P,VLOOKUP(L823,'3-Productie normen'!$B$31:$C$45,2,FALSE),FALSE)))/VLOOKUP(B823,'2-Kosten per locatie'!$A$13:$D$36,4,FALSE)</f>
        <v>0</v>
      </c>
      <c r="P823" s="82" t="str">
        <f>VLOOKUP(H823,'3-Productie normen'!A:T,20,FALSE)</f>
        <v>V</v>
      </c>
      <c r="Q823" s="447" t="s">
        <v>792</v>
      </c>
      <c r="S823" s="356">
        <f t="shared" si="67"/>
        <v>21470.999221801761</v>
      </c>
    </row>
    <row r="824" spans="1:19" ht="14.1" customHeight="1">
      <c r="A824" s="72">
        <f t="shared" si="66"/>
        <v>824</v>
      </c>
      <c r="B824" s="50" t="s">
        <v>815</v>
      </c>
      <c r="C824" s="50" t="s">
        <v>834</v>
      </c>
      <c r="D824" s="427" t="s">
        <v>1035</v>
      </c>
      <c r="E824" s="426" t="s">
        <v>612</v>
      </c>
      <c r="F824" s="349" t="s">
        <v>228</v>
      </c>
      <c r="G824" s="86" t="s">
        <v>248</v>
      </c>
      <c r="H824" s="63" t="s">
        <v>1040</v>
      </c>
      <c r="I824" s="86" t="s">
        <v>800</v>
      </c>
      <c r="J824" s="343">
        <v>6</v>
      </c>
      <c r="K824" s="351">
        <f t="shared" si="65"/>
        <v>12</v>
      </c>
      <c r="L824" s="484">
        <v>12</v>
      </c>
      <c r="M824" s="448" t="str">
        <f>IF(L824="nio","",VLOOKUP(L824,'3-Productie normen'!$B$31:$H$45,3,FALSE))</f>
        <v>1 x per maand</v>
      </c>
      <c r="N824" s="353" t="e">
        <f t="shared" si="68"/>
        <v>#DIV/0!</v>
      </c>
      <c r="O824" s="354">
        <f>IF(L824="nio",0,IF(L824&gt;0,VLOOKUP(H824,'3-Productie normen'!A:P,VLOOKUP(L824,'3-Productie normen'!$B$31:$C$45,2,FALSE),FALSE)))/VLOOKUP(B824,'2-Kosten per locatie'!$A$13:$D$36,4,FALSE)</f>
        <v>0</v>
      </c>
      <c r="P824" s="82" t="str">
        <f>VLOOKUP(H824,'3-Productie normen'!A:T,20,FALSE)</f>
        <v>V</v>
      </c>
      <c r="Q824" s="447" t="s">
        <v>792</v>
      </c>
      <c r="S824" s="356">
        <f t="shared" si="67"/>
        <v>72</v>
      </c>
    </row>
    <row r="825" spans="1:19" ht="14.1" customHeight="1">
      <c r="A825" s="72">
        <f t="shared" si="66"/>
        <v>825</v>
      </c>
      <c r="B825" s="50" t="s">
        <v>815</v>
      </c>
      <c r="C825" s="50" t="s">
        <v>834</v>
      </c>
      <c r="D825" s="427" t="s">
        <v>1035</v>
      </c>
      <c r="E825" s="426" t="s">
        <v>612</v>
      </c>
      <c r="F825" s="349" t="s">
        <v>233</v>
      </c>
      <c r="G825" s="86" t="s">
        <v>206</v>
      </c>
      <c r="H825" s="65" t="s">
        <v>1053</v>
      </c>
      <c r="I825" s="86" t="s">
        <v>780</v>
      </c>
      <c r="J825" s="343">
        <v>9.3999996185302699</v>
      </c>
      <c r="K825" s="351" t="str">
        <f t="shared" si="65"/>
        <v>nio</v>
      </c>
      <c r="L825" s="484" t="s">
        <v>804</v>
      </c>
      <c r="M825" s="448" t="str">
        <f>IF(L825="nio","",VLOOKUP(L825,'3-Productie normen'!$B$31:$H$45,3,FALSE))</f>
        <v/>
      </c>
      <c r="N825" s="353">
        <f t="shared" si="68"/>
        <v>0</v>
      </c>
      <c r="O825" s="354">
        <f>IF(L825="nio",0,IF(L825&gt;0,VLOOKUP(H825,'3-Productie normen'!A:P,VLOOKUP(L825,'3-Productie normen'!$B$31:$C$45,2,FALSE),FALSE)))/VLOOKUP(B825,'2-Kosten per locatie'!$A$13:$D$36,4,FALSE)</f>
        <v>0</v>
      </c>
      <c r="P825" s="82">
        <f>VLOOKUP(H825,'3-Productie normen'!A:T,20,FALSE)</f>
        <v>0</v>
      </c>
      <c r="Q825" s="447" t="s">
        <v>792</v>
      </c>
      <c r="S825" s="356">
        <f t="shared" si="67"/>
        <v>0</v>
      </c>
    </row>
    <row r="826" spans="1:19" ht="14.1" customHeight="1">
      <c r="A826" s="72">
        <f t="shared" si="66"/>
        <v>826</v>
      </c>
      <c r="B826" s="50" t="s">
        <v>815</v>
      </c>
      <c r="C826" s="50" t="s">
        <v>834</v>
      </c>
      <c r="D826" s="427" t="s">
        <v>1038</v>
      </c>
      <c r="E826" s="426" t="s">
        <v>612</v>
      </c>
      <c r="F826" s="349" t="s">
        <v>245</v>
      </c>
      <c r="G826" s="86" t="s">
        <v>201</v>
      </c>
      <c r="H826" s="432" t="s">
        <v>198</v>
      </c>
      <c r="I826" s="86" t="s">
        <v>789</v>
      </c>
      <c r="J826" s="343">
        <v>26</v>
      </c>
      <c r="K826" s="351">
        <f t="shared" si="65"/>
        <v>200</v>
      </c>
      <c r="L826" s="484">
        <v>200</v>
      </c>
      <c r="M826" s="448" t="str">
        <f>IF(L826="nio","",VLOOKUP(L826,'3-Productie normen'!$B$31:$H$45,3,FALSE))</f>
        <v>5 x per week (40 weken)</v>
      </c>
      <c r="N826" s="353" t="e">
        <f t="shared" si="68"/>
        <v>#DIV/0!</v>
      </c>
      <c r="O826" s="354">
        <f>IF(L826="nio",0,IF(L826&gt;0,VLOOKUP(H826,'3-Productie normen'!A:P,VLOOKUP(L826,'3-Productie normen'!$B$31:$C$45,2,FALSE),FALSE)))/VLOOKUP(B826,'2-Kosten per locatie'!$A$13:$D$36,4,FALSE)</f>
        <v>0</v>
      </c>
      <c r="P826" s="82" t="str">
        <f>VLOOKUP(H826,'3-Productie normen'!A:T,20,FALSE)</f>
        <v>V</v>
      </c>
      <c r="Q826" s="447" t="s">
        <v>792</v>
      </c>
      <c r="S826" s="356">
        <f t="shared" si="67"/>
        <v>5200</v>
      </c>
    </row>
    <row r="827" spans="1:19" ht="14.1" customHeight="1">
      <c r="A827" s="72">
        <f t="shared" si="66"/>
        <v>827</v>
      </c>
      <c r="B827" s="50" t="s">
        <v>815</v>
      </c>
      <c r="C827" s="50" t="s">
        <v>834</v>
      </c>
      <c r="D827" s="427" t="s">
        <v>1038</v>
      </c>
      <c r="E827" s="426" t="s">
        <v>612</v>
      </c>
      <c r="F827" s="349" t="s">
        <v>245</v>
      </c>
      <c r="G827" s="86" t="s">
        <v>201</v>
      </c>
      <c r="H827" s="432" t="s">
        <v>198</v>
      </c>
      <c r="I827" s="86" t="s">
        <v>779</v>
      </c>
      <c r="J827" s="343">
        <v>6.0999999046325701</v>
      </c>
      <c r="K827" s="351">
        <f t="shared" si="65"/>
        <v>200</v>
      </c>
      <c r="L827" s="484">
        <v>200</v>
      </c>
      <c r="M827" s="448" t="str">
        <f>IF(L827="nio","",VLOOKUP(L827,'3-Productie normen'!$B$31:$H$45,3,FALSE))</f>
        <v>5 x per week (40 weken)</v>
      </c>
      <c r="N827" s="353" t="e">
        <f t="shared" si="68"/>
        <v>#DIV/0!</v>
      </c>
      <c r="O827" s="354">
        <f>IF(L827="nio",0,IF(L827&gt;0,VLOOKUP(H827,'3-Productie normen'!A:P,VLOOKUP(L827,'3-Productie normen'!$B$31:$C$45,2,FALSE),FALSE)))/VLOOKUP(B827,'2-Kosten per locatie'!$A$13:$D$36,4,FALSE)</f>
        <v>0</v>
      </c>
      <c r="P827" s="82" t="str">
        <f>VLOOKUP(H827,'3-Productie normen'!A:T,20,FALSE)</f>
        <v>V</v>
      </c>
      <c r="Q827" s="447" t="s">
        <v>792</v>
      </c>
      <c r="S827" s="356">
        <f t="shared" si="67"/>
        <v>1219.9999809265141</v>
      </c>
    </row>
    <row r="828" spans="1:19" ht="14.1" customHeight="1">
      <c r="A828" s="72">
        <f t="shared" si="66"/>
        <v>828</v>
      </c>
      <c r="B828" s="50" t="s">
        <v>815</v>
      </c>
      <c r="C828" s="50" t="s">
        <v>834</v>
      </c>
      <c r="D828" s="427" t="s">
        <v>1038</v>
      </c>
      <c r="E828" s="426" t="s">
        <v>612</v>
      </c>
      <c r="F828" s="349" t="s">
        <v>330</v>
      </c>
      <c r="G828" s="86" t="s">
        <v>222</v>
      </c>
      <c r="H828" s="50" t="s">
        <v>16</v>
      </c>
      <c r="I828" s="86" t="s">
        <v>781</v>
      </c>
      <c r="J828" s="343">
        <v>6.3000001907348597</v>
      </c>
      <c r="K828" s="351">
        <f t="shared" ref="K828:K868" si="69">L828</f>
        <v>201</v>
      </c>
      <c r="L828" s="484">
        <v>201</v>
      </c>
      <c r="M828" s="448" t="str">
        <f>IF(L828="nio","",VLOOKUP(L828,'3-Productie normen'!$B$31:$H$45,3,FALSE))</f>
        <v>5 x per week (40 weken + 1 Zomer refreshbeurt)</v>
      </c>
      <c r="N828" s="353" t="e">
        <f t="shared" si="68"/>
        <v>#DIV/0!</v>
      </c>
      <c r="O828" s="354">
        <f>IF(L828="nio",0,IF(L828&gt;0,VLOOKUP(H828,'3-Productie normen'!A:P,VLOOKUP(L828,'3-Productie normen'!$B$31:$C$45,2,FALSE),FALSE)))/VLOOKUP(B828,'2-Kosten per locatie'!$A$13:$D$36,4,FALSE)</f>
        <v>0</v>
      </c>
      <c r="P828" s="82" t="str">
        <f>VLOOKUP(H828,'3-Productie normen'!A:T,20,FALSE)</f>
        <v>S</v>
      </c>
      <c r="Q828" s="447" t="s">
        <v>894</v>
      </c>
      <c r="S828" s="356">
        <f t="shared" si="67"/>
        <v>1266.3000383377068</v>
      </c>
    </row>
    <row r="829" spans="1:19" ht="14.1" customHeight="1">
      <c r="A829" s="72">
        <f t="shared" si="66"/>
        <v>829</v>
      </c>
      <c r="B829" s="50" t="s">
        <v>815</v>
      </c>
      <c r="C829" s="50" t="s">
        <v>834</v>
      </c>
      <c r="D829" s="427" t="s">
        <v>1038</v>
      </c>
      <c r="E829" s="426" t="s">
        <v>612</v>
      </c>
      <c r="F829" s="349" t="s">
        <v>331</v>
      </c>
      <c r="G829" s="86" t="s">
        <v>209</v>
      </c>
      <c r="H829" s="63" t="s">
        <v>1040</v>
      </c>
      <c r="I829" s="86" t="s">
        <v>780</v>
      </c>
      <c r="J829" s="343">
        <v>4.3000001907348597</v>
      </c>
      <c r="K829" s="351">
        <f t="shared" si="69"/>
        <v>12</v>
      </c>
      <c r="L829" s="484">
        <v>12</v>
      </c>
      <c r="M829" s="448" t="str">
        <f>IF(L829="nio","",VLOOKUP(L829,'3-Productie normen'!$B$31:$H$45,3,FALSE))</f>
        <v>1 x per maand</v>
      </c>
      <c r="N829" s="353" t="e">
        <f t="shared" si="68"/>
        <v>#DIV/0!</v>
      </c>
      <c r="O829" s="354">
        <f>IF(L829="nio",0,IF(L829&gt;0,VLOOKUP(H829,'3-Productie normen'!A:P,VLOOKUP(L829,'3-Productie normen'!$B$31:$C$45,2,FALSE),FALSE)))/VLOOKUP(B829,'2-Kosten per locatie'!$A$13:$D$36,4,FALSE)</f>
        <v>0</v>
      </c>
      <c r="P829" s="82" t="str">
        <f>VLOOKUP(H829,'3-Productie normen'!A:T,20,FALSE)</f>
        <v>V</v>
      </c>
      <c r="Q829" s="447" t="s">
        <v>792</v>
      </c>
      <c r="S829" s="356">
        <f t="shared" si="67"/>
        <v>51.600002288818317</v>
      </c>
    </row>
    <row r="830" spans="1:19" ht="14.1" customHeight="1">
      <c r="A830" s="72">
        <f t="shared" si="66"/>
        <v>830</v>
      </c>
      <c r="B830" s="50" t="s">
        <v>815</v>
      </c>
      <c r="C830" s="50" t="s">
        <v>834</v>
      </c>
      <c r="D830" s="427" t="s">
        <v>1038</v>
      </c>
      <c r="E830" s="426" t="s">
        <v>612</v>
      </c>
      <c r="F830" s="349" t="s">
        <v>332</v>
      </c>
      <c r="G830" s="86" t="s">
        <v>242</v>
      </c>
      <c r="H830" s="86" t="s">
        <v>241</v>
      </c>
      <c r="I830" s="86" t="s">
        <v>780</v>
      </c>
      <c r="J830" s="343">
        <v>63.299999237060497</v>
      </c>
      <c r="K830" s="351">
        <f t="shared" si="69"/>
        <v>201</v>
      </c>
      <c r="L830" s="484">
        <v>201</v>
      </c>
      <c r="M830" s="448" t="str">
        <f>IF(L830="nio","",VLOOKUP(L830,'3-Productie normen'!$B$31:$H$45,3,FALSE))</f>
        <v>5 x per week (40 weken + 1 Zomer refreshbeurt)</v>
      </c>
      <c r="N830" s="353" t="e">
        <f t="shared" si="68"/>
        <v>#DIV/0!</v>
      </c>
      <c r="O830" s="354">
        <f>IF(L830="nio",0,IF(L830&gt;0,VLOOKUP(H830,'3-Productie normen'!A:P,VLOOKUP(L830,'3-Productie normen'!$B$31:$C$45,2,FALSE),FALSE)))/VLOOKUP(B830,'2-Kosten per locatie'!$A$13:$D$36,4,FALSE)</f>
        <v>0</v>
      </c>
      <c r="P830" s="82" t="str">
        <f>VLOOKUP(H830,'3-Productie normen'!A:T,20,FALSE)</f>
        <v>L</v>
      </c>
      <c r="Q830" s="447" t="s">
        <v>874</v>
      </c>
      <c r="S830" s="356">
        <f t="shared" si="67"/>
        <v>12723.299846649161</v>
      </c>
    </row>
    <row r="831" spans="1:19" ht="14.1" customHeight="1">
      <c r="A831" s="72">
        <f t="shared" si="66"/>
        <v>831</v>
      </c>
      <c r="B831" s="50" t="s">
        <v>815</v>
      </c>
      <c r="C831" s="50" t="s">
        <v>834</v>
      </c>
      <c r="D831" s="427" t="s">
        <v>1038</v>
      </c>
      <c r="E831" s="426" t="s">
        <v>612</v>
      </c>
      <c r="F831" s="349" t="s">
        <v>332</v>
      </c>
      <c r="G831" s="86" t="s">
        <v>359</v>
      </c>
      <c r="H831" s="86" t="s">
        <v>241</v>
      </c>
      <c r="I831" s="86" t="s">
        <v>180</v>
      </c>
      <c r="J831" s="343">
        <v>10.62</v>
      </c>
      <c r="K831" s="351">
        <f t="shared" si="69"/>
        <v>201</v>
      </c>
      <c r="L831" s="484">
        <v>201</v>
      </c>
      <c r="M831" s="448" t="str">
        <f>IF(L831="nio","",VLOOKUP(L831,'3-Productie normen'!$B$31:$H$45,3,FALSE))</f>
        <v>5 x per week (40 weken + 1 Zomer refreshbeurt)</v>
      </c>
      <c r="N831" s="353" t="e">
        <f t="shared" si="68"/>
        <v>#DIV/0!</v>
      </c>
      <c r="O831" s="354">
        <f>IF(L831="nio",0,IF(L831&gt;0,VLOOKUP(H831,'3-Productie normen'!A:P,VLOOKUP(L831,'3-Productie normen'!$B$31:$C$45,2,FALSE),FALSE)))/VLOOKUP(B831,'2-Kosten per locatie'!$A$13:$D$36,4,FALSE)</f>
        <v>0</v>
      </c>
      <c r="P831" s="82" t="str">
        <f>VLOOKUP(H831,'3-Productie normen'!A:T,20,FALSE)</f>
        <v>L</v>
      </c>
      <c r="Q831" s="447" t="s">
        <v>792</v>
      </c>
      <c r="S831" s="356">
        <f t="shared" si="67"/>
        <v>2134.62</v>
      </c>
    </row>
    <row r="832" spans="1:19" ht="14.1" customHeight="1">
      <c r="A832" s="72">
        <f t="shared" si="66"/>
        <v>832</v>
      </c>
      <c r="B832" s="50" t="s">
        <v>815</v>
      </c>
      <c r="C832" s="50" t="s">
        <v>834</v>
      </c>
      <c r="D832" s="427" t="s">
        <v>1038</v>
      </c>
      <c r="E832" s="426" t="s">
        <v>612</v>
      </c>
      <c r="F832" s="349" t="s">
        <v>333</v>
      </c>
      <c r="G832" s="86" t="s">
        <v>242</v>
      </c>
      <c r="H832" s="86" t="s">
        <v>241</v>
      </c>
      <c r="I832" s="86" t="s">
        <v>780</v>
      </c>
      <c r="J832" s="343">
        <v>63.200000762939503</v>
      </c>
      <c r="K832" s="351">
        <f t="shared" si="69"/>
        <v>201</v>
      </c>
      <c r="L832" s="484">
        <v>201</v>
      </c>
      <c r="M832" s="448" t="str">
        <f>IF(L832="nio","",VLOOKUP(L832,'3-Productie normen'!$B$31:$H$45,3,FALSE))</f>
        <v>5 x per week (40 weken + 1 Zomer refreshbeurt)</v>
      </c>
      <c r="N832" s="353" t="e">
        <f t="shared" si="68"/>
        <v>#DIV/0!</v>
      </c>
      <c r="O832" s="354">
        <f>IF(L832="nio",0,IF(L832&gt;0,VLOOKUP(H832,'3-Productie normen'!A:P,VLOOKUP(L832,'3-Productie normen'!$B$31:$C$45,2,FALSE),FALSE)))/VLOOKUP(B832,'2-Kosten per locatie'!$A$13:$D$36,4,FALSE)</f>
        <v>0</v>
      </c>
      <c r="P832" s="82" t="str">
        <f>VLOOKUP(H832,'3-Productie normen'!A:T,20,FALSE)</f>
        <v>L</v>
      </c>
      <c r="Q832" s="447" t="s">
        <v>874</v>
      </c>
      <c r="S832" s="356">
        <f t="shared" si="67"/>
        <v>12703.200153350839</v>
      </c>
    </row>
    <row r="833" spans="1:19" ht="14.1" customHeight="1">
      <c r="A833" s="72">
        <f t="shared" si="66"/>
        <v>833</v>
      </c>
      <c r="B833" s="50" t="s">
        <v>815</v>
      </c>
      <c r="C833" s="50" t="s">
        <v>834</v>
      </c>
      <c r="D833" s="427" t="s">
        <v>1038</v>
      </c>
      <c r="E833" s="426" t="s">
        <v>612</v>
      </c>
      <c r="F833" s="349" t="s">
        <v>333</v>
      </c>
      <c r="G833" s="86" t="s">
        <v>359</v>
      </c>
      <c r="H833" s="86" t="s">
        <v>241</v>
      </c>
      <c r="I833" s="86" t="s">
        <v>180</v>
      </c>
      <c r="J833" s="343">
        <v>10.62</v>
      </c>
      <c r="K833" s="351">
        <f t="shared" si="69"/>
        <v>201</v>
      </c>
      <c r="L833" s="484">
        <v>201</v>
      </c>
      <c r="M833" s="448" t="str">
        <f>IF(L833="nio","",VLOOKUP(L833,'3-Productie normen'!$B$31:$H$45,3,FALSE))</f>
        <v>5 x per week (40 weken + 1 Zomer refreshbeurt)</v>
      </c>
      <c r="N833" s="353" t="e">
        <f t="shared" si="68"/>
        <v>#DIV/0!</v>
      </c>
      <c r="O833" s="354">
        <f>IF(L833="nio",0,IF(L833&gt;0,VLOOKUP(H833,'3-Productie normen'!A:P,VLOOKUP(L833,'3-Productie normen'!$B$31:$C$45,2,FALSE),FALSE)))/VLOOKUP(B833,'2-Kosten per locatie'!$A$13:$D$36,4,FALSE)</f>
        <v>0</v>
      </c>
      <c r="P833" s="82" t="str">
        <f>VLOOKUP(H833,'3-Productie normen'!A:T,20,FALSE)</f>
        <v>L</v>
      </c>
      <c r="Q833" s="447" t="s">
        <v>792</v>
      </c>
      <c r="S833" s="356">
        <f t="shared" si="67"/>
        <v>2134.62</v>
      </c>
    </row>
    <row r="834" spans="1:19" ht="14.1" customHeight="1">
      <c r="A834" s="72">
        <f t="shared" si="66"/>
        <v>834</v>
      </c>
      <c r="B834" s="50" t="s">
        <v>815</v>
      </c>
      <c r="C834" s="50" t="s">
        <v>834</v>
      </c>
      <c r="D834" s="427" t="s">
        <v>1038</v>
      </c>
      <c r="E834" s="426" t="s">
        <v>612</v>
      </c>
      <c r="F834" s="349" t="s">
        <v>334</v>
      </c>
      <c r="G834" s="86" t="s">
        <v>242</v>
      </c>
      <c r="H834" s="86" t="s">
        <v>241</v>
      </c>
      <c r="I834" s="86" t="s">
        <v>780</v>
      </c>
      <c r="J834" s="343">
        <v>59.599998474121101</v>
      </c>
      <c r="K834" s="351">
        <f t="shared" si="69"/>
        <v>201</v>
      </c>
      <c r="L834" s="484">
        <v>201</v>
      </c>
      <c r="M834" s="448" t="str">
        <f>IF(L834="nio","",VLOOKUP(L834,'3-Productie normen'!$B$31:$H$45,3,FALSE))</f>
        <v>5 x per week (40 weken + 1 Zomer refreshbeurt)</v>
      </c>
      <c r="N834" s="353" t="e">
        <f t="shared" si="68"/>
        <v>#DIV/0!</v>
      </c>
      <c r="O834" s="354">
        <f>IF(L834="nio",0,IF(L834&gt;0,VLOOKUP(H834,'3-Productie normen'!A:P,VLOOKUP(L834,'3-Productie normen'!$B$31:$C$45,2,FALSE),FALSE)))/VLOOKUP(B834,'2-Kosten per locatie'!$A$13:$D$36,4,FALSE)</f>
        <v>0</v>
      </c>
      <c r="P834" s="82" t="str">
        <f>VLOOKUP(H834,'3-Productie normen'!A:T,20,FALSE)</f>
        <v>L</v>
      </c>
      <c r="Q834" s="447" t="s">
        <v>876</v>
      </c>
      <c r="S834" s="356">
        <f t="shared" si="67"/>
        <v>11979.599693298342</v>
      </c>
    </row>
    <row r="835" spans="1:19" ht="14.1" customHeight="1">
      <c r="A835" s="72">
        <f t="shared" si="66"/>
        <v>835</v>
      </c>
      <c r="B835" s="50" t="s">
        <v>815</v>
      </c>
      <c r="C835" s="50" t="s">
        <v>834</v>
      </c>
      <c r="D835" s="427" t="s">
        <v>1038</v>
      </c>
      <c r="E835" s="426" t="s">
        <v>612</v>
      </c>
      <c r="F835" s="349" t="s">
        <v>336</v>
      </c>
      <c r="G835" s="86" t="s">
        <v>201</v>
      </c>
      <c r="H835" s="432" t="s">
        <v>198</v>
      </c>
      <c r="I835" s="86" t="s">
        <v>789</v>
      </c>
      <c r="J835" s="343">
        <v>84.300003051757798</v>
      </c>
      <c r="K835" s="351">
        <f t="shared" si="69"/>
        <v>200</v>
      </c>
      <c r="L835" s="484">
        <v>200</v>
      </c>
      <c r="M835" s="448" t="str">
        <f>IF(L835="nio","",VLOOKUP(L835,'3-Productie normen'!$B$31:$H$45,3,FALSE))</f>
        <v>5 x per week (40 weken)</v>
      </c>
      <c r="N835" s="353" t="e">
        <f t="shared" si="68"/>
        <v>#DIV/0!</v>
      </c>
      <c r="O835" s="354">
        <f>IF(L835="nio",0,IF(L835&gt;0,VLOOKUP(H835,'3-Productie normen'!A:P,VLOOKUP(L835,'3-Productie normen'!$B$31:$C$45,2,FALSE),FALSE)))/VLOOKUP(B835,'2-Kosten per locatie'!$A$13:$D$36,4,FALSE)</f>
        <v>0</v>
      </c>
      <c r="P835" s="82" t="str">
        <f>VLOOKUP(H835,'3-Productie normen'!A:T,20,FALSE)</f>
        <v>V</v>
      </c>
      <c r="Q835" s="447" t="s">
        <v>792</v>
      </c>
      <c r="S835" s="356">
        <f t="shared" si="67"/>
        <v>16860.000610351559</v>
      </c>
    </row>
    <row r="836" spans="1:19" ht="14.1" customHeight="1">
      <c r="A836" s="72">
        <f t="shared" si="66"/>
        <v>836</v>
      </c>
      <c r="B836" s="50" t="s">
        <v>815</v>
      </c>
      <c r="C836" s="50" t="s">
        <v>834</v>
      </c>
      <c r="D836" s="427" t="s">
        <v>1038</v>
      </c>
      <c r="E836" s="426" t="s">
        <v>612</v>
      </c>
      <c r="F836" s="349" t="s">
        <v>667</v>
      </c>
      <c r="G836" s="86" t="s">
        <v>232</v>
      </c>
      <c r="H836" s="430" t="s">
        <v>1046</v>
      </c>
      <c r="I836" s="86" t="s">
        <v>800</v>
      </c>
      <c r="J836" s="343">
        <v>18.799999237060501</v>
      </c>
      <c r="K836" s="351">
        <f t="shared" si="69"/>
        <v>200</v>
      </c>
      <c r="L836" s="484">
        <v>200</v>
      </c>
      <c r="M836" s="448" t="str">
        <f>IF(L836="nio","",VLOOKUP(L836,'3-Productie normen'!$B$31:$H$45,3,FALSE))</f>
        <v>5 x per week (40 weken)</v>
      </c>
      <c r="N836" s="353" t="e">
        <f t="shared" si="68"/>
        <v>#DIV/0!</v>
      </c>
      <c r="O836" s="354">
        <f>IF(L836="nio",0,IF(L836&gt;0,VLOOKUP(H836,'3-Productie normen'!A:P,VLOOKUP(L836,'3-Productie normen'!$B$31:$C$45,2,FALSE),FALSE)))/VLOOKUP(B836,'2-Kosten per locatie'!$A$13:$D$36,4,FALSE)</f>
        <v>0</v>
      </c>
      <c r="P836" s="82" t="str">
        <f>VLOOKUP(H836,'3-Productie normen'!A:T,20,FALSE)</f>
        <v>V</v>
      </c>
      <c r="Q836" s="447" t="s">
        <v>792</v>
      </c>
      <c r="S836" s="356">
        <f t="shared" si="67"/>
        <v>3759.9998474121003</v>
      </c>
    </row>
    <row r="837" spans="1:19" ht="14.1" customHeight="1">
      <c r="A837" s="72">
        <f t="shared" si="66"/>
        <v>837</v>
      </c>
      <c r="B837" s="50" t="s">
        <v>815</v>
      </c>
      <c r="C837" s="50" t="s">
        <v>834</v>
      </c>
      <c r="D837" s="427" t="s">
        <v>1038</v>
      </c>
      <c r="E837" s="426" t="s">
        <v>612</v>
      </c>
      <c r="F837" s="349" t="s">
        <v>337</v>
      </c>
      <c r="G837" s="86" t="s">
        <v>199</v>
      </c>
      <c r="H837" s="432" t="s">
        <v>198</v>
      </c>
      <c r="I837" s="86" t="s">
        <v>779</v>
      </c>
      <c r="J837" s="343">
        <v>6</v>
      </c>
      <c r="K837" s="351">
        <f t="shared" si="69"/>
        <v>200</v>
      </c>
      <c r="L837" s="484">
        <v>200</v>
      </c>
      <c r="M837" s="448" t="str">
        <f>IF(L837="nio","",VLOOKUP(L837,'3-Productie normen'!$B$31:$H$45,3,FALSE))</f>
        <v>5 x per week (40 weken)</v>
      </c>
      <c r="N837" s="353" t="e">
        <f t="shared" si="68"/>
        <v>#DIV/0!</v>
      </c>
      <c r="O837" s="354">
        <f>IF(L837="nio",0,IF(L837&gt;0,VLOOKUP(H837,'3-Productie normen'!A:P,VLOOKUP(L837,'3-Productie normen'!$B$31:$C$45,2,FALSE),FALSE)))/VLOOKUP(B837,'2-Kosten per locatie'!$A$13:$D$36,4,FALSE)</f>
        <v>0</v>
      </c>
      <c r="P837" s="82" t="str">
        <f>VLOOKUP(H837,'3-Productie normen'!A:T,20,FALSE)</f>
        <v>V</v>
      </c>
      <c r="Q837" s="447" t="s">
        <v>792</v>
      </c>
      <c r="S837" s="356">
        <f t="shared" si="67"/>
        <v>1200</v>
      </c>
    </row>
    <row r="838" spans="1:19" ht="14.1" customHeight="1">
      <c r="A838" s="72">
        <f t="shared" si="66"/>
        <v>838</v>
      </c>
      <c r="B838" s="50" t="s">
        <v>815</v>
      </c>
      <c r="C838" s="50" t="s">
        <v>834</v>
      </c>
      <c r="D838" s="427" t="s">
        <v>1038</v>
      </c>
      <c r="E838" s="426" t="s">
        <v>612</v>
      </c>
      <c r="F838" s="349" t="s">
        <v>338</v>
      </c>
      <c r="G838" s="86" t="s">
        <v>311</v>
      </c>
      <c r="H838" s="86" t="s">
        <v>203</v>
      </c>
      <c r="I838" s="86" t="s">
        <v>780</v>
      </c>
      <c r="J838" s="343">
        <v>10.699999809265099</v>
      </c>
      <c r="K838" s="351">
        <f t="shared" si="69"/>
        <v>120</v>
      </c>
      <c r="L838" s="484">
        <v>120</v>
      </c>
      <c r="M838" s="448" t="str">
        <f>IF(L838="nio","",VLOOKUP(L838,'3-Productie normen'!$B$31:$H$45,3,FALSE))</f>
        <v>3 x per week (40 weken)</v>
      </c>
      <c r="N838" s="353" t="e">
        <f t="shared" si="68"/>
        <v>#DIV/0!</v>
      </c>
      <c r="O838" s="354">
        <f>IF(L838="nio",0,IF(L838&gt;0,VLOOKUP(H838,'3-Productie normen'!A:P,VLOOKUP(L838,'3-Productie normen'!$B$31:$C$45,2,FALSE),FALSE)))/VLOOKUP(B838,'2-Kosten per locatie'!$A$13:$D$36,4,FALSE)</f>
        <v>0</v>
      </c>
      <c r="P838" s="82" t="str">
        <f>VLOOKUP(H838,'3-Productie normen'!A:T,20,FALSE)</f>
        <v>B</v>
      </c>
      <c r="Q838" s="447" t="s">
        <v>792</v>
      </c>
      <c r="S838" s="356">
        <f t="shared" si="67"/>
        <v>1283.9999771118119</v>
      </c>
    </row>
    <row r="839" spans="1:19" ht="14.1" customHeight="1">
      <c r="A839" s="72">
        <f t="shared" si="66"/>
        <v>839</v>
      </c>
      <c r="B839" s="50" t="s">
        <v>815</v>
      </c>
      <c r="C839" s="50" t="s">
        <v>834</v>
      </c>
      <c r="D839" s="427" t="s">
        <v>1038</v>
      </c>
      <c r="E839" s="426" t="s">
        <v>612</v>
      </c>
      <c r="F839" s="349" t="s">
        <v>339</v>
      </c>
      <c r="G839" s="86" t="s">
        <v>281</v>
      </c>
      <c r="H839" s="86" t="s">
        <v>203</v>
      </c>
      <c r="I839" s="86" t="s">
        <v>780</v>
      </c>
      <c r="J839" s="343">
        <v>20.600000381469702</v>
      </c>
      <c r="K839" s="351">
        <f t="shared" si="69"/>
        <v>120</v>
      </c>
      <c r="L839" s="484">
        <v>120</v>
      </c>
      <c r="M839" s="448" t="str">
        <f>IF(L839="nio","",VLOOKUP(L839,'3-Productie normen'!$B$31:$H$45,3,FALSE))</f>
        <v>3 x per week (40 weken)</v>
      </c>
      <c r="N839" s="353" t="e">
        <f t="shared" si="68"/>
        <v>#DIV/0!</v>
      </c>
      <c r="O839" s="354">
        <f>IF(L839="nio",0,IF(L839&gt;0,VLOOKUP(H839,'3-Productie normen'!A:P,VLOOKUP(L839,'3-Productie normen'!$B$31:$C$45,2,FALSE),FALSE)))/VLOOKUP(B839,'2-Kosten per locatie'!$A$13:$D$36,4,FALSE)</f>
        <v>0</v>
      </c>
      <c r="P839" s="82" t="str">
        <f>VLOOKUP(H839,'3-Productie normen'!A:T,20,FALSE)</f>
        <v>B</v>
      </c>
      <c r="Q839" s="447" t="s">
        <v>792</v>
      </c>
      <c r="S839" s="356">
        <f t="shared" si="67"/>
        <v>2472.000045776364</v>
      </c>
    </row>
    <row r="840" spans="1:19" ht="14.1" customHeight="1">
      <c r="A840" s="72">
        <f t="shared" si="66"/>
        <v>840</v>
      </c>
      <c r="B840" s="50" t="s">
        <v>815</v>
      </c>
      <c r="C840" s="50" t="s">
        <v>834</v>
      </c>
      <c r="D840" s="427" t="s">
        <v>1038</v>
      </c>
      <c r="E840" s="426" t="s">
        <v>612</v>
      </c>
      <c r="F840" s="349" t="s">
        <v>340</v>
      </c>
      <c r="G840" s="86" t="s">
        <v>222</v>
      </c>
      <c r="H840" s="86" t="s">
        <v>16</v>
      </c>
      <c r="I840" s="86" t="s">
        <v>781</v>
      </c>
      <c r="J840" s="343">
        <v>2</v>
      </c>
      <c r="K840" s="351">
        <f t="shared" si="69"/>
        <v>201</v>
      </c>
      <c r="L840" s="484">
        <v>201</v>
      </c>
      <c r="M840" s="448" t="str">
        <f>IF(L840="nio","",VLOOKUP(L840,'3-Productie normen'!$B$31:$H$45,3,FALSE))</f>
        <v>5 x per week (40 weken + 1 Zomer refreshbeurt)</v>
      </c>
      <c r="N840" s="353" t="e">
        <f t="shared" si="68"/>
        <v>#DIV/0!</v>
      </c>
      <c r="O840" s="354">
        <f>IF(L840="nio",0,IF(L840&gt;0,VLOOKUP(H840,'3-Productie normen'!A:P,VLOOKUP(L840,'3-Productie normen'!$B$31:$C$45,2,FALSE),FALSE)))/VLOOKUP(B840,'2-Kosten per locatie'!$A$13:$D$36,4,FALSE)</f>
        <v>0</v>
      </c>
      <c r="P840" s="82" t="str">
        <f>VLOOKUP(H840,'3-Productie normen'!A:T,20,FALSE)</f>
        <v>S</v>
      </c>
      <c r="Q840" s="447" t="s">
        <v>857</v>
      </c>
      <c r="S840" s="356">
        <f t="shared" si="67"/>
        <v>402</v>
      </c>
    </row>
    <row r="841" spans="1:19" ht="14.1" customHeight="1">
      <c r="A841" s="72">
        <f t="shared" si="66"/>
        <v>841</v>
      </c>
      <c r="B841" s="50" t="s">
        <v>815</v>
      </c>
      <c r="C841" s="50" t="s">
        <v>834</v>
      </c>
      <c r="D841" s="427" t="s">
        <v>1038</v>
      </c>
      <c r="E841" s="426" t="s">
        <v>612</v>
      </c>
      <c r="F841" s="349" t="s">
        <v>341</v>
      </c>
      <c r="G841" s="86" t="s">
        <v>222</v>
      </c>
      <c r="H841" s="86" t="s">
        <v>16</v>
      </c>
      <c r="I841" s="86" t="s">
        <v>781</v>
      </c>
      <c r="J841" s="343">
        <v>7.8000001907348597</v>
      </c>
      <c r="K841" s="351">
        <f t="shared" si="69"/>
        <v>201</v>
      </c>
      <c r="L841" s="484">
        <v>201</v>
      </c>
      <c r="M841" s="448" t="str">
        <f>IF(L841="nio","",VLOOKUP(L841,'3-Productie normen'!$B$31:$H$45,3,FALSE))</f>
        <v>5 x per week (40 weken + 1 Zomer refreshbeurt)</v>
      </c>
      <c r="N841" s="353" t="e">
        <f t="shared" si="68"/>
        <v>#DIV/0!</v>
      </c>
      <c r="O841" s="354">
        <f>IF(L841="nio",0,IF(L841&gt;0,VLOOKUP(H841,'3-Productie normen'!A:P,VLOOKUP(L841,'3-Productie normen'!$B$31:$C$45,2,FALSE),FALSE)))/VLOOKUP(B841,'2-Kosten per locatie'!$A$13:$D$36,4,FALSE)</f>
        <v>0</v>
      </c>
      <c r="P841" s="82" t="str">
        <f>VLOOKUP(H841,'3-Productie normen'!A:T,20,FALSE)</f>
        <v>S</v>
      </c>
      <c r="Q841" s="447" t="s">
        <v>894</v>
      </c>
      <c r="S841" s="356">
        <f t="shared" si="67"/>
        <v>1567.8000383377068</v>
      </c>
    </row>
    <row r="842" spans="1:19" ht="14.1" customHeight="1">
      <c r="A842" s="72">
        <f t="shared" si="66"/>
        <v>842</v>
      </c>
      <c r="B842" s="50" t="s">
        <v>815</v>
      </c>
      <c r="C842" s="50" t="s">
        <v>834</v>
      </c>
      <c r="D842" s="427" t="s">
        <v>1038</v>
      </c>
      <c r="E842" s="426" t="s">
        <v>612</v>
      </c>
      <c r="F842" s="349" t="s">
        <v>342</v>
      </c>
      <c r="G842" s="86" t="s">
        <v>222</v>
      </c>
      <c r="H842" s="86" t="s">
        <v>16</v>
      </c>
      <c r="I842" s="86" t="s">
        <v>781</v>
      </c>
      <c r="J842" s="343">
        <v>7.8000001907348597</v>
      </c>
      <c r="K842" s="351">
        <f t="shared" si="69"/>
        <v>201</v>
      </c>
      <c r="L842" s="484">
        <v>201</v>
      </c>
      <c r="M842" s="448" t="str">
        <f>IF(L842="nio","",VLOOKUP(L842,'3-Productie normen'!$B$31:$H$45,3,FALSE))</f>
        <v>5 x per week (40 weken + 1 Zomer refreshbeurt)</v>
      </c>
      <c r="N842" s="353" t="e">
        <f t="shared" si="68"/>
        <v>#DIV/0!</v>
      </c>
      <c r="O842" s="354">
        <f>IF(L842="nio",0,IF(L842&gt;0,VLOOKUP(H842,'3-Productie normen'!A:P,VLOOKUP(L842,'3-Productie normen'!$B$31:$C$45,2,FALSE),FALSE)))/VLOOKUP(B842,'2-Kosten per locatie'!$A$13:$D$36,4,FALSE)</f>
        <v>0</v>
      </c>
      <c r="P842" s="82" t="str">
        <f>VLOOKUP(H842,'3-Productie normen'!A:T,20,FALSE)</f>
        <v>S</v>
      </c>
      <c r="Q842" s="447" t="s">
        <v>894</v>
      </c>
      <c r="S842" s="356">
        <f t="shared" si="67"/>
        <v>1567.8000383377068</v>
      </c>
    </row>
    <row r="843" spans="1:19" ht="14.1" customHeight="1">
      <c r="A843" s="72">
        <f t="shared" ref="A843:A906" si="70">A842+1</f>
        <v>843</v>
      </c>
      <c r="B843" s="50" t="s">
        <v>815</v>
      </c>
      <c r="C843" s="50" t="s">
        <v>834</v>
      </c>
      <c r="D843" s="427" t="s">
        <v>1038</v>
      </c>
      <c r="E843" s="426" t="s">
        <v>612</v>
      </c>
      <c r="F843" s="349" t="s">
        <v>343</v>
      </c>
      <c r="G843" s="86" t="s">
        <v>419</v>
      </c>
      <c r="H843" s="432" t="s">
        <v>198</v>
      </c>
      <c r="I843" s="86" t="s">
        <v>789</v>
      </c>
      <c r="J843" s="343">
        <v>11.8999996185303</v>
      </c>
      <c r="K843" s="351">
        <f t="shared" si="69"/>
        <v>200</v>
      </c>
      <c r="L843" s="484">
        <v>200</v>
      </c>
      <c r="M843" s="448" t="str">
        <f>IF(L843="nio","",VLOOKUP(L843,'3-Productie normen'!$B$31:$H$45,3,FALSE))</f>
        <v>5 x per week (40 weken)</v>
      </c>
      <c r="N843" s="353" t="e">
        <f t="shared" si="68"/>
        <v>#DIV/0!</v>
      </c>
      <c r="O843" s="354">
        <f>IF(L843="nio",0,IF(L843&gt;0,VLOOKUP(H843,'3-Productie normen'!A:P,VLOOKUP(L843,'3-Productie normen'!$B$31:$C$45,2,FALSE),FALSE)))/VLOOKUP(B843,'2-Kosten per locatie'!$A$13:$D$36,4,FALSE)</f>
        <v>0</v>
      </c>
      <c r="P843" s="82" t="str">
        <f>VLOOKUP(H843,'3-Productie normen'!A:T,20,FALSE)</f>
        <v>V</v>
      </c>
      <c r="Q843" s="447" t="s">
        <v>792</v>
      </c>
      <c r="S843" s="356">
        <f t="shared" si="67"/>
        <v>2379.9999237060601</v>
      </c>
    </row>
    <row r="844" spans="1:19" ht="14.1" customHeight="1">
      <c r="A844" s="72">
        <f t="shared" si="70"/>
        <v>844</v>
      </c>
      <c r="B844" s="50" t="s">
        <v>815</v>
      </c>
      <c r="C844" s="50" t="s">
        <v>834</v>
      </c>
      <c r="D844" s="427" t="s">
        <v>1038</v>
      </c>
      <c r="E844" s="426" t="s">
        <v>612</v>
      </c>
      <c r="F844" s="349" t="s">
        <v>344</v>
      </c>
      <c r="G844" s="86" t="s">
        <v>209</v>
      </c>
      <c r="H844" s="63" t="s">
        <v>1040</v>
      </c>
      <c r="I844" s="86" t="s">
        <v>780</v>
      </c>
      <c r="J844" s="343">
        <v>10</v>
      </c>
      <c r="K844" s="351">
        <f t="shared" si="69"/>
        <v>12</v>
      </c>
      <c r="L844" s="484">
        <v>12</v>
      </c>
      <c r="M844" s="448" t="str">
        <f>IF(L844="nio","",VLOOKUP(L844,'3-Productie normen'!$B$31:$H$45,3,FALSE))</f>
        <v>1 x per maand</v>
      </c>
      <c r="N844" s="353" t="e">
        <f t="shared" si="68"/>
        <v>#DIV/0!</v>
      </c>
      <c r="O844" s="354">
        <f>IF(L844="nio",0,IF(L844&gt;0,VLOOKUP(H844,'3-Productie normen'!A:P,VLOOKUP(L844,'3-Productie normen'!$B$31:$C$45,2,FALSE),FALSE)))/VLOOKUP(B844,'2-Kosten per locatie'!$A$13:$D$36,4,FALSE)</f>
        <v>0</v>
      </c>
      <c r="P844" s="82" t="str">
        <f>VLOOKUP(H844,'3-Productie normen'!A:T,20,FALSE)</f>
        <v>V</v>
      </c>
      <c r="Q844" s="447" t="s">
        <v>792</v>
      </c>
      <c r="S844" s="356">
        <f t="shared" si="67"/>
        <v>120</v>
      </c>
    </row>
    <row r="845" spans="1:19" ht="14.1" customHeight="1">
      <c r="A845" s="72">
        <f t="shared" si="70"/>
        <v>845</v>
      </c>
      <c r="B845" s="50" t="s">
        <v>815</v>
      </c>
      <c r="C845" s="50" t="s">
        <v>834</v>
      </c>
      <c r="D845" s="427" t="s">
        <v>1038</v>
      </c>
      <c r="E845" s="426" t="s">
        <v>612</v>
      </c>
      <c r="F845" s="349" t="s">
        <v>345</v>
      </c>
      <c r="G845" s="86" t="s">
        <v>298</v>
      </c>
      <c r="H845" s="86" t="s">
        <v>241</v>
      </c>
      <c r="I845" s="86" t="s">
        <v>780</v>
      </c>
      <c r="J845" s="343">
        <v>59.900001525878899</v>
      </c>
      <c r="K845" s="351">
        <f t="shared" si="69"/>
        <v>201</v>
      </c>
      <c r="L845" s="484">
        <v>201</v>
      </c>
      <c r="M845" s="448" t="str">
        <f>IF(L845="nio","",VLOOKUP(L845,'3-Productie normen'!$B$31:$H$45,3,FALSE))</f>
        <v>5 x per week (40 weken + 1 Zomer refreshbeurt)</v>
      </c>
      <c r="N845" s="353" t="e">
        <f t="shared" si="68"/>
        <v>#DIV/0!</v>
      </c>
      <c r="O845" s="354">
        <f>IF(L845="nio",0,IF(L845&gt;0,VLOOKUP(H845,'3-Productie normen'!A:P,VLOOKUP(L845,'3-Productie normen'!$B$31:$C$45,2,FALSE),FALSE)))/VLOOKUP(B845,'2-Kosten per locatie'!$A$13:$D$36,4,FALSE)</f>
        <v>0</v>
      </c>
      <c r="P845" s="82" t="str">
        <f>VLOOKUP(H845,'3-Productie normen'!A:T,20,FALSE)</f>
        <v>L</v>
      </c>
      <c r="Q845" s="447" t="s">
        <v>875</v>
      </c>
      <c r="S845" s="356">
        <f t="shared" si="67"/>
        <v>12039.900306701658</v>
      </c>
    </row>
    <row r="846" spans="1:19" ht="14.1" customHeight="1">
      <c r="A846" s="72">
        <f t="shared" si="70"/>
        <v>846</v>
      </c>
      <c r="B846" s="50" t="s">
        <v>815</v>
      </c>
      <c r="C846" s="50" t="s">
        <v>834</v>
      </c>
      <c r="D846" s="427" t="s">
        <v>1038</v>
      </c>
      <c r="E846" s="426" t="s">
        <v>612</v>
      </c>
      <c r="F846" s="349" t="s">
        <v>346</v>
      </c>
      <c r="G846" s="86" t="s">
        <v>298</v>
      </c>
      <c r="H846" s="81" t="s">
        <v>241</v>
      </c>
      <c r="I846" s="86" t="s">
        <v>780</v>
      </c>
      <c r="J846" s="343">
        <v>59.900001525878899</v>
      </c>
      <c r="K846" s="351">
        <f t="shared" si="69"/>
        <v>201</v>
      </c>
      <c r="L846" s="484">
        <v>201</v>
      </c>
      <c r="M846" s="448" t="str">
        <f>IF(L846="nio","",VLOOKUP(L846,'3-Productie normen'!$B$31:$H$45,3,FALSE))</f>
        <v>5 x per week (40 weken + 1 Zomer refreshbeurt)</v>
      </c>
      <c r="N846" s="353" t="e">
        <f t="shared" si="68"/>
        <v>#DIV/0!</v>
      </c>
      <c r="O846" s="354">
        <f>IF(L846="nio",0,IF(L846&gt;0,VLOOKUP(H846,'3-Productie normen'!A:P,VLOOKUP(L846,'3-Productie normen'!$B$31:$C$45,2,FALSE),FALSE)))/VLOOKUP(B846,'2-Kosten per locatie'!$A$13:$D$36,4,FALSE)</f>
        <v>0</v>
      </c>
      <c r="P846" s="82" t="str">
        <f>VLOOKUP(H846,'3-Productie normen'!A:T,20,FALSE)</f>
        <v>L</v>
      </c>
      <c r="Q846" s="447" t="s">
        <v>875</v>
      </c>
      <c r="S846" s="356">
        <f t="shared" ref="S846:S868" si="71">IF(L846="nio",0,K846*J846)</f>
        <v>12039.900306701658</v>
      </c>
    </row>
    <row r="847" spans="1:19" ht="14.1" customHeight="1">
      <c r="A847" s="72">
        <f t="shared" si="70"/>
        <v>847</v>
      </c>
      <c r="B847" s="50" t="s">
        <v>815</v>
      </c>
      <c r="C847" s="50" t="s">
        <v>834</v>
      </c>
      <c r="D847" s="427" t="s">
        <v>1035</v>
      </c>
      <c r="E847" s="426" t="s">
        <v>275</v>
      </c>
      <c r="F847" s="349" t="s">
        <v>668</v>
      </c>
      <c r="G847" s="86" t="s">
        <v>232</v>
      </c>
      <c r="H847" s="430" t="s">
        <v>1046</v>
      </c>
      <c r="I847" s="86" t="s">
        <v>789</v>
      </c>
      <c r="J847" s="343">
        <v>5.1999998092651403</v>
      </c>
      <c r="K847" s="351">
        <f t="shared" si="69"/>
        <v>255</v>
      </c>
      <c r="L847" s="484">
        <v>255</v>
      </c>
      <c r="M847" s="448" t="str">
        <f>IF(L847="nio","",VLOOKUP(L847,'3-Productie normen'!$B$31:$H$45,3,FALSE))</f>
        <v>5 x per week (52 weken)</v>
      </c>
      <c r="N847" s="353" t="e">
        <f t="shared" si="68"/>
        <v>#DIV/0!</v>
      </c>
      <c r="O847" s="354">
        <f>IF(L847="nio",0,IF(L847&gt;0,VLOOKUP(H847,'3-Productie normen'!A:P,VLOOKUP(L847,'3-Productie normen'!$B$31:$C$45,2,FALSE),FALSE)))/VLOOKUP(B847,'2-Kosten per locatie'!$A$13:$D$36,4,FALSE)</f>
        <v>0</v>
      </c>
      <c r="P847" s="82" t="str">
        <f>VLOOKUP(H847,'3-Productie normen'!A:T,20,FALSE)</f>
        <v>V</v>
      </c>
      <c r="Q847" s="447" t="s">
        <v>792</v>
      </c>
      <c r="S847" s="356">
        <f t="shared" si="71"/>
        <v>1325.9999513626108</v>
      </c>
    </row>
    <row r="848" spans="1:19" ht="14.1" customHeight="1">
      <c r="A848" s="72">
        <f t="shared" si="70"/>
        <v>848</v>
      </c>
      <c r="B848" s="50" t="s">
        <v>815</v>
      </c>
      <c r="C848" s="50" t="s">
        <v>834</v>
      </c>
      <c r="D848" s="427" t="s">
        <v>1038</v>
      </c>
      <c r="E848" s="426" t="s">
        <v>275</v>
      </c>
      <c r="F848" s="349" t="s">
        <v>428</v>
      </c>
      <c r="G848" s="86" t="s">
        <v>298</v>
      </c>
      <c r="H848" s="86" t="s">
        <v>241</v>
      </c>
      <c r="I848" s="86" t="s">
        <v>780</v>
      </c>
      <c r="J848" s="343">
        <v>61</v>
      </c>
      <c r="K848" s="351">
        <f t="shared" si="69"/>
        <v>201</v>
      </c>
      <c r="L848" s="484">
        <v>201</v>
      </c>
      <c r="M848" s="448" t="str">
        <f>IF(L848="nio","",VLOOKUP(L848,'3-Productie normen'!$B$31:$H$45,3,FALSE))</f>
        <v>5 x per week (40 weken + 1 Zomer refreshbeurt)</v>
      </c>
      <c r="N848" s="353" t="e">
        <f t="shared" si="68"/>
        <v>#DIV/0!</v>
      </c>
      <c r="O848" s="354">
        <f>IF(L848="nio",0,IF(L848&gt;0,VLOOKUP(H848,'3-Productie normen'!A:P,VLOOKUP(L848,'3-Productie normen'!$B$31:$C$45,2,FALSE),FALSE)))/VLOOKUP(B848,'2-Kosten per locatie'!$A$13:$D$36,4,FALSE)</f>
        <v>0</v>
      </c>
      <c r="P848" s="82" t="str">
        <f>VLOOKUP(H848,'3-Productie normen'!A:T,20,FALSE)</f>
        <v>L</v>
      </c>
      <c r="Q848" s="447" t="s">
        <v>881</v>
      </c>
      <c r="S848" s="356">
        <f t="shared" si="71"/>
        <v>12261</v>
      </c>
    </row>
    <row r="849" spans="1:19" ht="14.1" customHeight="1">
      <c r="A849" s="72">
        <f t="shared" si="70"/>
        <v>849</v>
      </c>
      <c r="B849" s="50" t="s">
        <v>815</v>
      </c>
      <c r="C849" s="50" t="s">
        <v>834</v>
      </c>
      <c r="D849" s="427" t="s">
        <v>1038</v>
      </c>
      <c r="E849" s="426" t="s">
        <v>275</v>
      </c>
      <c r="F849" s="349" t="s">
        <v>429</v>
      </c>
      <c r="G849" s="86" t="s">
        <v>298</v>
      </c>
      <c r="H849" s="50" t="s">
        <v>241</v>
      </c>
      <c r="I849" s="86" t="s">
        <v>780</v>
      </c>
      <c r="J849" s="343">
        <v>60.400001525878899</v>
      </c>
      <c r="K849" s="351">
        <f t="shared" si="69"/>
        <v>201</v>
      </c>
      <c r="L849" s="484">
        <v>201</v>
      </c>
      <c r="M849" s="448" t="str">
        <f>IF(L849="nio","",VLOOKUP(L849,'3-Productie normen'!$B$31:$H$45,3,FALSE))</f>
        <v>5 x per week (40 weken + 1 Zomer refreshbeurt)</v>
      </c>
      <c r="N849" s="353" t="e">
        <f t="shared" si="68"/>
        <v>#DIV/0!</v>
      </c>
      <c r="O849" s="354">
        <f>IF(L849="nio",0,IF(L849&gt;0,VLOOKUP(H849,'3-Productie normen'!A:P,VLOOKUP(L849,'3-Productie normen'!$B$31:$C$45,2,FALSE),FALSE)))/VLOOKUP(B849,'2-Kosten per locatie'!$A$13:$D$36,4,FALSE)</f>
        <v>0</v>
      </c>
      <c r="P849" s="82" t="str">
        <f>VLOOKUP(H849,'3-Productie normen'!A:T,20,FALSE)</f>
        <v>L</v>
      </c>
      <c r="Q849" s="447" t="s">
        <v>881</v>
      </c>
      <c r="S849" s="356">
        <f t="shared" si="71"/>
        <v>12140.400306701658</v>
      </c>
    </row>
    <row r="850" spans="1:19" ht="14.1" customHeight="1">
      <c r="A850" s="72">
        <f t="shared" si="70"/>
        <v>850</v>
      </c>
      <c r="B850" s="50" t="s">
        <v>815</v>
      </c>
      <c r="C850" s="50" t="s">
        <v>834</v>
      </c>
      <c r="D850" s="427" t="s">
        <v>1038</v>
      </c>
      <c r="E850" s="426" t="s">
        <v>275</v>
      </c>
      <c r="F850" s="349" t="s">
        <v>430</v>
      </c>
      <c r="G850" s="86" t="s">
        <v>209</v>
      </c>
      <c r="H850" s="63" t="s">
        <v>1040</v>
      </c>
      <c r="I850" s="86" t="s">
        <v>780</v>
      </c>
      <c r="J850" s="343">
        <v>7</v>
      </c>
      <c r="K850" s="351">
        <f t="shared" si="69"/>
        <v>12</v>
      </c>
      <c r="L850" s="484">
        <v>12</v>
      </c>
      <c r="M850" s="448" t="str">
        <f>IF(L850="nio","",VLOOKUP(L850,'3-Productie normen'!$B$31:$H$45,3,FALSE))</f>
        <v>1 x per maand</v>
      </c>
      <c r="N850" s="353" t="e">
        <f t="shared" si="68"/>
        <v>#DIV/0!</v>
      </c>
      <c r="O850" s="354">
        <f>IF(L850="nio",0,IF(L850&gt;0,VLOOKUP(H850,'3-Productie normen'!A:P,VLOOKUP(L850,'3-Productie normen'!$B$31:$C$45,2,FALSE),FALSE)))/VLOOKUP(B850,'2-Kosten per locatie'!$A$13:$D$36,4,FALSE)</f>
        <v>0</v>
      </c>
      <c r="P850" s="82" t="str">
        <f>VLOOKUP(H850,'3-Productie normen'!A:T,20,FALSE)</f>
        <v>V</v>
      </c>
      <c r="Q850" s="447" t="s">
        <v>792</v>
      </c>
      <c r="S850" s="356">
        <f t="shared" si="71"/>
        <v>84</v>
      </c>
    </row>
    <row r="851" spans="1:19" ht="14.1" customHeight="1">
      <c r="A851" s="72">
        <f t="shared" si="70"/>
        <v>851</v>
      </c>
      <c r="B851" s="50" t="s">
        <v>815</v>
      </c>
      <c r="C851" s="50" t="s">
        <v>834</v>
      </c>
      <c r="D851" s="427" t="s">
        <v>1038</v>
      </c>
      <c r="E851" s="426" t="s">
        <v>275</v>
      </c>
      <c r="F851" s="349" t="s">
        <v>431</v>
      </c>
      <c r="G851" s="86" t="s">
        <v>222</v>
      </c>
      <c r="H851" s="86" t="s">
        <v>16</v>
      </c>
      <c r="I851" s="86" t="s">
        <v>781</v>
      </c>
      <c r="J851" s="343">
        <v>10.5</v>
      </c>
      <c r="K851" s="351">
        <f t="shared" si="69"/>
        <v>201</v>
      </c>
      <c r="L851" s="484">
        <v>201</v>
      </c>
      <c r="M851" s="448" t="str">
        <f>IF(L851="nio","",VLOOKUP(L851,'3-Productie normen'!$B$31:$H$45,3,FALSE))</f>
        <v>5 x per week (40 weken + 1 Zomer refreshbeurt)</v>
      </c>
      <c r="N851" s="353" t="e">
        <f t="shared" si="68"/>
        <v>#DIV/0!</v>
      </c>
      <c r="O851" s="354">
        <f>IF(L851="nio",0,IF(L851&gt;0,VLOOKUP(H851,'3-Productie normen'!A:P,VLOOKUP(L851,'3-Productie normen'!$B$31:$C$45,2,FALSE),FALSE)))/VLOOKUP(B851,'2-Kosten per locatie'!$A$13:$D$36,4,FALSE)</f>
        <v>0</v>
      </c>
      <c r="P851" s="82" t="str">
        <f>VLOOKUP(H851,'3-Productie normen'!A:T,20,FALSE)</f>
        <v>S</v>
      </c>
      <c r="Q851" s="447" t="s">
        <v>995</v>
      </c>
      <c r="S851" s="356">
        <f t="shared" si="71"/>
        <v>2110.5</v>
      </c>
    </row>
    <row r="852" spans="1:19" ht="14.1" customHeight="1">
      <c r="A852" s="72">
        <f t="shared" si="70"/>
        <v>852</v>
      </c>
      <c r="B852" s="50" t="s">
        <v>815</v>
      </c>
      <c r="C852" s="50" t="s">
        <v>834</v>
      </c>
      <c r="D852" s="427" t="s">
        <v>1038</v>
      </c>
      <c r="E852" s="426" t="s">
        <v>275</v>
      </c>
      <c r="F852" s="349" t="s">
        <v>432</v>
      </c>
      <c r="G852" s="86" t="s">
        <v>222</v>
      </c>
      <c r="H852" s="86" t="s">
        <v>16</v>
      </c>
      <c r="I852" s="86" t="s">
        <v>781</v>
      </c>
      <c r="J852" s="343">
        <v>1.6000000238418599</v>
      </c>
      <c r="K852" s="351">
        <f t="shared" si="69"/>
        <v>201</v>
      </c>
      <c r="L852" s="484">
        <v>201</v>
      </c>
      <c r="M852" s="448" t="str">
        <f>IF(L852="nio","",VLOOKUP(L852,'3-Productie normen'!$B$31:$H$45,3,FALSE))</f>
        <v>5 x per week (40 weken + 1 Zomer refreshbeurt)</v>
      </c>
      <c r="N852" s="353" t="e">
        <f t="shared" si="68"/>
        <v>#DIV/0!</v>
      </c>
      <c r="O852" s="354">
        <f>IF(L852="nio",0,IF(L852&gt;0,VLOOKUP(H852,'3-Productie normen'!A:P,VLOOKUP(L852,'3-Productie normen'!$B$31:$C$45,2,FALSE),FALSE)))/VLOOKUP(B852,'2-Kosten per locatie'!$A$13:$D$36,4,FALSE)</f>
        <v>0</v>
      </c>
      <c r="P852" s="82" t="str">
        <f>VLOOKUP(H852,'3-Productie normen'!A:T,20,FALSE)</f>
        <v>S</v>
      </c>
      <c r="Q852" s="447" t="s">
        <v>857</v>
      </c>
      <c r="S852" s="356">
        <f t="shared" si="71"/>
        <v>321.60000479221384</v>
      </c>
    </row>
    <row r="853" spans="1:19" ht="14.1" customHeight="1">
      <c r="A853" s="72">
        <f t="shared" si="70"/>
        <v>853</v>
      </c>
      <c r="B853" s="50" t="s">
        <v>815</v>
      </c>
      <c r="C853" s="50" t="s">
        <v>834</v>
      </c>
      <c r="D853" s="427" t="s">
        <v>1038</v>
      </c>
      <c r="E853" s="426" t="s">
        <v>275</v>
      </c>
      <c r="F853" s="349" t="s">
        <v>433</v>
      </c>
      <c r="G853" s="86" t="s">
        <v>222</v>
      </c>
      <c r="H853" s="81" t="s">
        <v>16</v>
      </c>
      <c r="I853" s="86" t="s">
        <v>781</v>
      </c>
      <c r="J853" s="343">
        <v>1.6000000238418599</v>
      </c>
      <c r="K853" s="351">
        <f t="shared" si="69"/>
        <v>201</v>
      </c>
      <c r="L853" s="484">
        <v>201</v>
      </c>
      <c r="M853" s="448" t="str">
        <f>IF(L853="nio","",VLOOKUP(L853,'3-Productie normen'!$B$31:$H$45,3,FALSE))</f>
        <v>5 x per week (40 weken + 1 Zomer refreshbeurt)</v>
      </c>
      <c r="N853" s="353" t="e">
        <f t="shared" si="68"/>
        <v>#DIV/0!</v>
      </c>
      <c r="O853" s="354">
        <f>IF(L853="nio",0,IF(L853&gt;0,VLOOKUP(H853,'3-Productie normen'!A:P,VLOOKUP(L853,'3-Productie normen'!$B$31:$C$45,2,FALSE),FALSE)))/VLOOKUP(B853,'2-Kosten per locatie'!$A$13:$D$36,4,FALSE)</f>
        <v>0</v>
      </c>
      <c r="P853" s="82" t="str">
        <f>VLOOKUP(H853,'3-Productie normen'!A:T,20,FALSE)</f>
        <v>S</v>
      </c>
      <c r="Q853" s="447" t="s">
        <v>857</v>
      </c>
      <c r="S853" s="356">
        <f t="shared" si="71"/>
        <v>321.60000479221384</v>
      </c>
    </row>
    <row r="854" spans="1:19" ht="14.1" customHeight="1">
      <c r="A854" s="72">
        <f t="shared" si="70"/>
        <v>854</v>
      </c>
      <c r="B854" s="50" t="s">
        <v>815</v>
      </c>
      <c r="C854" s="50" t="s">
        <v>834</v>
      </c>
      <c r="D854" s="427" t="s">
        <v>1038</v>
      </c>
      <c r="E854" s="426" t="s">
        <v>275</v>
      </c>
      <c r="F854" s="349" t="s">
        <v>434</v>
      </c>
      <c r="G854" s="86" t="s">
        <v>232</v>
      </c>
      <c r="H854" s="65" t="s">
        <v>1053</v>
      </c>
      <c r="I854" s="86" t="s">
        <v>788</v>
      </c>
      <c r="J854" s="343">
        <v>2</v>
      </c>
      <c r="K854" s="351" t="str">
        <f t="shared" si="69"/>
        <v>nio</v>
      </c>
      <c r="L854" s="484" t="s">
        <v>804</v>
      </c>
      <c r="M854" s="448" t="str">
        <f>IF(L854="nio","",VLOOKUP(L854,'3-Productie normen'!$B$31:$H$45,3,FALSE))</f>
        <v/>
      </c>
      <c r="N854" s="353">
        <f t="shared" si="68"/>
        <v>0</v>
      </c>
      <c r="O854" s="354">
        <f>IF(L854="nio",0,IF(L854&gt;0,VLOOKUP(H854,'3-Productie normen'!A:P,VLOOKUP(L854,'3-Productie normen'!$B$31:$C$45,2,FALSE),FALSE)))/VLOOKUP(B854,'2-Kosten per locatie'!$A$13:$D$36,4,FALSE)</f>
        <v>0</v>
      </c>
      <c r="P854" s="82">
        <f>VLOOKUP(H854,'3-Productie normen'!A:T,20,FALSE)</f>
        <v>0</v>
      </c>
      <c r="Q854" s="447" t="s">
        <v>792</v>
      </c>
      <c r="S854" s="356">
        <f t="shared" si="71"/>
        <v>0</v>
      </c>
    </row>
    <row r="855" spans="1:19" ht="14.1" customHeight="1">
      <c r="A855" s="72">
        <f t="shared" si="70"/>
        <v>855</v>
      </c>
      <c r="B855" s="50" t="s">
        <v>815</v>
      </c>
      <c r="C855" s="50" t="s">
        <v>834</v>
      </c>
      <c r="D855" s="427" t="s">
        <v>1038</v>
      </c>
      <c r="E855" s="426" t="s">
        <v>275</v>
      </c>
      <c r="F855" s="349" t="s">
        <v>435</v>
      </c>
      <c r="G855" s="86" t="s">
        <v>298</v>
      </c>
      <c r="H855" s="86" t="s">
        <v>241</v>
      </c>
      <c r="I855" s="86" t="s">
        <v>780</v>
      </c>
      <c r="J855" s="343">
        <v>60.5</v>
      </c>
      <c r="K855" s="351">
        <f t="shared" si="69"/>
        <v>201</v>
      </c>
      <c r="L855" s="484">
        <v>201</v>
      </c>
      <c r="M855" s="448" t="str">
        <f>IF(L855="nio","",VLOOKUP(L855,'3-Productie normen'!$B$31:$H$45,3,FALSE))</f>
        <v>5 x per week (40 weken + 1 Zomer refreshbeurt)</v>
      </c>
      <c r="N855" s="353" t="e">
        <f t="shared" si="68"/>
        <v>#DIV/0!</v>
      </c>
      <c r="O855" s="354">
        <f>IF(L855="nio",0,IF(L855&gt;0,VLOOKUP(H855,'3-Productie normen'!A:P,VLOOKUP(L855,'3-Productie normen'!$B$31:$C$45,2,FALSE),FALSE)))/VLOOKUP(B855,'2-Kosten per locatie'!$A$13:$D$36,4,FALSE)</f>
        <v>0</v>
      </c>
      <c r="P855" s="82" t="str">
        <f>VLOOKUP(H855,'3-Productie normen'!A:T,20,FALSE)</f>
        <v>L</v>
      </c>
      <c r="Q855" s="447" t="s">
        <v>896</v>
      </c>
      <c r="S855" s="356">
        <f t="shared" si="71"/>
        <v>12160.5</v>
      </c>
    </row>
    <row r="856" spans="1:19" ht="14.1" customHeight="1">
      <c r="A856" s="72">
        <f t="shared" si="70"/>
        <v>856</v>
      </c>
      <c r="B856" s="50" t="s">
        <v>815</v>
      </c>
      <c r="C856" s="50" t="s">
        <v>834</v>
      </c>
      <c r="D856" s="427" t="s">
        <v>1038</v>
      </c>
      <c r="E856" s="426" t="s">
        <v>275</v>
      </c>
      <c r="F856" s="349" t="s">
        <v>669</v>
      </c>
      <c r="G856" s="86" t="s">
        <v>298</v>
      </c>
      <c r="H856" s="86" t="s">
        <v>241</v>
      </c>
      <c r="I856" s="86" t="s">
        <v>780</v>
      </c>
      <c r="J856" s="343">
        <v>60.5</v>
      </c>
      <c r="K856" s="351">
        <f t="shared" si="69"/>
        <v>201</v>
      </c>
      <c r="L856" s="484">
        <v>201</v>
      </c>
      <c r="M856" s="448" t="str">
        <f>IF(L856="nio","",VLOOKUP(L856,'3-Productie normen'!$B$31:$H$45,3,FALSE))</f>
        <v>5 x per week (40 weken + 1 Zomer refreshbeurt)</v>
      </c>
      <c r="N856" s="353" t="e">
        <f t="shared" si="68"/>
        <v>#DIV/0!</v>
      </c>
      <c r="O856" s="354">
        <f>IF(L856="nio",0,IF(L856&gt;0,VLOOKUP(H856,'3-Productie normen'!A:P,VLOOKUP(L856,'3-Productie normen'!$B$31:$C$45,2,FALSE),FALSE)))/VLOOKUP(B856,'2-Kosten per locatie'!$A$13:$D$36,4,FALSE)</f>
        <v>0</v>
      </c>
      <c r="P856" s="82" t="str">
        <f>VLOOKUP(H856,'3-Productie normen'!A:T,20,FALSE)</f>
        <v>L</v>
      </c>
      <c r="Q856" s="447" t="s">
        <v>880</v>
      </c>
      <c r="S856" s="356">
        <f t="shared" si="71"/>
        <v>12160.5</v>
      </c>
    </row>
    <row r="857" spans="1:19" ht="14.1" customHeight="1">
      <c r="A857" s="72">
        <f t="shared" si="70"/>
        <v>857</v>
      </c>
      <c r="B857" s="50" t="s">
        <v>815</v>
      </c>
      <c r="C857" s="50" t="s">
        <v>834</v>
      </c>
      <c r="D857" s="427" t="s">
        <v>1038</v>
      </c>
      <c r="E857" s="426" t="s">
        <v>275</v>
      </c>
      <c r="F857" s="349" t="s">
        <v>670</v>
      </c>
      <c r="G857" s="86" t="s">
        <v>201</v>
      </c>
      <c r="H857" s="432" t="s">
        <v>198</v>
      </c>
      <c r="I857" s="86" t="s">
        <v>789</v>
      </c>
      <c r="J857" s="343">
        <v>73.099998474121094</v>
      </c>
      <c r="K857" s="351">
        <f t="shared" si="69"/>
        <v>200</v>
      </c>
      <c r="L857" s="484">
        <v>200</v>
      </c>
      <c r="M857" s="448" t="str">
        <f>IF(L857="nio","",VLOOKUP(L857,'3-Productie normen'!$B$31:$H$45,3,FALSE))</f>
        <v>5 x per week (40 weken)</v>
      </c>
      <c r="N857" s="353" t="e">
        <f t="shared" si="68"/>
        <v>#DIV/0!</v>
      </c>
      <c r="O857" s="354">
        <f>IF(L857="nio",0,IF(L857&gt;0,VLOOKUP(H857,'3-Productie normen'!A:P,VLOOKUP(L857,'3-Productie normen'!$B$31:$C$45,2,FALSE),FALSE)))/VLOOKUP(B857,'2-Kosten per locatie'!$A$13:$D$36,4,FALSE)</f>
        <v>0</v>
      </c>
      <c r="P857" s="82" t="str">
        <f>VLOOKUP(H857,'3-Productie normen'!A:T,20,FALSE)</f>
        <v>V</v>
      </c>
      <c r="Q857" s="447" t="s">
        <v>792</v>
      </c>
      <c r="S857" s="356">
        <f t="shared" si="71"/>
        <v>14619.999694824219</v>
      </c>
    </row>
    <row r="858" spans="1:19" ht="14.1" customHeight="1">
      <c r="A858" s="72">
        <f t="shared" si="70"/>
        <v>858</v>
      </c>
      <c r="B858" s="50" t="s">
        <v>815</v>
      </c>
      <c r="C858" s="50" t="s">
        <v>834</v>
      </c>
      <c r="D858" s="427" t="s">
        <v>1038</v>
      </c>
      <c r="E858" s="426" t="s">
        <v>275</v>
      </c>
      <c r="F858" s="349" t="s">
        <v>671</v>
      </c>
      <c r="G858" s="86" t="s">
        <v>298</v>
      </c>
      <c r="H858" s="86" t="s">
        <v>241</v>
      </c>
      <c r="I858" s="86" t="s">
        <v>780</v>
      </c>
      <c r="J858" s="343">
        <v>58</v>
      </c>
      <c r="K858" s="351">
        <f t="shared" si="69"/>
        <v>201</v>
      </c>
      <c r="L858" s="484">
        <v>201</v>
      </c>
      <c r="M858" s="448" t="str">
        <f>IF(L858="nio","",VLOOKUP(L858,'3-Productie normen'!$B$31:$H$45,3,FALSE))</f>
        <v>5 x per week (40 weken + 1 Zomer refreshbeurt)</v>
      </c>
      <c r="N858" s="353" t="e">
        <f t="shared" si="68"/>
        <v>#DIV/0!</v>
      </c>
      <c r="O858" s="354">
        <f>IF(L858="nio",0,IF(L858&gt;0,VLOOKUP(H858,'3-Productie normen'!A:P,VLOOKUP(L858,'3-Productie normen'!$B$31:$C$45,2,FALSE),FALSE)))/VLOOKUP(B858,'2-Kosten per locatie'!$A$13:$D$36,4,FALSE)</f>
        <v>0</v>
      </c>
      <c r="P858" s="82" t="str">
        <f>VLOOKUP(H858,'3-Productie normen'!A:T,20,FALSE)</f>
        <v>L</v>
      </c>
      <c r="Q858" s="447" t="s">
        <v>879</v>
      </c>
      <c r="S858" s="356">
        <f t="shared" si="71"/>
        <v>11658</v>
      </c>
    </row>
    <row r="859" spans="1:19" ht="14.1" customHeight="1">
      <c r="A859" s="72">
        <f t="shared" si="70"/>
        <v>859</v>
      </c>
      <c r="B859" s="50" t="s">
        <v>815</v>
      </c>
      <c r="C859" s="50" t="s">
        <v>834</v>
      </c>
      <c r="D859" s="427" t="s">
        <v>1038</v>
      </c>
      <c r="E859" s="426" t="s">
        <v>275</v>
      </c>
      <c r="F859" s="349" t="s">
        <v>672</v>
      </c>
      <c r="G859" s="86" t="s">
        <v>201</v>
      </c>
      <c r="H859" s="432" t="s">
        <v>198</v>
      </c>
      <c r="I859" s="86" t="s">
        <v>789</v>
      </c>
      <c r="J859" s="343">
        <v>4</v>
      </c>
      <c r="K859" s="351">
        <f t="shared" si="69"/>
        <v>200</v>
      </c>
      <c r="L859" s="484">
        <v>200</v>
      </c>
      <c r="M859" s="448" t="str">
        <f>IF(L859="nio","",VLOOKUP(L859,'3-Productie normen'!$B$31:$H$45,3,FALSE))</f>
        <v>5 x per week (40 weken)</v>
      </c>
      <c r="N859" s="353" t="e">
        <f t="shared" si="68"/>
        <v>#DIV/0!</v>
      </c>
      <c r="O859" s="354">
        <f>IF(L859="nio",0,IF(L859&gt;0,VLOOKUP(H859,'3-Productie normen'!A:P,VLOOKUP(L859,'3-Productie normen'!$B$31:$C$45,2,FALSE),FALSE)))/VLOOKUP(B859,'2-Kosten per locatie'!$A$13:$D$36,4,FALSE)</f>
        <v>0</v>
      </c>
      <c r="P859" s="82" t="str">
        <f>VLOOKUP(H859,'3-Productie normen'!A:T,20,FALSE)</f>
        <v>V</v>
      </c>
      <c r="Q859" s="447" t="s">
        <v>792</v>
      </c>
      <c r="S859" s="356">
        <f t="shared" si="71"/>
        <v>800</v>
      </c>
    </row>
    <row r="860" spans="1:19" ht="14.1" customHeight="1">
      <c r="A860" s="72">
        <f t="shared" si="70"/>
        <v>860</v>
      </c>
      <c r="B860" s="50" t="s">
        <v>815</v>
      </c>
      <c r="C860" s="50" t="s">
        <v>834</v>
      </c>
      <c r="D860" s="427" t="s">
        <v>1038</v>
      </c>
      <c r="E860" s="426" t="s">
        <v>275</v>
      </c>
      <c r="F860" s="349" t="s">
        <v>673</v>
      </c>
      <c r="G860" s="86" t="s">
        <v>209</v>
      </c>
      <c r="H860" s="63" t="s">
        <v>1040</v>
      </c>
      <c r="I860" s="86" t="s">
        <v>780</v>
      </c>
      <c r="J860" s="343">
        <v>2</v>
      </c>
      <c r="K860" s="351">
        <f t="shared" si="69"/>
        <v>12</v>
      </c>
      <c r="L860" s="484">
        <v>12</v>
      </c>
      <c r="M860" s="448" t="str">
        <f>IF(L860="nio","",VLOOKUP(L860,'3-Productie normen'!$B$31:$H$45,3,FALSE))</f>
        <v>1 x per maand</v>
      </c>
      <c r="N860" s="353" t="e">
        <f t="shared" si="68"/>
        <v>#DIV/0!</v>
      </c>
      <c r="O860" s="354">
        <f>IF(L860="nio",0,IF(L860&gt;0,VLOOKUP(H860,'3-Productie normen'!A:P,VLOOKUP(L860,'3-Productie normen'!$B$31:$C$45,2,FALSE),FALSE)))/VLOOKUP(B860,'2-Kosten per locatie'!$A$13:$D$36,4,FALSE)</f>
        <v>0</v>
      </c>
      <c r="P860" s="82" t="str">
        <f>VLOOKUP(H860,'3-Productie normen'!A:T,20,FALSE)</f>
        <v>V</v>
      </c>
      <c r="Q860" s="447" t="s">
        <v>792</v>
      </c>
      <c r="S860" s="356">
        <f t="shared" si="71"/>
        <v>24</v>
      </c>
    </row>
    <row r="861" spans="1:19" ht="14.1" customHeight="1">
      <c r="A861" s="72">
        <f t="shared" si="70"/>
        <v>861</v>
      </c>
      <c r="B861" s="50" t="s">
        <v>815</v>
      </c>
      <c r="C861" s="50" t="s">
        <v>834</v>
      </c>
      <c r="D861" s="427" t="s">
        <v>1038</v>
      </c>
      <c r="E861" s="426" t="s">
        <v>275</v>
      </c>
      <c r="F861" s="349" t="s">
        <v>674</v>
      </c>
      <c r="G861" s="86" t="s">
        <v>279</v>
      </c>
      <c r="H861" s="86" t="s">
        <v>203</v>
      </c>
      <c r="I861" s="86" t="s">
        <v>780</v>
      </c>
      <c r="J861" s="343">
        <v>33.900001525878899</v>
      </c>
      <c r="K861" s="351">
        <f t="shared" si="69"/>
        <v>201</v>
      </c>
      <c r="L861" s="484">
        <v>201</v>
      </c>
      <c r="M861" s="448" t="str">
        <f>IF(L861="nio","",VLOOKUP(L861,'3-Productie normen'!$B$31:$H$45,3,FALSE))</f>
        <v>5 x per week (40 weken + 1 Zomer refreshbeurt)</v>
      </c>
      <c r="N861" s="353" t="e">
        <f t="shared" si="68"/>
        <v>#DIV/0!</v>
      </c>
      <c r="O861" s="354">
        <f>IF(L861="nio",0,IF(L861&gt;0,VLOOKUP(H861,'3-Productie normen'!A:P,VLOOKUP(L861,'3-Productie normen'!$B$31:$C$45,2,FALSE),FALSE)))/VLOOKUP(B861,'2-Kosten per locatie'!$A$13:$D$36,4,FALSE)</f>
        <v>0</v>
      </c>
      <c r="P861" s="82" t="str">
        <f>VLOOKUP(H861,'3-Productie normen'!A:T,20,FALSE)</f>
        <v>B</v>
      </c>
      <c r="Q861" s="447" t="s">
        <v>792</v>
      </c>
      <c r="S861" s="356">
        <f t="shared" si="71"/>
        <v>6813.9003067016583</v>
      </c>
    </row>
    <row r="862" spans="1:19" ht="14.1" customHeight="1">
      <c r="A862" s="72">
        <f t="shared" si="70"/>
        <v>862</v>
      </c>
      <c r="B862" s="50" t="s">
        <v>815</v>
      </c>
      <c r="C862" s="50" t="s">
        <v>834</v>
      </c>
      <c r="D862" s="427" t="s">
        <v>1038</v>
      </c>
      <c r="E862" s="426" t="s">
        <v>275</v>
      </c>
      <c r="F862" s="349" t="s">
        <v>675</v>
      </c>
      <c r="G862" s="86" t="s">
        <v>298</v>
      </c>
      <c r="H862" s="86" t="s">
        <v>241</v>
      </c>
      <c r="I862" s="86" t="s">
        <v>780</v>
      </c>
      <c r="J862" s="343">
        <v>60.400001525878899</v>
      </c>
      <c r="K862" s="351">
        <f t="shared" si="69"/>
        <v>201</v>
      </c>
      <c r="L862" s="484">
        <v>201</v>
      </c>
      <c r="M862" s="448" t="str">
        <f>IF(L862="nio","",VLOOKUP(L862,'3-Productie normen'!$B$31:$H$45,3,FALSE))</f>
        <v>5 x per week (40 weken + 1 Zomer refreshbeurt)</v>
      </c>
      <c r="N862" s="353" t="e">
        <f t="shared" si="68"/>
        <v>#DIV/0!</v>
      </c>
      <c r="O862" s="354">
        <f>IF(L862="nio",0,IF(L862&gt;0,VLOOKUP(H862,'3-Productie normen'!A:P,VLOOKUP(L862,'3-Productie normen'!$B$31:$C$45,2,FALSE),FALSE)))/VLOOKUP(B862,'2-Kosten per locatie'!$A$13:$D$36,4,FALSE)</f>
        <v>0</v>
      </c>
      <c r="P862" s="82" t="str">
        <f>VLOOKUP(H862,'3-Productie normen'!A:T,20,FALSE)</f>
        <v>L</v>
      </c>
      <c r="Q862" s="447" t="s">
        <v>879</v>
      </c>
      <c r="S862" s="356">
        <f t="shared" si="71"/>
        <v>12140.400306701658</v>
      </c>
    </row>
    <row r="863" spans="1:19" ht="14.1" customHeight="1">
      <c r="A863" s="72">
        <f t="shared" si="70"/>
        <v>863</v>
      </c>
      <c r="B863" s="50" t="s">
        <v>815</v>
      </c>
      <c r="C863" s="50" t="s">
        <v>834</v>
      </c>
      <c r="D863" s="427" t="s">
        <v>1038</v>
      </c>
      <c r="E863" s="426" t="s">
        <v>275</v>
      </c>
      <c r="F863" s="349" t="s">
        <v>676</v>
      </c>
      <c r="G863" s="86" t="s">
        <v>222</v>
      </c>
      <c r="H863" s="86" t="s">
        <v>16</v>
      </c>
      <c r="I863" s="86" t="s">
        <v>781</v>
      </c>
      <c r="J863" s="343">
        <v>9.3000001907348597</v>
      </c>
      <c r="K863" s="351">
        <f t="shared" si="69"/>
        <v>201</v>
      </c>
      <c r="L863" s="484">
        <v>201</v>
      </c>
      <c r="M863" s="448" t="str">
        <f>IF(L863="nio","",VLOOKUP(L863,'3-Productie normen'!$B$31:$H$45,3,FALSE))</f>
        <v>5 x per week (40 weken + 1 Zomer refreshbeurt)</v>
      </c>
      <c r="N863" s="353" t="e">
        <f t="shared" si="68"/>
        <v>#DIV/0!</v>
      </c>
      <c r="O863" s="354">
        <f>IF(L863="nio",0,IF(L863&gt;0,VLOOKUP(H863,'3-Productie normen'!A:P,VLOOKUP(L863,'3-Productie normen'!$B$31:$C$45,2,FALSE),FALSE)))/VLOOKUP(B863,'2-Kosten per locatie'!$A$13:$D$36,4,FALSE)</f>
        <v>0</v>
      </c>
      <c r="P863" s="82" t="str">
        <f>VLOOKUP(H863,'3-Productie normen'!A:T,20,FALSE)</f>
        <v>S</v>
      </c>
      <c r="Q863" s="447" t="s">
        <v>890</v>
      </c>
      <c r="S863" s="356">
        <f t="shared" si="71"/>
        <v>1869.3000383377068</v>
      </c>
    </row>
    <row r="864" spans="1:19" ht="14.1" customHeight="1">
      <c r="A864" s="72">
        <f t="shared" si="70"/>
        <v>864</v>
      </c>
      <c r="B864" s="50" t="s">
        <v>815</v>
      </c>
      <c r="C864" s="50" t="s">
        <v>834</v>
      </c>
      <c r="D864" s="427" t="s">
        <v>1035</v>
      </c>
      <c r="E864" s="426" t="s">
        <v>275</v>
      </c>
      <c r="F864" s="349" t="s">
        <v>677</v>
      </c>
      <c r="G864" s="86" t="s">
        <v>409</v>
      </c>
      <c r="H864" s="50" t="s">
        <v>241</v>
      </c>
      <c r="I864" s="86" t="s">
        <v>780</v>
      </c>
      <c r="J864" s="343">
        <v>60.099998474121101</v>
      </c>
      <c r="K864" s="351">
        <f t="shared" si="69"/>
        <v>201</v>
      </c>
      <c r="L864" s="484">
        <v>201</v>
      </c>
      <c r="M864" s="448" t="str">
        <f>IF(L864="nio","",VLOOKUP(L864,'3-Productie normen'!$B$31:$H$45,3,FALSE))</f>
        <v>5 x per week (40 weken + 1 Zomer refreshbeurt)</v>
      </c>
      <c r="N864" s="353" t="e">
        <f t="shared" si="68"/>
        <v>#DIV/0!</v>
      </c>
      <c r="O864" s="354">
        <f>IF(L864="nio",0,IF(L864&gt;0,VLOOKUP(H864,'3-Productie normen'!A:P,VLOOKUP(L864,'3-Productie normen'!$B$31:$C$45,2,FALSE),FALSE)))/VLOOKUP(B864,'2-Kosten per locatie'!$A$13:$D$36,4,FALSE)</f>
        <v>0</v>
      </c>
      <c r="P864" s="82" t="str">
        <f>VLOOKUP(H864,'3-Productie normen'!A:T,20,FALSE)</f>
        <v>L</v>
      </c>
      <c r="Q864" s="447" t="s">
        <v>792</v>
      </c>
      <c r="S864" s="356">
        <f t="shared" si="71"/>
        <v>12080.099693298342</v>
      </c>
    </row>
    <row r="865" spans="1:19" ht="14.1" customHeight="1">
      <c r="A865" s="72">
        <f t="shared" si="70"/>
        <v>865</v>
      </c>
      <c r="B865" s="50" t="s">
        <v>815</v>
      </c>
      <c r="C865" s="50" t="s">
        <v>834</v>
      </c>
      <c r="D865" s="427" t="s">
        <v>1035</v>
      </c>
      <c r="E865" s="426" t="s">
        <v>275</v>
      </c>
      <c r="F865" s="349" t="s">
        <v>678</v>
      </c>
      <c r="G865" s="86" t="s">
        <v>209</v>
      </c>
      <c r="H865" s="63" t="s">
        <v>1040</v>
      </c>
      <c r="I865" s="86" t="s">
        <v>780</v>
      </c>
      <c r="J865" s="343">
        <v>2</v>
      </c>
      <c r="K865" s="351">
        <f t="shared" si="69"/>
        <v>12</v>
      </c>
      <c r="L865" s="484">
        <v>12</v>
      </c>
      <c r="M865" s="448" t="str">
        <f>IF(L865="nio","",VLOOKUP(L865,'3-Productie normen'!$B$31:$H$45,3,FALSE))</f>
        <v>1 x per maand</v>
      </c>
      <c r="N865" s="353" t="e">
        <f t="shared" si="68"/>
        <v>#DIV/0!</v>
      </c>
      <c r="O865" s="354">
        <f>IF(L865="nio",0,IF(L865&gt;0,VLOOKUP(H865,'3-Productie normen'!A:P,VLOOKUP(L865,'3-Productie normen'!$B$31:$C$45,2,FALSE),FALSE)))/VLOOKUP(B865,'2-Kosten per locatie'!$A$13:$D$36,4,FALSE)</f>
        <v>0</v>
      </c>
      <c r="P865" s="82" t="str">
        <f>VLOOKUP(H865,'3-Productie normen'!A:T,20,FALSE)</f>
        <v>V</v>
      </c>
      <c r="Q865" s="447" t="s">
        <v>792</v>
      </c>
      <c r="S865" s="356">
        <f t="shared" si="71"/>
        <v>24</v>
      </c>
    </row>
    <row r="866" spans="1:19" ht="14.1" customHeight="1">
      <c r="A866" s="72">
        <f t="shared" si="70"/>
        <v>866</v>
      </c>
      <c r="B866" s="50" t="s">
        <v>815</v>
      </c>
      <c r="C866" s="50" t="s">
        <v>834</v>
      </c>
      <c r="D866" s="427" t="s">
        <v>1038</v>
      </c>
      <c r="E866" s="426" t="s">
        <v>275</v>
      </c>
      <c r="F866" s="349" t="s">
        <v>679</v>
      </c>
      <c r="G866" s="86" t="s">
        <v>329</v>
      </c>
      <c r="H866" s="86" t="s">
        <v>203</v>
      </c>
      <c r="I866" s="86" t="s">
        <v>780</v>
      </c>
      <c r="J866" s="343">
        <v>7.5999999046325701</v>
      </c>
      <c r="K866" s="351">
        <f t="shared" si="69"/>
        <v>201</v>
      </c>
      <c r="L866" s="484">
        <v>201</v>
      </c>
      <c r="M866" s="448" t="str">
        <f>IF(L866="nio","",VLOOKUP(L866,'3-Productie normen'!$B$31:$H$45,3,FALSE))</f>
        <v>5 x per week (40 weken + 1 Zomer refreshbeurt)</v>
      </c>
      <c r="N866" s="353" t="e">
        <f t="shared" si="68"/>
        <v>#DIV/0!</v>
      </c>
      <c r="O866" s="354">
        <f>IF(L866="nio",0,IF(L866&gt;0,VLOOKUP(H866,'3-Productie normen'!A:P,VLOOKUP(L866,'3-Productie normen'!$B$31:$C$45,2,FALSE),FALSE)))/VLOOKUP(B866,'2-Kosten per locatie'!$A$13:$D$36,4,FALSE)</f>
        <v>0</v>
      </c>
      <c r="P866" s="82" t="str">
        <f>VLOOKUP(H866,'3-Productie normen'!A:T,20,FALSE)</f>
        <v>B</v>
      </c>
      <c r="Q866" s="447" t="s">
        <v>792</v>
      </c>
      <c r="S866" s="356">
        <f t="shared" si="71"/>
        <v>1527.5999808311467</v>
      </c>
    </row>
    <row r="867" spans="1:19" ht="14.1" customHeight="1">
      <c r="A867" s="72">
        <f t="shared" si="70"/>
        <v>867</v>
      </c>
      <c r="B867" s="50" t="s">
        <v>815</v>
      </c>
      <c r="C867" s="50" t="s">
        <v>834</v>
      </c>
      <c r="D867" s="427" t="s">
        <v>1035</v>
      </c>
      <c r="E867" s="426" t="s">
        <v>304</v>
      </c>
      <c r="F867" s="349" t="s">
        <v>680</v>
      </c>
      <c r="G867" s="86" t="s">
        <v>392</v>
      </c>
      <c r="H867" s="65" t="s">
        <v>1053</v>
      </c>
      <c r="I867" s="86" t="s">
        <v>92</v>
      </c>
      <c r="J867" s="343">
        <v>0</v>
      </c>
      <c r="K867" s="351" t="str">
        <f t="shared" si="69"/>
        <v>nio</v>
      </c>
      <c r="L867" s="484" t="s">
        <v>804</v>
      </c>
      <c r="M867" s="448" t="str">
        <f>IF(L867="nio","",VLOOKUP(L867,'3-Productie normen'!$B$31:$H$45,3,FALSE))</f>
        <v/>
      </c>
      <c r="N867" s="353">
        <f t="shared" si="68"/>
        <v>0</v>
      </c>
      <c r="O867" s="354">
        <f>IF(L867="nio",0,IF(L867&gt;0,VLOOKUP(H867,'3-Productie normen'!A:P,VLOOKUP(L867,'3-Productie normen'!$B$31:$C$45,2,FALSE),FALSE)))/VLOOKUP(B867,'2-Kosten per locatie'!$A$13:$D$36,4,FALSE)</f>
        <v>0</v>
      </c>
      <c r="P867" s="82">
        <f>VLOOKUP(H867,'3-Productie normen'!A:T,20,FALSE)</f>
        <v>0</v>
      </c>
      <c r="Q867" s="447" t="s">
        <v>792</v>
      </c>
      <c r="S867" s="356">
        <f t="shared" si="71"/>
        <v>0</v>
      </c>
    </row>
    <row r="868" spans="1:19" ht="14.1" customHeight="1">
      <c r="A868" s="72">
        <f t="shared" si="70"/>
        <v>868</v>
      </c>
      <c r="B868" s="50" t="s">
        <v>815</v>
      </c>
      <c r="C868" s="50" t="s">
        <v>834</v>
      </c>
      <c r="D868" s="427" t="s">
        <v>1035</v>
      </c>
      <c r="E868" s="426" t="s">
        <v>304</v>
      </c>
      <c r="F868" s="349" t="s">
        <v>681</v>
      </c>
      <c r="G868" s="86" t="s">
        <v>206</v>
      </c>
      <c r="H868" s="65" t="s">
        <v>1053</v>
      </c>
      <c r="I868" s="86" t="s">
        <v>92</v>
      </c>
      <c r="J868" s="343">
        <v>0</v>
      </c>
      <c r="K868" s="351" t="str">
        <f t="shared" si="69"/>
        <v>nio</v>
      </c>
      <c r="L868" s="484" t="s">
        <v>804</v>
      </c>
      <c r="M868" s="448" t="str">
        <f>IF(L868="nio","",VLOOKUP(L868,'3-Productie normen'!$B$31:$H$45,3,FALSE))</f>
        <v/>
      </c>
      <c r="N868" s="353">
        <f t="shared" si="68"/>
        <v>0</v>
      </c>
      <c r="O868" s="354">
        <f>IF(L868="nio",0,IF(L868&gt;0,VLOOKUP(H868,'3-Productie normen'!A:P,VLOOKUP(L868,'3-Productie normen'!$B$31:$C$45,2,FALSE),FALSE)))/VLOOKUP(B868,'2-Kosten per locatie'!$A$13:$D$36,4,FALSE)</f>
        <v>0</v>
      </c>
      <c r="P868" s="82">
        <f>VLOOKUP(H868,'3-Productie normen'!A:T,20,FALSE)</f>
        <v>0</v>
      </c>
      <c r="Q868" s="447" t="s">
        <v>792</v>
      </c>
      <c r="S868" s="356">
        <f t="shared" si="71"/>
        <v>0</v>
      </c>
    </row>
    <row r="869" spans="1:19" ht="14.1" customHeight="1">
      <c r="A869" s="72">
        <f t="shared" si="70"/>
        <v>869</v>
      </c>
      <c r="B869" s="50" t="s">
        <v>816</v>
      </c>
      <c r="C869" s="50" t="s">
        <v>835</v>
      </c>
      <c r="D869" s="427" t="s">
        <v>1033</v>
      </c>
      <c r="E869" s="426" t="s">
        <v>612</v>
      </c>
      <c r="F869" s="349" t="s">
        <v>197</v>
      </c>
      <c r="G869" s="86" t="s">
        <v>199</v>
      </c>
      <c r="H869" s="432" t="s">
        <v>198</v>
      </c>
      <c r="I869" s="86" t="s">
        <v>784</v>
      </c>
      <c r="J869" s="343">
        <v>7.47</v>
      </c>
      <c r="K869" s="351">
        <f t="shared" ref="K869:K878" si="72">L869</f>
        <v>200</v>
      </c>
      <c r="L869" s="484">
        <v>200</v>
      </c>
      <c r="M869" s="448" t="str">
        <f>IF(L869="nio","",VLOOKUP(L869,'3-Productie normen'!$B$31:$H$45,3,FALSE))</f>
        <v>5 x per week (40 weken)</v>
      </c>
      <c r="N869" s="353" t="e">
        <f t="shared" ref="N869:N872" si="73">IF(L869="nio",0,IF(L869&gt;0,L869*J869/O869,0))</f>
        <v>#DIV/0!</v>
      </c>
      <c r="O869" s="354">
        <f>IF(L869="nio",0,IF(L869&gt;0,VLOOKUP(H869,'3-Productie normen'!A:P,VLOOKUP(L869,'3-Productie normen'!$B$31:$C$45,2,FALSE),FALSE)))/VLOOKUP(B869,'2-Kosten per locatie'!$A$13:$D$36,4,FALSE)</f>
        <v>0</v>
      </c>
      <c r="P869" s="82" t="str">
        <f>VLOOKUP(H869,'3-Productie normen'!A:T,20,FALSE)</f>
        <v>V</v>
      </c>
      <c r="Q869" s="447" t="s">
        <v>792</v>
      </c>
      <c r="S869" s="356">
        <f t="shared" ref="S869:S896" si="74">IF(L869="nio",0,K869*J869)</f>
        <v>1494</v>
      </c>
    </row>
    <row r="870" spans="1:19" ht="14.1" customHeight="1">
      <c r="A870" s="72">
        <f t="shared" si="70"/>
        <v>870</v>
      </c>
      <c r="B870" s="50" t="s">
        <v>816</v>
      </c>
      <c r="C870" s="50" t="s">
        <v>835</v>
      </c>
      <c r="D870" s="427" t="s">
        <v>1033</v>
      </c>
      <c r="E870" s="426" t="s">
        <v>612</v>
      </c>
      <c r="F870" s="349" t="s">
        <v>200</v>
      </c>
      <c r="G870" s="86" t="s">
        <v>215</v>
      </c>
      <c r="H870" s="63" t="s">
        <v>1040</v>
      </c>
      <c r="I870" s="86" t="s">
        <v>91</v>
      </c>
      <c r="J870" s="343">
        <v>2.41</v>
      </c>
      <c r="K870" s="351">
        <f t="shared" si="72"/>
        <v>12</v>
      </c>
      <c r="L870" s="484">
        <v>12</v>
      </c>
      <c r="M870" s="448" t="str">
        <f>IF(L870="nio","",VLOOKUP(L870,'3-Productie normen'!$B$31:$H$45,3,FALSE))</f>
        <v>1 x per maand</v>
      </c>
      <c r="N870" s="353" t="e">
        <f t="shared" si="73"/>
        <v>#DIV/0!</v>
      </c>
      <c r="O870" s="354">
        <f>IF(L870="nio",0,IF(L870&gt;0,VLOOKUP(H870,'3-Productie normen'!A:P,VLOOKUP(L870,'3-Productie normen'!$B$31:$C$45,2,FALSE),FALSE)))/VLOOKUP(B870,'2-Kosten per locatie'!$A$13:$D$36,4,FALSE)</f>
        <v>0</v>
      </c>
      <c r="P870" s="82" t="str">
        <f>VLOOKUP(H870,'3-Productie normen'!A:T,20,FALSE)</f>
        <v>V</v>
      </c>
      <c r="Q870" s="447" t="s">
        <v>853</v>
      </c>
      <c r="S870" s="356">
        <f t="shared" si="74"/>
        <v>28.92</v>
      </c>
    </row>
    <row r="871" spans="1:19" ht="14.1" customHeight="1">
      <c r="A871" s="72">
        <f t="shared" si="70"/>
        <v>871</v>
      </c>
      <c r="B871" s="50" t="s">
        <v>816</v>
      </c>
      <c r="C871" s="50" t="s">
        <v>835</v>
      </c>
      <c r="D871" s="427" t="s">
        <v>1033</v>
      </c>
      <c r="E871" s="426" t="s">
        <v>612</v>
      </c>
      <c r="F871" s="349" t="s">
        <v>202</v>
      </c>
      <c r="G871" s="86" t="s">
        <v>206</v>
      </c>
      <c r="H871" s="65" t="s">
        <v>1053</v>
      </c>
      <c r="I871" s="86" t="s">
        <v>92</v>
      </c>
      <c r="J871" s="343">
        <v>0.43000000715255698</v>
      </c>
      <c r="K871" s="351" t="str">
        <f t="shared" si="72"/>
        <v>nio</v>
      </c>
      <c r="L871" s="484" t="s">
        <v>804</v>
      </c>
      <c r="M871" s="448" t="str">
        <f>IF(L871="nio","",VLOOKUP(L871,'3-Productie normen'!$B$31:$H$45,3,FALSE))</f>
        <v/>
      </c>
      <c r="N871" s="353">
        <f t="shared" si="73"/>
        <v>0</v>
      </c>
      <c r="O871" s="354">
        <f>IF(L871="nio",0,IF(L871&gt;0,VLOOKUP(H871,'3-Productie normen'!A:P,VLOOKUP(L871,'3-Productie normen'!$B$31:$C$45,2,FALSE),FALSE)))/VLOOKUP(B871,'2-Kosten per locatie'!$A$13:$D$36,4,FALSE)</f>
        <v>0</v>
      </c>
      <c r="P871" s="82">
        <f>VLOOKUP(H871,'3-Productie normen'!A:T,20,FALSE)</f>
        <v>0</v>
      </c>
      <c r="Q871" s="447" t="s">
        <v>897</v>
      </c>
      <c r="S871" s="356">
        <f t="shared" si="74"/>
        <v>0</v>
      </c>
    </row>
    <row r="872" spans="1:19" ht="14.1" customHeight="1">
      <c r="A872" s="72">
        <f t="shared" si="70"/>
        <v>872</v>
      </c>
      <c r="B872" s="50" t="s">
        <v>816</v>
      </c>
      <c r="C872" s="50" t="s">
        <v>835</v>
      </c>
      <c r="D872" s="427" t="s">
        <v>1033</v>
      </c>
      <c r="E872" s="426" t="s">
        <v>612</v>
      </c>
      <c r="F872" s="349" t="s">
        <v>205</v>
      </c>
      <c r="G872" s="86" t="s">
        <v>209</v>
      </c>
      <c r="H872" s="63" t="s">
        <v>1040</v>
      </c>
      <c r="I872" s="86" t="s">
        <v>780</v>
      </c>
      <c r="J872" s="343">
        <v>12.72</v>
      </c>
      <c r="K872" s="351">
        <f t="shared" si="72"/>
        <v>12</v>
      </c>
      <c r="L872" s="484">
        <v>12</v>
      </c>
      <c r="M872" s="448" t="str">
        <f>IF(L872="nio","",VLOOKUP(L872,'3-Productie normen'!$B$31:$H$45,3,FALSE))</f>
        <v>1 x per maand</v>
      </c>
      <c r="N872" s="353" t="e">
        <f t="shared" si="73"/>
        <v>#DIV/0!</v>
      </c>
      <c r="O872" s="354">
        <f>IF(L872="nio",0,IF(L872&gt;0,VLOOKUP(H872,'3-Productie normen'!A:P,VLOOKUP(L872,'3-Productie normen'!$B$31:$C$45,2,FALSE),FALSE)))/VLOOKUP(B872,'2-Kosten per locatie'!$A$13:$D$36,4,FALSE)</f>
        <v>0</v>
      </c>
      <c r="P872" s="82" t="str">
        <f>VLOOKUP(H872,'3-Productie normen'!A:T,20,FALSE)</f>
        <v>V</v>
      </c>
      <c r="Q872" s="447" t="s">
        <v>792</v>
      </c>
      <c r="S872" s="356">
        <f t="shared" si="74"/>
        <v>152.64000000000001</v>
      </c>
    </row>
    <row r="873" spans="1:19" ht="14.1" customHeight="1">
      <c r="A873" s="72">
        <f t="shared" si="70"/>
        <v>873</v>
      </c>
      <c r="B873" s="50" t="s">
        <v>816</v>
      </c>
      <c r="C873" s="50" t="s">
        <v>835</v>
      </c>
      <c r="D873" s="427" t="s">
        <v>1033</v>
      </c>
      <c r="E873" s="426" t="s">
        <v>612</v>
      </c>
      <c r="F873" s="349" t="s">
        <v>207</v>
      </c>
      <c r="G873" s="86" t="s">
        <v>206</v>
      </c>
      <c r="H873" s="65" t="s">
        <v>1053</v>
      </c>
      <c r="I873" s="86" t="s">
        <v>92</v>
      </c>
      <c r="J873" s="343">
        <v>4.8</v>
      </c>
      <c r="K873" s="351" t="str">
        <f t="shared" si="72"/>
        <v>nio</v>
      </c>
      <c r="L873" s="484" t="s">
        <v>804</v>
      </c>
      <c r="M873" s="448" t="str">
        <f>IF(L873="nio","",VLOOKUP(L873,'3-Productie normen'!$B$31:$H$45,3,FALSE))</f>
        <v/>
      </c>
      <c r="N873" s="353">
        <f t="shared" ref="N873:N936" si="75">IF(L873="nio",0,IF(L873&gt;0,L873*J873/O873,0))</f>
        <v>0</v>
      </c>
      <c r="O873" s="354">
        <f>IF(L873="nio",0,IF(L873&gt;0,VLOOKUP(H873,'3-Productie normen'!A:P,VLOOKUP(L873,'3-Productie normen'!$B$31:$C$45,2,FALSE),FALSE)))/VLOOKUP(B873,'2-Kosten per locatie'!$A$13:$D$36,4,FALSE)</f>
        <v>0</v>
      </c>
      <c r="P873" s="82">
        <f>VLOOKUP(H873,'3-Productie normen'!A:T,20,FALSE)</f>
        <v>0</v>
      </c>
      <c r="Q873" s="447" t="s">
        <v>898</v>
      </c>
      <c r="S873" s="356">
        <f t="shared" si="74"/>
        <v>0</v>
      </c>
    </row>
    <row r="874" spans="1:19" ht="14.1" customHeight="1">
      <c r="A874" s="72">
        <f t="shared" si="70"/>
        <v>874</v>
      </c>
      <c r="B874" s="50" t="s">
        <v>816</v>
      </c>
      <c r="C874" s="50" t="s">
        <v>835</v>
      </c>
      <c r="D874" s="427" t="s">
        <v>1033</v>
      </c>
      <c r="E874" s="426" t="s">
        <v>612</v>
      </c>
      <c r="F874" s="349" t="s">
        <v>208</v>
      </c>
      <c r="G874" s="86" t="s">
        <v>212</v>
      </c>
      <c r="H874" s="65" t="s">
        <v>1053</v>
      </c>
      <c r="I874" s="86" t="s">
        <v>92</v>
      </c>
      <c r="J874" s="343">
        <v>6.66</v>
      </c>
      <c r="K874" s="351" t="str">
        <f t="shared" si="72"/>
        <v>nio</v>
      </c>
      <c r="L874" s="484" t="s">
        <v>804</v>
      </c>
      <c r="M874" s="448" t="str">
        <f>IF(L874="nio","",VLOOKUP(L874,'3-Productie normen'!$B$31:$H$45,3,FALSE))</f>
        <v/>
      </c>
      <c r="N874" s="353">
        <f t="shared" si="75"/>
        <v>0</v>
      </c>
      <c r="O874" s="354">
        <f>IF(L874="nio",0,IF(L874&gt;0,VLOOKUP(H874,'3-Productie normen'!A:P,VLOOKUP(L874,'3-Productie normen'!$B$31:$C$45,2,FALSE),FALSE)))/VLOOKUP(B874,'2-Kosten per locatie'!$A$13:$D$36,4,FALSE)</f>
        <v>0</v>
      </c>
      <c r="P874" s="82">
        <f>VLOOKUP(H874,'3-Productie normen'!A:T,20,FALSE)</f>
        <v>0</v>
      </c>
      <c r="Q874" s="447" t="s">
        <v>792</v>
      </c>
      <c r="S874" s="356">
        <f t="shared" si="74"/>
        <v>0</v>
      </c>
    </row>
    <row r="875" spans="1:19" ht="14.1" customHeight="1">
      <c r="A875" s="72">
        <f t="shared" si="70"/>
        <v>875</v>
      </c>
      <c r="B875" s="50" t="s">
        <v>816</v>
      </c>
      <c r="C875" s="50" t="s">
        <v>835</v>
      </c>
      <c r="D875" s="427" t="s">
        <v>1033</v>
      </c>
      <c r="E875" s="426" t="s">
        <v>612</v>
      </c>
      <c r="F875" s="349" t="s">
        <v>210</v>
      </c>
      <c r="G875" s="86" t="s">
        <v>206</v>
      </c>
      <c r="H875" s="65" t="s">
        <v>1053</v>
      </c>
      <c r="I875" s="86" t="s">
        <v>92</v>
      </c>
      <c r="J875" s="343">
        <v>0.82999998331069902</v>
      </c>
      <c r="K875" s="351" t="str">
        <f t="shared" si="72"/>
        <v>nio</v>
      </c>
      <c r="L875" s="484" t="s">
        <v>804</v>
      </c>
      <c r="M875" s="448" t="str">
        <f>IF(L875="nio","",VLOOKUP(L875,'3-Productie normen'!$B$31:$H$45,3,FALSE))</f>
        <v/>
      </c>
      <c r="N875" s="353">
        <f t="shared" si="75"/>
        <v>0</v>
      </c>
      <c r="O875" s="354">
        <f>IF(L875="nio",0,IF(L875&gt;0,VLOOKUP(H875,'3-Productie normen'!A:P,VLOOKUP(L875,'3-Productie normen'!$B$31:$C$45,2,FALSE),FALSE)))/VLOOKUP(B875,'2-Kosten per locatie'!$A$13:$D$36,4,FALSE)</f>
        <v>0</v>
      </c>
      <c r="P875" s="82">
        <f>VLOOKUP(H875,'3-Productie normen'!A:T,20,FALSE)</f>
        <v>0</v>
      </c>
      <c r="Q875" s="447" t="s">
        <v>887</v>
      </c>
      <c r="S875" s="356">
        <f t="shared" si="74"/>
        <v>0</v>
      </c>
    </row>
    <row r="876" spans="1:19" ht="14.1" customHeight="1">
      <c r="A876" s="72">
        <f t="shared" si="70"/>
        <v>876</v>
      </c>
      <c r="B876" s="50" t="s">
        <v>816</v>
      </c>
      <c r="C876" s="50" t="s">
        <v>835</v>
      </c>
      <c r="D876" s="427" t="s">
        <v>1033</v>
      </c>
      <c r="E876" s="426" t="s">
        <v>612</v>
      </c>
      <c r="F876" s="349" t="s">
        <v>211</v>
      </c>
      <c r="G876" s="86" t="s">
        <v>209</v>
      </c>
      <c r="H876" s="63" t="s">
        <v>1040</v>
      </c>
      <c r="I876" s="86" t="s">
        <v>780</v>
      </c>
      <c r="J876" s="343">
        <v>4.1999998092651403</v>
      </c>
      <c r="K876" s="351">
        <f t="shared" si="72"/>
        <v>12</v>
      </c>
      <c r="L876" s="484">
        <v>12</v>
      </c>
      <c r="M876" s="448" t="str">
        <f>IF(L876="nio","",VLOOKUP(L876,'3-Productie normen'!$B$31:$H$45,3,FALSE))</f>
        <v>1 x per maand</v>
      </c>
      <c r="N876" s="353" t="e">
        <f t="shared" si="75"/>
        <v>#DIV/0!</v>
      </c>
      <c r="O876" s="354">
        <f>IF(L876="nio",0,IF(L876&gt;0,VLOOKUP(H876,'3-Productie normen'!A:P,VLOOKUP(L876,'3-Productie normen'!$B$31:$C$45,2,FALSE),FALSE)))/VLOOKUP(B876,'2-Kosten per locatie'!$A$13:$D$36,4,FALSE)</f>
        <v>0</v>
      </c>
      <c r="P876" s="82" t="str">
        <f>VLOOKUP(H876,'3-Productie normen'!A:T,20,FALSE)</f>
        <v>V</v>
      </c>
      <c r="Q876" s="447" t="s">
        <v>792</v>
      </c>
      <c r="S876" s="356">
        <f t="shared" si="74"/>
        <v>50.399997711181683</v>
      </c>
    </row>
    <row r="877" spans="1:19" ht="14.1" customHeight="1">
      <c r="A877" s="72">
        <f t="shared" si="70"/>
        <v>877</v>
      </c>
      <c r="B877" s="50" t="s">
        <v>816</v>
      </c>
      <c r="C877" s="50" t="s">
        <v>835</v>
      </c>
      <c r="D877" s="427" t="s">
        <v>1033</v>
      </c>
      <c r="E877" s="426" t="s">
        <v>612</v>
      </c>
      <c r="F877" s="349" t="s">
        <v>213</v>
      </c>
      <c r="G877" s="86" t="s">
        <v>298</v>
      </c>
      <c r="H877" s="86" t="s">
        <v>241</v>
      </c>
      <c r="I877" s="86" t="s">
        <v>780</v>
      </c>
      <c r="J877" s="343">
        <v>55.75</v>
      </c>
      <c r="K877" s="351">
        <f t="shared" si="72"/>
        <v>201</v>
      </c>
      <c r="L877" s="484">
        <v>201</v>
      </c>
      <c r="M877" s="448" t="str">
        <f>IF(L877="nio","",VLOOKUP(L877,'3-Productie normen'!$B$31:$H$45,3,FALSE))</f>
        <v>5 x per week (40 weken + 1 Zomer refreshbeurt)</v>
      </c>
      <c r="N877" s="353" t="e">
        <f t="shared" si="75"/>
        <v>#DIV/0!</v>
      </c>
      <c r="O877" s="354">
        <f>IF(L877="nio",0,IF(L877&gt;0,VLOOKUP(H877,'3-Productie normen'!A:P,VLOOKUP(L877,'3-Productie normen'!$B$31:$C$45,2,FALSE),FALSE)))/VLOOKUP(B877,'2-Kosten per locatie'!$A$13:$D$36,4,FALSE)</f>
        <v>0</v>
      </c>
      <c r="P877" s="82" t="str">
        <f>VLOOKUP(H877,'3-Productie normen'!A:T,20,FALSE)</f>
        <v>L</v>
      </c>
      <c r="Q877" s="447" t="s">
        <v>974</v>
      </c>
      <c r="S877" s="356">
        <f t="shared" si="74"/>
        <v>11205.75</v>
      </c>
    </row>
    <row r="878" spans="1:19" ht="14.1" customHeight="1">
      <c r="A878" s="72">
        <f t="shared" si="70"/>
        <v>878</v>
      </c>
      <c r="B878" s="50" t="s">
        <v>816</v>
      </c>
      <c r="C878" s="50" t="s">
        <v>835</v>
      </c>
      <c r="D878" s="427" t="s">
        <v>1033</v>
      </c>
      <c r="E878" s="426" t="s">
        <v>612</v>
      </c>
      <c r="F878" s="349" t="s">
        <v>214</v>
      </c>
      <c r="G878" s="86" t="s">
        <v>298</v>
      </c>
      <c r="H878" s="86" t="s">
        <v>241</v>
      </c>
      <c r="I878" s="86" t="s">
        <v>780</v>
      </c>
      <c r="J878" s="343">
        <v>55.51</v>
      </c>
      <c r="K878" s="351">
        <f t="shared" si="72"/>
        <v>201</v>
      </c>
      <c r="L878" s="484">
        <v>201</v>
      </c>
      <c r="M878" s="448" t="str">
        <f>IF(L878="nio","",VLOOKUP(L878,'3-Productie normen'!$B$31:$H$45,3,FALSE))</f>
        <v>5 x per week (40 weken + 1 Zomer refreshbeurt)</v>
      </c>
      <c r="N878" s="353" t="e">
        <f t="shared" si="75"/>
        <v>#DIV/0!</v>
      </c>
      <c r="O878" s="354">
        <f>IF(L878="nio",0,IF(L878&gt;0,VLOOKUP(H878,'3-Productie normen'!A:P,VLOOKUP(L878,'3-Productie normen'!$B$31:$C$45,2,FALSE),FALSE)))/VLOOKUP(B878,'2-Kosten per locatie'!$A$13:$D$36,4,FALSE)</f>
        <v>0</v>
      </c>
      <c r="P878" s="82" t="str">
        <f>VLOOKUP(H878,'3-Productie normen'!A:T,20,FALSE)</f>
        <v>L</v>
      </c>
      <c r="Q878" s="447" t="s">
        <v>913</v>
      </c>
      <c r="S878" s="356">
        <f t="shared" si="74"/>
        <v>11157.51</v>
      </c>
    </row>
    <row r="879" spans="1:19" ht="14.1" customHeight="1">
      <c r="A879" s="72">
        <f t="shared" si="70"/>
        <v>879</v>
      </c>
      <c r="B879" s="50" t="s">
        <v>816</v>
      </c>
      <c r="C879" s="50" t="s">
        <v>835</v>
      </c>
      <c r="D879" s="427" t="s">
        <v>1033</v>
      </c>
      <c r="E879" s="426" t="s">
        <v>612</v>
      </c>
      <c r="F879" s="349" t="s">
        <v>216</v>
      </c>
      <c r="G879" s="86" t="s">
        <v>409</v>
      </c>
      <c r="H879" s="86" t="s">
        <v>241</v>
      </c>
      <c r="I879" s="86" t="s">
        <v>780</v>
      </c>
      <c r="J879" s="343">
        <v>40.4</v>
      </c>
      <c r="K879" s="351">
        <f t="shared" ref="K879:K942" si="76">L879</f>
        <v>201</v>
      </c>
      <c r="L879" s="484">
        <v>201</v>
      </c>
      <c r="M879" s="448" t="str">
        <f>IF(L879="nio","",VLOOKUP(L879,'3-Productie normen'!$B$31:$H$45,3,FALSE))</f>
        <v>5 x per week (40 weken + 1 Zomer refreshbeurt)</v>
      </c>
      <c r="N879" s="353" t="e">
        <f t="shared" si="75"/>
        <v>#DIV/0!</v>
      </c>
      <c r="O879" s="354">
        <f>IF(L879="nio",0,IF(L879&gt;0,VLOOKUP(H879,'3-Productie normen'!A:P,VLOOKUP(L879,'3-Productie normen'!$B$31:$C$45,2,FALSE),FALSE)))/VLOOKUP(B879,'2-Kosten per locatie'!$A$13:$D$36,4,FALSE)</f>
        <v>0</v>
      </c>
      <c r="P879" s="82" t="str">
        <f>VLOOKUP(H879,'3-Productie normen'!A:T,20,FALSE)</f>
        <v>L</v>
      </c>
      <c r="Q879" s="447" t="s">
        <v>792</v>
      </c>
      <c r="S879" s="356">
        <f t="shared" si="74"/>
        <v>8120.4</v>
      </c>
    </row>
    <row r="880" spans="1:19" ht="14.1" customHeight="1">
      <c r="A880" s="72">
        <f t="shared" si="70"/>
        <v>880</v>
      </c>
      <c r="B880" s="50" t="s">
        <v>816</v>
      </c>
      <c r="C880" s="50" t="s">
        <v>835</v>
      </c>
      <c r="D880" s="427" t="s">
        <v>1033</v>
      </c>
      <c r="E880" s="426" t="s">
        <v>612</v>
      </c>
      <c r="F880" s="349" t="s">
        <v>685</v>
      </c>
      <c r="G880" s="86" t="s">
        <v>409</v>
      </c>
      <c r="H880" s="50" t="s">
        <v>241</v>
      </c>
      <c r="I880" s="86" t="s">
        <v>91</v>
      </c>
      <c r="J880" s="343">
        <v>3</v>
      </c>
      <c r="K880" s="351">
        <f t="shared" si="76"/>
        <v>201</v>
      </c>
      <c r="L880" s="484">
        <v>201</v>
      </c>
      <c r="M880" s="448" t="str">
        <f>IF(L880="nio","",VLOOKUP(L880,'3-Productie normen'!$B$31:$H$45,3,FALSE))</f>
        <v>5 x per week (40 weken + 1 Zomer refreshbeurt)</v>
      </c>
      <c r="N880" s="353" t="e">
        <f t="shared" si="75"/>
        <v>#DIV/0!</v>
      </c>
      <c r="O880" s="354">
        <f>IF(L880="nio",0,IF(L880&gt;0,VLOOKUP(H880,'3-Productie normen'!A:P,VLOOKUP(L880,'3-Productie normen'!$B$31:$C$45,2,FALSE),FALSE)))/VLOOKUP(B880,'2-Kosten per locatie'!$A$13:$D$36,4,FALSE)</f>
        <v>0</v>
      </c>
      <c r="P880" s="82" t="str">
        <f>VLOOKUP(H880,'3-Productie normen'!A:T,20,FALSE)</f>
        <v>L</v>
      </c>
      <c r="Q880" s="447" t="s">
        <v>792</v>
      </c>
      <c r="S880" s="356">
        <f t="shared" si="74"/>
        <v>603</v>
      </c>
    </row>
    <row r="881" spans="1:19" ht="14.1" customHeight="1">
      <c r="A881" s="72">
        <f t="shared" si="70"/>
        <v>881</v>
      </c>
      <c r="B881" s="50" t="s">
        <v>816</v>
      </c>
      <c r="C881" s="50" t="s">
        <v>835</v>
      </c>
      <c r="D881" s="427" t="s">
        <v>1033</v>
      </c>
      <c r="E881" s="426" t="s">
        <v>612</v>
      </c>
      <c r="F881" s="349" t="s">
        <v>217</v>
      </c>
      <c r="G881" s="86" t="s">
        <v>209</v>
      </c>
      <c r="H881" s="63" t="s">
        <v>1040</v>
      </c>
      <c r="I881" s="86" t="s">
        <v>780</v>
      </c>
      <c r="J881" s="343">
        <v>3.37</v>
      </c>
      <c r="K881" s="351">
        <f t="shared" si="76"/>
        <v>12</v>
      </c>
      <c r="L881" s="484">
        <v>12</v>
      </c>
      <c r="M881" s="448" t="str">
        <f>IF(L881="nio","",VLOOKUP(L881,'3-Productie normen'!$B$31:$H$45,3,FALSE))</f>
        <v>1 x per maand</v>
      </c>
      <c r="N881" s="353" t="e">
        <f t="shared" si="75"/>
        <v>#DIV/0!</v>
      </c>
      <c r="O881" s="354">
        <f>IF(L881="nio",0,IF(L881&gt;0,VLOOKUP(H881,'3-Productie normen'!A:P,VLOOKUP(L881,'3-Productie normen'!$B$31:$C$45,2,FALSE),FALSE)))/VLOOKUP(B881,'2-Kosten per locatie'!$A$13:$D$36,4,FALSE)</f>
        <v>0</v>
      </c>
      <c r="P881" s="82" t="str">
        <f>VLOOKUP(H881,'3-Productie normen'!A:T,20,FALSE)</f>
        <v>V</v>
      </c>
      <c r="Q881" s="447" t="s">
        <v>792</v>
      </c>
      <c r="S881" s="356">
        <f t="shared" si="74"/>
        <v>40.44</v>
      </c>
    </row>
    <row r="882" spans="1:19" ht="14.1" customHeight="1">
      <c r="A882" s="72">
        <f t="shared" si="70"/>
        <v>882</v>
      </c>
      <c r="B882" s="50" t="s">
        <v>816</v>
      </c>
      <c r="C882" s="50" t="s">
        <v>835</v>
      </c>
      <c r="D882" s="427" t="s">
        <v>1033</v>
      </c>
      <c r="E882" s="426" t="s">
        <v>612</v>
      </c>
      <c r="F882" s="349" t="s">
        <v>218</v>
      </c>
      <c r="G882" s="86" t="s">
        <v>226</v>
      </c>
      <c r="H882" s="86" t="s">
        <v>16</v>
      </c>
      <c r="I882" s="86" t="s">
        <v>91</v>
      </c>
      <c r="J882" s="343">
        <v>7.51</v>
      </c>
      <c r="K882" s="351">
        <f t="shared" si="76"/>
        <v>201</v>
      </c>
      <c r="L882" s="484">
        <v>201</v>
      </c>
      <c r="M882" s="448" t="str">
        <f>IF(L882="nio","",VLOOKUP(L882,'3-Productie normen'!$B$31:$H$45,3,FALSE))</f>
        <v>5 x per week (40 weken + 1 Zomer refreshbeurt)</v>
      </c>
      <c r="N882" s="353" t="e">
        <f t="shared" si="75"/>
        <v>#DIV/0!</v>
      </c>
      <c r="O882" s="354">
        <f>IF(L882="nio",0,IF(L882&gt;0,VLOOKUP(H882,'3-Productie normen'!A:P,VLOOKUP(L882,'3-Productie normen'!$B$31:$C$45,2,FALSE),FALSE)))/VLOOKUP(B882,'2-Kosten per locatie'!$A$13:$D$36,4,FALSE)</f>
        <v>0</v>
      </c>
      <c r="P882" s="82" t="str">
        <f>VLOOKUP(H882,'3-Productie normen'!A:T,20,FALSE)</f>
        <v>S</v>
      </c>
      <c r="Q882" s="447" t="s">
        <v>997</v>
      </c>
      <c r="S882" s="356">
        <f t="shared" si="74"/>
        <v>1509.51</v>
      </c>
    </row>
    <row r="883" spans="1:19" ht="14.1" customHeight="1">
      <c r="A883" s="72">
        <f t="shared" si="70"/>
        <v>883</v>
      </c>
      <c r="B883" s="50" t="s">
        <v>816</v>
      </c>
      <c r="C883" s="50" t="s">
        <v>835</v>
      </c>
      <c r="D883" s="427" t="s">
        <v>1033</v>
      </c>
      <c r="E883" s="426" t="s">
        <v>612</v>
      </c>
      <c r="F883" s="349" t="s">
        <v>219</v>
      </c>
      <c r="G883" s="86" t="s">
        <v>1144</v>
      </c>
      <c r="H883" s="86" t="s">
        <v>731</v>
      </c>
      <c r="I883" s="86" t="s">
        <v>780</v>
      </c>
      <c r="J883" s="343">
        <v>54.73</v>
      </c>
      <c r="K883" s="351">
        <f t="shared" si="76"/>
        <v>201</v>
      </c>
      <c r="L883" s="484">
        <v>201</v>
      </c>
      <c r="M883" s="448" t="str">
        <f>IF(L883="nio","",VLOOKUP(L883,'3-Productie normen'!$B$31:$H$45,3,FALSE))</f>
        <v>5 x per week (40 weken + 1 Zomer refreshbeurt)</v>
      </c>
      <c r="N883" s="353" t="e">
        <f t="shared" si="75"/>
        <v>#DIV/0!</v>
      </c>
      <c r="O883" s="354">
        <f>IF(L883="nio",0,IF(L883&gt;0,VLOOKUP(H883,'3-Productie normen'!A:P,VLOOKUP(L883,'3-Productie normen'!$B$31:$C$45,2,FALSE),FALSE)))/VLOOKUP(B883,'2-Kosten per locatie'!$A$13:$D$36,4,FALSE)</f>
        <v>0</v>
      </c>
      <c r="P883" s="82" t="str">
        <f>VLOOKUP(H883,'3-Productie normen'!A:T,20,FALSE)</f>
        <v>V</v>
      </c>
      <c r="Q883" s="447" t="s">
        <v>998</v>
      </c>
      <c r="S883" s="356">
        <f t="shared" si="74"/>
        <v>11000.73</v>
      </c>
    </row>
    <row r="884" spans="1:19" ht="14.1" customHeight="1">
      <c r="A884" s="72">
        <f t="shared" si="70"/>
        <v>884</v>
      </c>
      <c r="B884" s="50" t="s">
        <v>816</v>
      </c>
      <c r="C884" s="50" t="s">
        <v>835</v>
      </c>
      <c r="D884" s="427" t="s">
        <v>1033</v>
      </c>
      <c r="E884" s="426" t="s">
        <v>612</v>
      </c>
      <c r="F884" s="349" t="s">
        <v>220</v>
      </c>
      <c r="G884" s="86" t="s">
        <v>298</v>
      </c>
      <c r="H884" s="50" t="s">
        <v>241</v>
      </c>
      <c r="I884" s="86" t="s">
        <v>780</v>
      </c>
      <c r="J884" s="343">
        <v>54.73</v>
      </c>
      <c r="K884" s="351">
        <f t="shared" si="76"/>
        <v>201</v>
      </c>
      <c r="L884" s="484">
        <v>201</v>
      </c>
      <c r="M884" s="448" t="str">
        <f>IF(L884="nio","",VLOOKUP(L884,'3-Productie normen'!$B$31:$H$45,3,FALSE))</f>
        <v>5 x per week (40 weken + 1 Zomer refreshbeurt)</v>
      </c>
      <c r="N884" s="353" t="e">
        <f t="shared" si="75"/>
        <v>#DIV/0!</v>
      </c>
      <c r="O884" s="354">
        <f>IF(L884="nio",0,IF(L884&gt;0,VLOOKUP(H884,'3-Productie normen'!A:P,VLOOKUP(L884,'3-Productie normen'!$B$31:$C$45,2,FALSE),FALSE)))/VLOOKUP(B884,'2-Kosten per locatie'!$A$13:$D$36,4,FALSE)</f>
        <v>0</v>
      </c>
      <c r="P884" s="82" t="str">
        <f>VLOOKUP(H884,'3-Productie normen'!A:T,20,FALSE)</f>
        <v>L</v>
      </c>
      <c r="Q884" s="447" t="s">
        <v>956</v>
      </c>
      <c r="S884" s="356">
        <f t="shared" si="74"/>
        <v>11000.73</v>
      </c>
    </row>
    <row r="885" spans="1:19" ht="14.1" customHeight="1">
      <c r="A885" s="72">
        <f t="shared" si="70"/>
        <v>885</v>
      </c>
      <c r="B885" s="50" t="s">
        <v>816</v>
      </c>
      <c r="C885" s="50" t="s">
        <v>835</v>
      </c>
      <c r="D885" s="427" t="s">
        <v>1033</v>
      </c>
      <c r="E885" s="426" t="s">
        <v>612</v>
      </c>
      <c r="F885" s="349" t="s">
        <v>221</v>
      </c>
      <c r="G885" s="86" t="s">
        <v>209</v>
      </c>
      <c r="H885" s="63" t="s">
        <v>1040</v>
      </c>
      <c r="I885" s="86" t="s">
        <v>780</v>
      </c>
      <c r="J885" s="343">
        <v>1.4800000190734901</v>
      </c>
      <c r="K885" s="351">
        <f t="shared" si="76"/>
        <v>12</v>
      </c>
      <c r="L885" s="484">
        <v>12</v>
      </c>
      <c r="M885" s="448" t="str">
        <f>IF(L885="nio","",VLOOKUP(L885,'3-Productie normen'!$B$31:$H$45,3,FALSE))</f>
        <v>1 x per maand</v>
      </c>
      <c r="N885" s="353" t="e">
        <f t="shared" si="75"/>
        <v>#DIV/0!</v>
      </c>
      <c r="O885" s="354">
        <f>IF(L885="nio",0,IF(L885&gt;0,VLOOKUP(H885,'3-Productie normen'!A:P,VLOOKUP(L885,'3-Productie normen'!$B$31:$C$45,2,FALSE),FALSE)))/VLOOKUP(B885,'2-Kosten per locatie'!$A$13:$D$36,4,FALSE)</f>
        <v>0</v>
      </c>
      <c r="P885" s="82" t="str">
        <f>VLOOKUP(H885,'3-Productie normen'!A:T,20,FALSE)</f>
        <v>V</v>
      </c>
      <c r="Q885" s="447" t="s">
        <v>792</v>
      </c>
      <c r="S885" s="356">
        <f t="shared" si="74"/>
        <v>17.760000228881882</v>
      </c>
    </row>
    <row r="886" spans="1:19" ht="14.1" customHeight="1">
      <c r="A886" s="72">
        <f t="shared" si="70"/>
        <v>886</v>
      </c>
      <c r="B886" s="50" t="s">
        <v>816</v>
      </c>
      <c r="C886" s="50" t="s">
        <v>835</v>
      </c>
      <c r="D886" s="427" t="s">
        <v>1033</v>
      </c>
      <c r="E886" s="426" t="s">
        <v>612</v>
      </c>
      <c r="F886" s="349" t="s">
        <v>223</v>
      </c>
      <c r="G886" s="86" t="s">
        <v>242</v>
      </c>
      <c r="H886" s="86" t="s">
        <v>241</v>
      </c>
      <c r="I886" s="86" t="s">
        <v>780</v>
      </c>
      <c r="J886" s="343">
        <v>55.44</v>
      </c>
      <c r="K886" s="351">
        <f t="shared" si="76"/>
        <v>201</v>
      </c>
      <c r="L886" s="484">
        <v>201</v>
      </c>
      <c r="M886" s="448" t="str">
        <f>IF(L886="nio","",VLOOKUP(L886,'3-Productie normen'!$B$31:$H$45,3,FALSE))</f>
        <v>5 x per week (40 weken + 1 Zomer refreshbeurt)</v>
      </c>
      <c r="N886" s="353" t="e">
        <f t="shared" si="75"/>
        <v>#DIV/0!</v>
      </c>
      <c r="O886" s="354">
        <f>IF(L886="nio",0,IF(L886&gt;0,VLOOKUP(H886,'3-Productie normen'!A:P,VLOOKUP(L886,'3-Productie normen'!$B$31:$C$45,2,FALSE),FALSE)))/VLOOKUP(B886,'2-Kosten per locatie'!$A$13:$D$36,4,FALSE)</f>
        <v>0</v>
      </c>
      <c r="P886" s="82" t="str">
        <f>VLOOKUP(H886,'3-Productie normen'!A:T,20,FALSE)</f>
        <v>L</v>
      </c>
      <c r="Q886" s="447" t="s">
        <v>874</v>
      </c>
      <c r="S886" s="356">
        <f t="shared" si="74"/>
        <v>11143.439999999999</v>
      </c>
    </row>
    <row r="887" spans="1:19" ht="14.1" customHeight="1">
      <c r="A887" s="72">
        <f t="shared" si="70"/>
        <v>887</v>
      </c>
      <c r="B887" s="50" t="s">
        <v>816</v>
      </c>
      <c r="C887" s="50" t="s">
        <v>835</v>
      </c>
      <c r="D887" s="427" t="s">
        <v>1033</v>
      </c>
      <c r="E887" s="426" t="s">
        <v>612</v>
      </c>
      <c r="F887" s="349" t="s">
        <v>686</v>
      </c>
      <c r="G887" s="86" t="s">
        <v>242</v>
      </c>
      <c r="H887" s="86" t="s">
        <v>241</v>
      </c>
      <c r="I887" s="86" t="s">
        <v>91</v>
      </c>
      <c r="J887" s="343">
        <v>6.9000000953674299</v>
      </c>
      <c r="K887" s="351">
        <f t="shared" si="76"/>
        <v>201</v>
      </c>
      <c r="L887" s="484">
        <v>201</v>
      </c>
      <c r="M887" s="448" t="str">
        <f>IF(L887="nio","",VLOOKUP(L887,'3-Productie normen'!$B$31:$H$45,3,FALSE))</f>
        <v>5 x per week (40 weken + 1 Zomer refreshbeurt)</v>
      </c>
      <c r="N887" s="353" t="e">
        <f t="shared" si="75"/>
        <v>#DIV/0!</v>
      </c>
      <c r="O887" s="354">
        <f>IF(L887="nio",0,IF(L887&gt;0,VLOOKUP(H887,'3-Productie normen'!A:P,VLOOKUP(L887,'3-Productie normen'!$B$31:$C$45,2,FALSE),FALSE)))/VLOOKUP(B887,'2-Kosten per locatie'!$A$13:$D$36,4,FALSE)</f>
        <v>0</v>
      </c>
      <c r="P887" s="82" t="str">
        <f>VLOOKUP(H887,'3-Productie normen'!A:T,20,FALSE)</f>
        <v>L</v>
      </c>
      <c r="Q887" s="447" t="s">
        <v>874</v>
      </c>
      <c r="S887" s="356">
        <f t="shared" si="74"/>
        <v>1386.9000191688533</v>
      </c>
    </row>
    <row r="888" spans="1:19" ht="14.1" customHeight="1">
      <c r="A888" s="72">
        <f t="shared" si="70"/>
        <v>888</v>
      </c>
      <c r="B888" s="50" t="s">
        <v>816</v>
      </c>
      <c r="C888" s="50" t="s">
        <v>835</v>
      </c>
      <c r="D888" s="427" t="s">
        <v>1033</v>
      </c>
      <c r="E888" s="426" t="s">
        <v>612</v>
      </c>
      <c r="F888" s="349" t="s">
        <v>224</v>
      </c>
      <c r="G888" s="86" t="s">
        <v>226</v>
      </c>
      <c r="H888" s="50" t="s">
        <v>16</v>
      </c>
      <c r="I888" s="86" t="s">
        <v>91</v>
      </c>
      <c r="J888" s="343">
        <v>4.12</v>
      </c>
      <c r="K888" s="351">
        <f t="shared" si="76"/>
        <v>201</v>
      </c>
      <c r="L888" s="484">
        <v>201</v>
      </c>
      <c r="M888" s="448" t="str">
        <f>IF(L888="nio","",VLOOKUP(L888,'3-Productie normen'!$B$31:$H$45,3,FALSE))</f>
        <v>5 x per week (40 weken + 1 Zomer refreshbeurt)</v>
      </c>
      <c r="N888" s="353" t="e">
        <f t="shared" si="75"/>
        <v>#DIV/0!</v>
      </c>
      <c r="O888" s="354">
        <f>IF(L888="nio",0,IF(L888&gt;0,VLOOKUP(H888,'3-Productie normen'!A:P,VLOOKUP(L888,'3-Productie normen'!$B$31:$C$45,2,FALSE),FALSE)))/VLOOKUP(B888,'2-Kosten per locatie'!$A$13:$D$36,4,FALSE)</f>
        <v>0</v>
      </c>
      <c r="P888" s="82" t="str">
        <f>VLOOKUP(H888,'3-Productie normen'!A:T,20,FALSE)</f>
        <v>S</v>
      </c>
      <c r="Q888" s="447" t="s">
        <v>855</v>
      </c>
      <c r="S888" s="356">
        <f t="shared" si="74"/>
        <v>828.12</v>
      </c>
    </row>
    <row r="889" spans="1:19" ht="14.1" customHeight="1">
      <c r="A889" s="72">
        <f t="shared" si="70"/>
        <v>889</v>
      </c>
      <c r="B889" s="50" t="s">
        <v>816</v>
      </c>
      <c r="C889" s="50" t="s">
        <v>835</v>
      </c>
      <c r="D889" s="427" t="s">
        <v>1033</v>
      </c>
      <c r="E889" s="426" t="s">
        <v>612</v>
      </c>
      <c r="F889" s="349" t="s">
        <v>225</v>
      </c>
      <c r="G889" s="86" t="s">
        <v>209</v>
      </c>
      <c r="H889" s="63" t="s">
        <v>1040</v>
      </c>
      <c r="I889" s="86" t="s">
        <v>780</v>
      </c>
      <c r="J889" s="343">
        <v>8.6999999999999993</v>
      </c>
      <c r="K889" s="351">
        <f t="shared" si="76"/>
        <v>12</v>
      </c>
      <c r="L889" s="484">
        <v>12</v>
      </c>
      <c r="M889" s="448" t="str">
        <f>IF(L889="nio","",VLOOKUP(L889,'3-Productie normen'!$B$31:$H$45,3,FALSE))</f>
        <v>1 x per maand</v>
      </c>
      <c r="N889" s="353" t="e">
        <f t="shared" si="75"/>
        <v>#DIV/0!</v>
      </c>
      <c r="O889" s="354">
        <f>IF(L889="nio",0,IF(L889&gt;0,VLOOKUP(H889,'3-Productie normen'!A:P,VLOOKUP(L889,'3-Productie normen'!$B$31:$C$45,2,FALSE),FALSE)))/VLOOKUP(B889,'2-Kosten per locatie'!$A$13:$D$36,4,FALSE)</f>
        <v>0</v>
      </c>
      <c r="P889" s="82" t="str">
        <f>VLOOKUP(H889,'3-Productie normen'!A:T,20,FALSE)</f>
        <v>V</v>
      </c>
      <c r="Q889" s="447" t="s">
        <v>792</v>
      </c>
      <c r="S889" s="356">
        <f t="shared" si="74"/>
        <v>104.39999999999999</v>
      </c>
    </row>
    <row r="890" spans="1:19" ht="14.1" customHeight="1">
      <c r="A890" s="72">
        <f t="shared" si="70"/>
        <v>890</v>
      </c>
      <c r="B890" s="50" t="s">
        <v>816</v>
      </c>
      <c r="C890" s="50" t="s">
        <v>835</v>
      </c>
      <c r="D890" s="427" t="s">
        <v>1033</v>
      </c>
      <c r="E890" s="426" t="s">
        <v>612</v>
      </c>
      <c r="F890" s="349" t="s">
        <v>227</v>
      </c>
      <c r="G890" s="86" t="s">
        <v>246</v>
      </c>
      <c r="H890" s="81" t="s">
        <v>1039</v>
      </c>
      <c r="I890" s="86" t="s">
        <v>783</v>
      </c>
      <c r="J890" s="343">
        <v>141.93</v>
      </c>
      <c r="K890" s="351">
        <f t="shared" si="76"/>
        <v>200</v>
      </c>
      <c r="L890" s="484">
        <v>200</v>
      </c>
      <c r="M890" s="448" t="str">
        <f>IF(L890="nio","",VLOOKUP(L890,'3-Productie normen'!$B$31:$H$45,3,FALSE))</f>
        <v>5 x per week (40 weken)</v>
      </c>
      <c r="N890" s="353" t="e">
        <f t="shared" si="75"/>
        <v>#DIV/0!</v>
      </c>
      <c r="O890" s="354">
        <f>IF(L890="nio",0,IF(L890&gt;0,VLOOKUP(H890,'3-Productie normen'!A:P,VLOOKUP(L890,'3-Productie normen'!$B$31:$C$45,2,FALSE),FALSE)))/VLOOKUP(B890,'2-Kosten per locatie'!$A$13:$D$36,4,FALSE)</f>
        <v>0</v>
      </c>
      <c r="P890" s="82" t="str">
        <f>VLOOKUP(H890,'3-Productie normen'!A:T,20,FALSE)</f>
        <v>V</v>
      </c>
      <c r="Q890" s="447" t="s">
        <v>792</v>
      </c>
      <c r="S890" s="356">
        <f t="shared" si="74"/>
        <v>28386</v>
      </c>
    </row>
    <row r="891" spans="1:19" ht="14.1" customHeight="1">
      <c r="A891" s="72">
        <f t="shared" si="70"/>
        <v>891</v>
      </c>
      <c r="B891" s="50" t="s">
        <v>816</v>
      </c>
      <c r="C891" s="50" t="s">
        <v>835</v>
      </c>
      <c r="D891" s="427" t="s">
        <v>1033</v>
      </c>
      <c r="E891" s="426" t="s">
        <v>612</v>
      </c>
      <c r="F891" s="349" t="s">
        <v>414</v>
      </c>
      <c r="G891" s="86" t="s">
        <v>248</v>
      </c>
      <c r="H891" s="63" t="s">
        <v>1040</v>
      </c>
      <c r="I891" s="86" t="s">
        <v>783</v>
      </c>
      <c r="J891" s="343">
        <v>8.4799995422363299</v>
      </c>
      <c r="K891" s="351">
        <f t="shared" si="76"/>
        <v>12</v>
      </c>
      <c r="L891" s="484">
        <v>12</v>
      </c>
      <c r="M891" s="448" t="str">
        <f>IF(L891="nio","",VLOOKUP(L891,'3-Productie normen'!$B$31:$H$45,3,FALSE))</f>
        <v>1 x per maand</v>
      </c>
      <c r="N891" s="353" t="e">
        <f t="shared" si="75"/>
        <v>#DIV/0!</v>
      </c>
      <c r="O891" s="354">
        <f>IF(L891="nio",0,IF(L891&gt;0,VLOOKUP(H891,'3-Productie normen'!A:P,VLOOKUP(L891,'3-Productie normen'!$B$31:$C$45,2,FALSE),FALSE)))/VLOOKUP(B891,'2-Kosten per locatie'!$A$13:$D$36,4,FALSE)</f>
        <v>0</v>
      </c>
      <c r="P891" s="82" t="str">
        <f>VLOOKUP(H891,'3-Productie normen'!A:T,20,FALSE)</f>
        <v>V</v>
      </c>
      <c r="Q891" s="447" t="s">
        <v>792</v>
      </c>
      <c r="S891" s="356">
        <f t="shared" si="74"/>
        <v>101.75999450683597</v>
      </c>
    </row>
    <row r="892" spans="1:19" ht="14.1" customHeight="1">
      <c r="A892" s="72">
        <f t="shared" si="70"/>
        <v>892</v>
      </c>
      <c r="B892" s="50" t="s">
        <v>816</v>
      </c>
      <c r="C892" s="50" t="s">
        <v>835</v>
      </c>
      <c r="D892" s="427" t="s">
        <v>1033</v>
      </c>
      <c r="E892" s="426" t="s">
        <v>612</v>
      </c>
      <c r="F892" s="349" t="s">
        <v>228</v>
      </c>
      <c r="G892" s="86" t="s">
        <v>226</v>
      </c>
      <c r="H892" s="86" t="s">
        <v>16</v>
      </c>
      <c r="I892" s="86" t="s">
        <v>91</v>
      </c>
      <c r="J892" s="343">
        <v>4.71</v>
      </c>
      <c r="K892" s="351">
        <f t="shared" si="76"/>
        <v>201</v>
      </c>
      <c r="L892" s="484">
        <v>201</v>
      </c>
      <c r="M892" s="448" t="str">
        <f>IF(L892="nio","",VLOOKUP(L892,'3-Productie normen'!$B$31:$H$45,3,FALSE))</f>
        <v>5 x per week (40 weken + 1 Zomer refreshbeurt)</v>
      </c>
      <c r="N892" s="353" t="e">
        <f t="shared" si="75"/>
        <v>#DIV/0!</v>
      </c>
      <c r="O892" s="354">
        <f>IF(L892="nio",0,IF(L892&gt;0,VLOOKUP(H892,'3-Productie normen'!A:P,VLOOKUP(L892,'3-Productie normen'!$B$31:$C$45,2,FALSE),FALSE)))/VLOOKUP(B892,'2-Kosten per locatie'!$A$13:$D$36,4,FALSE)</f>
        <v>0</v>
      </c>
      <c r="P892" s="82" t="str">
        <f>VLOOKUP(H892,'3-Productie normen'!A:T,20,FALSE)</f>
        <v>S</v>
      </c>
      <c r="Q892" s="447" t="s">
        <v>999</v>
      </c>
      <c r="S892" s="356">
        <f t="shared" si="74"/>
        <v>946.71</v>
      </c>
    </row>
    <row r="893" spans="1:19" ht="14.1" customHeight="1">
      <c r="A893" s="72">
        <f t="shared" si="70"/>
        <v>893</v>
      </c>
      <c r="B893" s="50" t="s">
        <v>816</v>
      </c>
      <c r="C893" s="50" t="s">
        <v>835</v>
      </c>
      <c r="D893" s="427" t="s">
        <v>1033</v>
      </c>
      <c r="E893" s="426" t="s">
        <v>612</v>
      </c>
      <c r="F893" s="349" t="s">
        <v>230</v>
      </c>
      <c r="G893" s="86" t="s">
        <v>625</v>
      </c>
      <c r="H893" s="86" t="s">
        <v>16</v>
      </c>
      <c r="I893" s="86" t="s">
        <v>91</v>
      </c>
      <c r="J893" s="343">
        <v>4.6900000000000004</v>
      </c>
      <c r="K893" s="351">
        <f t="shared" si="76"/>
        <v>201</v>
      </c>
      <c r="L893" s="484">
        <v>201</v>
      </c>
      <c r="M893" s="448" t="str">
        <f>IF(L893="nio","",VLOOKUP(L893,'3-Productie normen'!$B$31:$H$45,3,FALSE))</f>
        <v>5 x per week (40 weken + 1 Zomer refreshbeurt)</v>
      </c>
      <c r="N893" s="353" t="e">
        <f t="shared" si="75"/>
        <v>#DIV/0!</v>
      </c>
      <c r="O893" s="354">
        <f>IF(L893="nio",0,IF(L893&gt;0,VLOOKUP(H893,'3-Productie normen'!A:P,VLOOKUP(L893,'3-Productie normen'!$B$31:$C$45,2,FALSE),FALSE)))/VLOOKUP(B893,'2-Kosten per locatie'!$A$13:$D$36,4,FALSE)</f>
        <v>0</v>
      </c>
      <c r="P893" s="82" t="str">
        <f>VLOOKUP(H893,'3-Productie normen'!A:T,20,FALSE)</f>
        <v>S</v>
      </c>
      <c r="Q893" s="447" t="s">
        <v>1000</v>
      </c>
      <c r="S893" s="356">
        <f t="shared" si="74"/>
        <v>942.69</v>
      </c>
    </row>
    <row r="894" spans="1:19" ht="14.1" customHeight="1">
      <c r="A894" s="72">
        <f t="shared" si="70"/>
        <v>894</v>
      </c>
      <c r="B894" s="50" t="s">
        <v>816</v>
      </c>
      <c r="C894" s="50" t="s">
        <v>835</v>
      </c>
      <c r="D894" s="427" t="s">
        <v>1033</v>
      </c>
      <c r="E894" s="426" t="s">
        <v>612</v>
      </c>
      <c r="F894" s="349" t="s">
        <v>233</v>
      </c>
      <c r="G894" s="86" t="s">
        <v>90</v>
      </c>
      <c r="H894" s="432" t="s">
        <v>198</v>
      </c>
      <c r="I894" s="86" t="s">
        <v>780</v>
      </c>
      <c r="J894" s="343">
        <v>14.69</v>
      </c>
      <c r="K894" s="351">
        <f t="shared" si="76"/>
        <v>200</v>
      </c>
      <c r="L894" s="484">
        <v>200</v>
      </c>
      <c r="M894" s="448" t="str">
        <f>IF(L894="nio","",VLOOKUP(L894,'3-Productie normen'!$B$31:$H$45,3,FALSE))</f>
        <v>5 x per week (40 weken)</v>
      </c>
      <c r="N894" s="353" t="e">
        <f t="shared" si="75"/>
        <v>#DIV/0!</v>
      </c>
      <c r="O894" s="354">
        <f>IF(L894="nio",0,IF(L894&gt;0,VLOOKUP(H894,'3-Productie normen'!A:P,VLOOKUP(L894,'3-Productie normen'!$B$31:$C$45,2,FALSE),FALSE)))/VLOOKUP(B894,'2-Kosten per locatie'!$A$13:$D$36,4,FALSE)</f>
        <v>0</v>
      </c>
      <c r="P894" s="82" t="str">
        <f>VLOOKUP(H894,'3-Productie normen'!A:T,20,FALSE)</f>
        <v>V</v>
      </c>
      <c r="Q894" s="447" t="s">
        <v>792</v>
      </c>
      <c r="S894" s="356">
        <f t="shared" si="74"/>
        <v>2938</v>
      </c>
    </row>
    <row r="895" spans="1:19" ht="14.1" customHeight="1">
      <c r="A895" s="72">
        <f t="shared" si="70"/>
        <v>895</v>
      </c>
      <c r="B895" s="50" t="s">
        <v>816</v>
      </c>
      <c r="C895" s="50" t="s">
        <v>835</v>
      </c>
      <c r="D895" s="427" t="s">
        <v>1033</v>
      </c>
      <c r="E895" s="426" t="s">
        <v>612</v>
      </c>
      <c r="F895" s="349" t="s">
        <v>234</v>
      </c>
      <c r="G895" s="86" t="s">
        <v>222</v>
      </c>
      <c r="H895" s="50" t="s">
        <v>16</v>
      </c>
      <c r="I895" s="86" t="s">
        <v>780</v>
      </c>
      <c r="J895" s="343">
        <v>1.72</v>
      </c>
      <c r="K895" s="351">
        <f t="shared" si="76"/>
        <v>201</v>
      </c>
      <c r="L895" s="484">
        <v>201</v>
      </c>
      <c r="M895" s="448" t="str">
        <f>IF(L895="nio","",VLOOKUP(L895,'3-Productie normen'!$B$31:$H$45,3,FALSE))</f>
        <v>5 x per week (40 weken + 1 Zomer refreshbeurt)</v>
      </c>
      <c r="N895" s="353" t="e">
        <f t="shared" si="75"/>
        <v>#DIV/0!</v>
      </c>
      <c r="O895" s="354">
        <f>IF(L895="nio",0,IF(L895&gt;0,VLOOKUP(H895,'3-Productie normen'!A:P,VLOOKUP(L895,'3-Productie normen'!$B$31:$C$45,2,FALSE),FALSE)))/VLOOKUP(B895,'2-Kosten per locatie'!$A$13:$D$36,4,FALSE)</f>
        <v>0</v>
      </c>
      <c r="P895" s="82" t="str">
        <f>VLOOKUP(H895,'3-Productie normen'!A:T,20,FALSE)</f>
        <v>S</v>
      </c>
      <c r="Q895" s="447" t="s">
        <v>1001</v>
      </c>
      <c r="S895" s="356">
        <f t="shared" si="74"/>
        <v>345.71999999999997</v>
      </c>
    </row>
    <row r="896" spans="1:19" ht="14.1" customHeight="1">
      <c r="A896" s="72">
        <f t="shared" si="70"/>
        <v>896</v>
      </c>
      <c r="B896" s="50" t="s">
        <v>816</v>
      </c>
      <c r="C896" s="50" t="s">
        <v>835</v>
      </c>
      <c r="D896" s="427" t="s">
        <v>1033</v>
      </c>
      <c r="E896" s="426" t="s">
        <v>612</v>
      </c>
      <c r="F896" s="349" t="s">
        <v>236</v>
      </c>
      <c r="G896" s="86" t="s">
        <v>248</v>
      </c>
      <c r="H896" s="63" t="s">
        <v>1040</v>
      </c>
      <c r="I896" s="86" t="s">
        <v>783</v>
      </c>
      <c r="J896" s="343">
        <v>11.38</v>
      </c>
      <c r="K896" s="351">
        <f t="shared" si="76"/>
        <v>12</v>
      </c>
      <c r="L896" s="484">
        <v>12</v>
      </c>
      <c r="M896" s="448" t="str">
        <f>IF(L896="nio","",VLOOKUP(L896,'3-Productie normen'!$B$31:$H$45,3,FALSE))</f>
        <v>1 x per maand</v>
      </c>
      <c r="N896" s="353" t="e">
        <f t="shared" si="75"/>
        <v>#DIV/0!</v>
      </c>
      <c r="O896" s="354">
        <f>IF(L896="nio",0,IF(L896&gt;0,VLOOKUP(H896,'3-Productie normen'!A:P,VLOOKUP(L896,'3-Productie normen'!$B$31:$C$45,2,FALSE),FALSE)))/VLOOKUP(B896,'2-Kosten per locatie'!$A$13:$D$36,4,FALSE)</f>
        <v>0</v>
      </c>
      <c r="P896" s="82" t="str">
        <f>VLOOKUP(H896,'3-Productie normen'!A:T,20,FALSE)</f>
        <v>V</v>
      </c>
      <c r="Q896" s="447" t="s">
        <v>792</v>
      </c>
      <c r="S896" s="356">
        <f t="shared" si="74"/>
        <v>136.56</v>
      </c>
    </row>
    <row r="897" spans="1:19" ht="14.1" customHeight="1">
      <c r="A897" s="72">
        <f t="shared" si="70"/>
        <v>897</v>
      </c>
      <c r="B897" s="50" t="s">
        <v>816</v>
      </c>
      <c r="C897" s="50" t="s">
        <v>835</v>
      </c>
      <c r="D897" s="427" t="s">
        <v>1033</v>
      </c>
      <c r="E897" s="426" t="s">
        <v>612</v>
      </c>
      <c r="F897" s="349" t="s">
        <v>237</v>
      </c>
      <c r="G897" s="86" t="s">
        <v>199</v>
      </c>
      <c r="H897" s="432" t="s">
        <v>198</v>
      </c>
      <c r="I897" s="86" t="s">
        <v>784</v>
      </c>
      <c r="J897" s="343">
        <v>11.21</v>
      </c>
      <c r="K897" s="351">
        <f t="shared" si="76"/>
        <v>200</v>
      </c>
      <c r="L897" s="484">
        <v>200</v>
      </c>
      <c r="M897" s="448" t="str">
        <f>IF(L897="nio","",VLOOKUP(L897,'3-Productie normen'!$B$31:$H$45,3,FALSE))</f>
        <v>5 x per week (40 weken)</v>
      </c>
      <c r="N897" s="353" t="e">
        <f t="shared" si="75"/>
        <v>#DIV/0!</v>
      </c>
      <c r="O897" s="354">
        <f>IF(L897="nio",0,IF(L897&gt;0,VLOOKUP(H897,'3-Productie normen'!A:P,VLOOKUP(L897,'3-Productie normen'!$B$31:$C$45,2,FALSE),FALSE)))/VLOOKUP(B897,'2-Kosten per locatie'!$A$13:$D$36,4,FALSE)</f>
        <v>0</v>
      </c>
      <c r="P897" s="82" t="str">
        <f>VLOOKUP(H897,'3-Productie normen'!A:T,20,FALSE)</f>
        <v>V</v>
      </c>
      <c r="Q897" s="447" t="s">
        <v>792</v>
      </c>
      <c r="S897" s="356">
        <f t="shared" ref="S897:S960" si="77">IF(L897="nio",0,K897*J897)</f>
        <v>2242</v>
      </c>
    </row>
    <row r="898" spans="1:19" ht="14.1" customHeight="1">
      <c r="A898" s="72">
        <f t="shared" si="70"/>
        <v>898</v>
      </c>
      <c r="B898" s="50" t="s">
        <v>816</v>
      </c>
      <c r="C898" s="50" t="s">
        <v>835</v>
      </c>
      <c r="D898" s="427" t="s">
        <v>1033</v>
      </c>
      <c r="E898" s="426" t="s">
        <v>612</v>
      </c>
      <c r="F898" s="349" t="s">
        <v>240</v>
      </c>
      <c r="G898" s="86" t="s">
        <v>326</v>
      </c>
      <c r="H898" s="432" t="s">
        <v>198</v>
      </c>
      <c r="I898" s="86" t="s">
        <v>780</v>
      </c>
      <c r="J898" s="343">
        <v>160.66</v>
      </c>
      <c r="K898" s="351">
        <f t="shared" si="76"/>
        <v>200</v>
      </c>
      <c r="L898" s="484">
        <v>200</v>
      </c>
      <c r="M898" s="448" t="str">
        <f>IF(L898="nio","",VLOOKUP(L898,'3-Productie normen'!$B$31:$H$45,3,FALSE))</f>
        <v>5 x per week (40 weken)</v>
      </c>
      <c r="N898" s="353" t="e">
        <f t="shared" si="75"/>
        <v>#DIV/0!</v>
      </c>
      <c r="O898" s="354">
        <f>IF(L898="nio",0,IF(L898&gt;0,VLOOKUP(H898,'3-Productie normen'!A:P,VLOOKUP(L898,'3-Productie normen'!$B$31:$C$45,2,FALSE),FALSE)))/VLOOKUP(B898,'2-Kosten per locatie'!$A$13:$D$36,4,FALSE)</f>
        <v>0</v>
      </c>
      <c r="P898" s="82" t="str">
        <f>VLOOKUP(H898,'3-Productie normen'!A:T,20,FALSE)</f>
        <v>V</v>
      </c>
      <c r="Q898" s="447" t="s">
        <v>792</v>
      </c>
      <c r="S898" s="356">
        <f t="shared" si="77"/>
        <v>32132</v>
      </c>
    </row>
    <row r="899" spans="1:19" ht="14.1" customHeight="1">
      <c r="A899" s="72">
        <f t="shared" si="70"/>
        <v>899</v>
      </c>
      <c r="B899" s="50" t="s">
        <v>816</v>
      </c>
      <c r="C899" s="50" t="s">
        <v>835</v>
      </c>
      <c r="D899" s="427" t="s">
        <v>1033</v>
      </c>
      <c r="E899" s="426" t="s">
        <v>612</v>
      </c>
      <c r="F899" s="349" t="s">
        <v>687</v>
      </c>
      <c r="G899" s="86" t="s">
        <v>326</v>
      </c>
      <c r="H899" s="432" t="s">
        <v>198</v>
      </c>
      <c r="I899" s="86" t="s">
        <v>780</v>
      </c>
      <c r="J899" s="343">
        <v>66.48</v>
      </c>
      <c r="K899" s="351">
        <f t="shared" si="76"/>
        <v>200</v>
      </c>
      <c r="L899" s="484">
        <v>200</v>
      </c>
      <c r="M899" s="448" t="str">
        <f>IF(L899="nio","",VLOOKUP(L899,'3-Productie normen'!$B$31:$H$45,3,FALSE))</f>
        <v>5 x per week (40 weken)</v>
      </c>
      <c r="N899" s="353" t="e">
        <f t="shared" si="75"/>
        <v>#DIV/0!</v>
      </c>
      <c r="O899" s="354">
        <f>IF(L899="nio",0,IF(L899&gt;0,VLOOKUP(H899,'3-Productie normen'!A:P,VLOOKUP(L899,'3-Productie normen'!$B$31:$C$45,2,FALSE),FALSE)))/VLOOKUP(B899,'2-Kosten per locatie'!$A$13:$D$36,4,FALSE)</f>
        <v>0</v>
      </c>
      <c r="P899" s="82" t="str">
        <f>VLOOKUP(H899,'3-Productie normen'!A:T,20,FALSE)</f>
        <v>V</v>
      </c>
      <c r="Q899" s="447" t="s">
        <v>792</v>
      </c>
      <c r="S899" s="356">
        <f t="shared" si="77"/>
        <v>13296</v>
      </c>
    </row>
    <row r="900" spans="1:19" ht="14.1" customHeight="1">
      <c r="A900" s="72">
        <f t="shared" si="70"/>
        <v>900</v>
      </c>
      <c r="B900" s="50" t="s">
        <v>816</v>
      </c>
      <c r="C900" s="50" t="s">
        <v>835</v>
      </c>
      <c r="D900" s="427" t="s">
        <v>1033</v>
      </c>
      <c r="E900" s="426" t="s">
        <v>612</v>
      </c>
      <c r="F900" s="349" t="s">
        <v>243</v>
      </c>
      <c r="G900" s="86" t="s">
        <v>279</v>
      </c>
      <c r="H900" s="86" t="s">
        <v>203</v>
      </c>
      <c r="I900" s="86" t="s">
        <v>780</v>
      </c>
      <c r="J900" s="343">
        <v>19.04</v>
      </c>
      <c r="K900" s="351">
        <f t="shared" si="76"/>
        <v>201</v>
      </c>
      <c r="L900" s="484">
        <v>201</v>
      </c>
      <c r="M900" s="448" t="str">
        <f>IF(L900="nio","",VLOOKUP(L900,'3-Productie normen'!$B$31:$H$45,3,FALSE))</f>
        <v>5 x per week (40 weken + 1 Zomer refreshbeurt)</v>
      </c>
      <c r="N900" s="353" t="e">
        <f t="shared" si="75"/>
        <v>#DIV/0!</v>
      </c>
      <c r="O900" s="354">
        <f>IF(L900="nio",0,IF(L900&gt;0,VLOOKUP(H900,'3-Productie normen'!A:P,VLOOKUP(L900,'3-Productie normen'!$B$31:$C$45,2,FALSE),FALSE)))/VLOOKUP(B900,'2-Kosten per locatie'!$A$13:$D$36,4,FALSE)</f>
        <v>0</v>
      </c>
      <c r="P900" s="82" t="str">
        <f>VLOOKUP(H900,'3-Productie normen'!A:T,20,FALSE)</f>
        <v>B</v>
      </c>
      <c r="Q900" s="447" t="s">
        <v>792</v>
      </c>
      <c r="S900" s="356">
        <f t="shared" si="77"/>
        <v>3827.04</v>
      </c>
    </row>
    <row r="901" spans="1:19" ht="14.1" customHeight="1">
      <c r="A901" s="72">
        <f t="shared" si="70"/>
        <v>901</v>
      </c>
      <c r="B901" s="50" t="s">
        <v>816</v>
      </c>
      <c r="C901" s="50" t="s">
        <v>835</v>
      </c>
      <c r="D901" s="427" t="s">
        <v>1033</v>
      </c>
      <c r="E901" s="426" t="s">
        <v>612</v>
      </c>
      <c r="F901" s="349" t="s">
        <v>688</v>
      </c>
      <c r="G901" s="86" t="s">
        <v>311</v>
      </c>
      <c r="H901" s="85" t="s">
        <v>203</v>
      </c>
      <c r="I901" s="86" t="s">
        <v>780</v>
      </c>
      <c r="J901" s="343">
        <v>11.94</v>
      </c>
      <c r="K901" s="351">
        <f t="shared" si="76"/>
        <v>120</v>
      </c>
      <c r="L901" s="484">
        <v>120</v>
      </c>
      <c r="M901" s="448" t="str">
        <f>IF(L901="nio","",VLOOKUP(L901,'3-Productie normen'!$B$31:$H$45,3,FALSE))</f>
        <v>3 x per week (40 weken)</v>
      </c>
      <c r="N901" s="353" t="e">
        <f t="shared" si="75"/>
        <v>#DIV/0!</v>
      </c>
      <c r="O901" s="354">
        <f>IF(L901="nio",0,IF(L901&gt;0,VLOOKUP(H901,'3-Productie normen'!A:P,VLOOKUP(L901,'3-Productie normen'!$B$31:$C$45,2,FALSE),FALSE)))/VLOOKUP(B901,'2-Kosten per locatie'!$A$13:$D$36,4,FALSE)</f>
        <v>0</v>
      </c>
      <c r="P901" s="82" t="str">
        <f>VLOOKUP(H901,'3-Productie normen'!A:T,20,FALSE)</f>
        <v>B</v>
      </c>
      <c r="Q901" s="447" t="s">
        <v>792</v>
      </c>
      <c r="S901" s="356">
        <f t="shared" si="77"/>
        <v>1432.8</v>
      </c>
    </row>
    <row r="902" spans="1:19" ht="14.1" customHeight="1">
      <c r="A902" s="72">
        <f t="shared" si="70"/>
        <v>902</v>
      </c>
      <c r="B902" s="50" t="s">
        <v>816</v>
      </c>
      <c r="C902" s="50" t="s">
        <v>835</v>
      </c>
      <c r="D902" s="427" t="s">
        <v>1033</v>
      </c>
      <c r="E902" s="426" t="s">
        <v>612</v>
      </c>
      <c r="F902" s="349" t="s">
        <v>244</v>
      </c>
      <c r="G902" s="86" t="s">
        <v>368</v>
      </c>
      <c r="H902" s="432" t="s">
        <v>198</v>
      </c>
      <c r="I902" s="86" t="s">
        <v>780</v>
      </c>
      <c r="J902" s="343">
        <v>7.45</v>
      </c>
      <c r="K902" s="351">
        <f t="shared" si="76"/>
        <v>200</v>
      </c>
      <c r="L902" s="484">
        <v>200</v>
      </c>
      <c r="M902" s="448" t="str">
        <f>IF(L902="nio","",VLOOKUP(L902,'3-Productie normen'!$B$31:$H$45,3,FALSE))</f>
        <v>5 x per week (40 weken)</v>
      </c>
      <c r="N902" s="353" t="e">
        <f t="shared" si="75"/>
        <v>#DIV/0!</v>
      </c>
      <c r="O902" s="354">
        <f>IF(L902="nio",0,IF(L902&gt;0,VLOOKUP(H902,'3-Productie normen'!A:P,VLOOKUP(L902,'3-Productie normen'!$B$31:$C$45,2,FALSE),FALSE)))/VLOOKUP(B902,'2-Kosten per locatie'!$A$13:$D$36,4,FALSE)</f>
        <v>0</v>
      </c>
      <c r="P902" s="82" t="str">
        <f>VLOOKUP(H902,'3-Productie normen'!A:T,20,FALSE)</f>
        <v>V</v>
      </c>
      <c r="Q902" s="447" t="s">
        <v>792</v>
      </c>
      <c r="S902" s="356">
        <f t="shared" si="77"/>
        <v>1490</v>
      </c>
    </row>
    <row r="903" spans="1:19" ht="14.1" customHeight="1">
      <c r="A903" s="72">
        <f t="shared" si="70"/>
        <v>903</v>
      </c>
      <c r="B903" s="50" t="s">
        <v>816</v>
      </c>
      <c r="C903" s="50" t="s">
        <v>835</v>
      </c>
      <c r="D903" s="427" t="s">
        <v>1033</v>
      </c>
      <c r="E903" s="426" t="s">
        <v>612</v>
      </c>
      <c r="F903" s="349" t="s">
        <v>245</v>
      </c>
      <c r="G903" s="86" t="s">
        <v>222</v>
      </c>
      <c r="H903" s="86" t="s">
        <v>16</v>
      </c>
      <c r="I903" s="86" t="s">
        <v>91</v>
      </c>
      <c r="J903" s="343">
        <v>1.1399999999999999</v>
      </c>
      <c r="K903" s="351">
        <f t="shared" si="76"/>
        <v>201</v>
      </c>
      <c r="L903" s="484">
        <v>201</v>
      </c>
      <c r="M903" s="448" t="str">
        <f>IF(L903="nio","",VLOOKUP(L903,'3-Productie normen'!$B$31:$H$45,3,FALSE))</f>
        <v>5 x per week (40 weken + 1 Zomer refreshbeurt)</v>
      </c>
      <c r="N903" s="353" t="e">
        <f t="shared" si="75"/>
        <v>#DIV/0!</v>
      </c>
      <c r="O903" s="354">
        <f>IF(L903="nio",0,IF(L903&gt;0,VLOOKUP(H903,'3-Productie normen'!A:P,VLOOKUP(L903,'3-Productie normen'!$B$31:$C$45,2,FALSE),FALSE)))/VLOOKUP(B903,'2-Kosten per locatie'!$A$13:$D$36,4,FALSE)</f>
        <v>0</v>
      </c>
      <c r="P903" s="82" t="str">
        <f>VLOOKUP(H903,'3-Productie normen'!A:T,20,FALSE)</f>
        <v>S</v>
      </c>
      <c r="Q903" s="447" t="s">
        <v>888</v>
      </c>
      <c r="S903" s="356">
        <f t="shared" si="77"/>
        <v>229.14</v>
      </c>
    </row>
    <row r="904" spans="1:19" ht="14.1" customHeight="1">
      <c r="A904" s="72">
        <f t="shared" si="70"/>
        <v>904</v>
      </c>
      <c r="B904" s="50" t="s">
        <v>816</v>
      </c>
      <c r="C904" s="50" t="s">
        <v>835</v>
      </c>
      <c r="D904" s="427" t="s">
        <v>1033</v>
      </c>
      <c r="E904" s="426" t="s">
        <v>612</v>
      </c>
      <c r="F904" s="349" t="s">
        <v>330</v>
      </c>
      <c r="G904" s="86" t="s">
        <v>226</v>
      </c>
      <c r="H904" s="86" t="s">
        <v>16</v>
      </c>
      <c r="I904" s="86" t="s">
        <v>91</v>
      </c>
      <c r="J904" s="343">
        <v>7.26</v>
      </c>
      <c r="K904" s="351">
        <f t="shared" si="76"/>
        <v>201</v>
      </c>
      <c r="L904" s="484">
        <v>201</v>
      </c>
      <c r="M904" s="448" t="str">
        <f>IF(L904="nio","",VLOOKUP(L904,'3-Productie normen'!$B$31:$H$45,3,FALSE))</f>
        <v>5 x per week (40 weken + 1 Zomer refreshbeurt)</v>
      </c>
      <c r="N904" s="353" t="e">
        <f t="shared" si="75"/>
        <v>#DIV/0!</v>
      </c>
      <c r="O904" s="354">
        <f>IF(L904="nio",0,IF(L904&gt;0,VLOOKUP(H904,'3-Productie normen'!A:P,VLOOKUP(L904,'3-Productie normen'!$B$31:$C$45,2,FALSE),FALSE)))/VLOOKUP(B904,'2-Kosten per locatie'!$A$13:$D$36,4,FALSE)</f>
        <v>0</v>
      </c>
      <c r="P904" s="82" t="str">
        <f>VLOOKUP(H904,'3-Productie normen'!A:T,20,FALSE)</f>
        <v>S</v>
      </c>
      <c r="Q904" s="447" t="s">
        <v>997</v>
      </c>
      <c r="S904" s="356">
        <f t="shared" si="77"/>
        <v>1459.26</v>
      </c>
    </row>
    <row r="905" spans="1:19" ht="14.1" customHeight="1">
      <c r="A905" s="72">
        <f t="shared" si="70"/>
        <v>905</v>
      </c>
      <c r="B905" s="50" t="s">
        <v>816</v>
      </c>
      <c r="C905" s="50" t="s">
        <v>835</v>
      </c>
      <c r="D905" s="427" t="s">
        <v>1033</v>
      </c>
      <c r="E905" s="426" t="s">
        <v>612</v>
      </c>
      <c r="F905" s="349" t="s">
        <v>331</v>
      </c>
      <c r="G905" s="86" t="s">
        <v>212</v>
      </c>
      <c r="H905" s="65" t="s">
        <v>1053</v>
      </c>
      <c r="I905" s="86" t="s">
        <v>786</v>
      </c>
      <c r="J905" s="343">
        <v>14.439999580383301</v>
      </c>
      <c r="K905" s="351" t="str">
        <f t="shared" si="76"/>
        <v>nio</v>
      </c>
      <c r="L905" s="484" t="s">
        <v>804</v>
      </c>
      <c r="M905" s="448" t="str">
        <f>IF(L905="nio","",VLOOKUP(L905,'3-Productie normen'!$B$31:$H$45,3,FALSE))</f>
        <v/>
      </c>
      <c r="N905" s="353">
        <f t="shared" si="75"/>
        <v>0</v>
      </c>
      <c r="O905" s="354">
        <f>IF(L905="nio",0,IF(L905&gt;0,VLOOKUP(H905,'3-Productie normen'!A:P,VLOOKUP(L905,'3-Productie normen'!$B$31:$C$45,2,FALSE),FALSE)))/VLOOKUP(B905,'2-Kosten per locatie'!$A$13:$D$36,4,FALSE)</f>
        <v>0</v>
      </c>
      <c r="P905" s="82">
        <f>VLOOKUP(H905,'3-Productie normen'!A:T,20,FALSE)</f>
        <v>0</v>
      </c>
      <c r="Q905" s="447" t="s">
        <v>792</v>
      </c>
      <c r="S905" s="356">
        <f t="shared" si="77"/>
        <v>0</v>
      </c>
    </row>
    <row r="906" spans="1:19" ht="14.1" customHeight="1">
      <c r="A906" s="72">
        <f t="shared" si="70"/>
        <v>906</v>
      </c>
      <c r="B906" s="50" t="s">
        <v>816</v>
      </c>
      <c r="C906" s="50" t="s">
        <v>835</v>
      </c>
      <c r="D906" s="427" t="s">
        <v>1033</v>
      </c>
      <c r="E906" s="426" t="s">
        <v>612</v>
      </c>
      <c r="F906" s="349" t="s">
        <v>277</v>
      </c>
      <c r="G906" s="86" t="s">
        <v>232</v>
      </c>
      <c r="H906" s="430" t="s">
        <v>1046</v>
      </c>
      <c r="I906" s="86" t="s">
        <v>780</v>
      </c>
      <c r="J906" s="343">
        <v>2.2000000476837198</v>
      </c>
      <c r="K906" s="351">
        <f t="shared" si="76"/>
        <v>200</v>
      </c>
      <c r="L906" s="484">
        <v>200</v>
      </c>
      <c r="M906" s="448" t="str">
        <f>IF(L906="nio","",VLOOKUP(L906,'3-Productie normen'!$B$31:$H$45,3,FALSE))</f>
        <v>5 x per week (40 weken)</v>
      </c>
      <c r="N906" s="353" t="e">
        <f t="shared" si="75"/>
        <v>#DIV/0!</v>
      </c>
      <c r="O906" s="354">
        <f>IF(L906="nio",0,IF(L906&gt;0,VLOOKUP(H906,'3-Productie normen'!A:P,VLOOKUP(L906,'3-Productie normen'!$B$31:$C$45,2,FALSE),FALSE)))/VLOOKUP(B906,'2-Kosten per locatie'!$A$13:$D$36,4,FALSE)</f>
        <v>0</v>
      </c>
      <c r="P906" s="82" t="str">
        <f>VLOOKUP(H906,'3-Productie normen'!A:T,20,FALSE)</f>
        <v>V</v>
      </c>
      <c r="Q906" s="447" t="s">
        <v>891</v>
      </c>
      <c r="S906" s="356">
        <f t="shared" si="77"/>
        <v>440.00000953674396</v>
      </c>
    </row>
    <row r="907" spans="1:19" ht="14.1" customHeight="1">
      <c r="A907" s="72">
        <f t="shared" ref="A907:A970" si="78">A906+1</f>
        <v>907</v>
      </c>
      <c r="B907" s="50" t="s">
        <v>816</v>
      </c>
      <c r="C907" s="50" t="s">
        <v>835</v>
      </c>
      <c r="D907" s="427" t="s">
        <v>1033</v>
      </c>
      <c r="E907" s="426" t="s">
        <v>275</v>
      </c>
      <c r="F907" s="349" t="s">
        <v>276</v>
      </c>
      <c r="G907" s="86" t="s">
        <v>201</v>
      </c>
      <c r="H907" s="432" t="s">
        <v>198</v>
      </c>
      <c r="I907" s="86" t="s">
        <v>780</v>
      </c>
      <c r="J907" s="343">
        <v>6.06</v>
      </c>
      <c r="K907" s="351">
        <f t="shared" si="76"/>
        <v>200</v>
      </c>
      <c r="L907" s="484">
        <v>200</v>
      </c>
      <c r="M907" s="448" t="str">
        <f>IF(L907="nio","",VLOOKUP(L907,'3-Productie normen'!$B$31:$H$45,3,FALSE))</f>
        <v>5 x per week (40 weken)</v>
      </c>
      <c r="N907" s="353" t="e">
        <f t="shared" si="75"/>
        <v>#DIV/0!</v>
      </c>
      <c r="O907" s="354">
        <f>IF(L907="nio",0,IF(L907&gt;0,VLOOKUP(H907,'3-Productie normen'!A:P,VLOOKUP(L907,'3-Productie normen'!$B$31:$C$45,2,FALSE),FALSE)))/VLOOKUP(B907,'2-Kosten per locatie'!$A$13:$D$36,4,FALSE)</f>
        <v>0</v>
      </c>
      <c r="P907" s="82" t="str">
        <f>VLOOKUP(H907,'3-Productie normen'!A:T,20,FALSE)</f>
        <v>V</v>
      </c>
      <c r="Q907" s="447" t="s">
        <v>792</v>
      </c>
      <c r="S907" s="356">
        <f t="shared" si="77"/>
        <v>1212</v>
      </c>
    </row>
    <row r="908" spans="1:19" ht="14.1" customHeight="1">
      <c r="A908" s="72">
        <f t="shared" si="78"/>
        <v>908</v>
      </c>
      <c r="B908" s="50" t="s">
        <v>816</v>
      </c>
      <c r="C908" s="50" t="s">
        <v>835</v>
      </c>
      <c r="D908" s="427" t="s">
        <v>1033</v>
      </c>
      <c r="E908" s="426" t="s">
        <v>275</v>
      </c>
      <c r="F908" s="349" t="s">
        <v>278</v>
      </c>
      <c r="G908" s="86" t="s">
        <v>209</v>
      </c>
      <c r="H908" s="63" t="s">
        <v>1040</v>
      </c>
      <c r="I908" s="86" t="s">
        <v>780</v>
      </c>
      <c r="J908" s="343">
        <v>2.0299999999999998</v>
      </c>
      <c r="K908" s="351">
        <f t="shared" si="76"/>
        <v>12</v>
      </c>
      <c r="L908" s="484">
        <v>12</v>
      </c>
      <c r="M908" s="448" t="str">
        <f>IF(L908="nio","",VLOOKUP(L908,'3-Productie normen'!$B$31:$H$45,3,FALSE))</f>
        <v>1 x per maand</v>
      </c>
      <c r="N908" s="353" t="e">
        <f t="shared" si="75"/>
        <v>#DIV/0!</v>
      </c>
      <c r="O908" s="354">
        <f>IF(L908="nio",0,IF(L908&gt;0,VLOOKUP(H908,'3-Productie normen'!A:P,VLOOKUP(L908,'3-Productie normen'!$B$31:$C$45,2,FALSE),FALSE)))/VLOOKUP(B908,'2-Kosten per locatie'!$A$13:$D$36,4,FALSE)</f>
        <v>0</v>
      </c>
      <c r="P908" s="82" t="str">
        <f>VLOOKUP(H908,'3-Productie normen'!A:T,20,FALSE)</f>
        <v>V</v>
      </c>
      <c r="Q908" s="447" t="s">
        <v>792</v>
      </c>
      <c r="S908" s="356">
        <f t="shared" si="77"/>
        <v>24.36</v>
      </c>
    </row>
    <row r="909" spans="1:19" ht="14.1" customHeight="1">
      <c r="A909" s="72">
        <f t="shared" si="78"/>
        <v>909</v>
      </c>
      <c r="B909" s="50" t="s">
        <v>816</v>
      </c>
      <c r="C909" s="50" t="s">
        <v>835</v>
      </c>
      <c r="D909" s="427" t="s">
        <v>1033</v>
      </c>
      <c r="E909" s="426" t="s">
        <v>275</v>
      </c>
      <c r="F909" s="349" t="s">
        <v>280</v>
      </c>
      <c r="G909" s="86" t="s">
        <v>222</v>
      </c>
      <c r="H909" s="86" t="s">
        <v>16</v>
      </c>
      <c r="I909" s="86" t="s">
        <v>91</v>
      </c>
      <c r="J909" s="343">
        <v>1.46</v>
      </c>
      <c r="K909" s="351">
        <f t="shared" si="76"/>
        <v>201</v>
      </c>
      <c r="L909" s="484">
        <v>201</v>
      </c>
      <c r="M909" s="448" t="str">
        <f>IF(L909="nio","",VLOOKUP(L909,'3-Productie normen'!$B$31:$H$45,3,FALSE))</f>
        <v>5 x per week (40 weken + 1 Zomer refreshbeurt)</v>
      </c>
      <c r="N909" s="353" t="e">
        <f t="shared" si="75"/>
        <v>#DIV/0!</v>
      </c>
      <c r="O909" s="354">
        <f>IF(L909="nio",0,IF(L909&gt;0,VLOOKUP(H909,'3-Productie normen'!A:P,VLOOKUP(L909,'3-Productie normen'!$B$31:$C$45,2,FALSE),FALSE)))/VLOOKUP(B909,'2-Kosten per locatie'!$A$13:$D$36,4,FALSE)</f>
        <v>0</v>
      </c>
      <c r="P909" s="82" t="str">
        <f>VLOOKUP(H909,'3-Productie normen'!A:T,20,FALSE)</f>
        <v>S</v>
      </c>
      <c r="Q909" s="447" t="s">
        <v>1002</v>
      </c>
      <c r="S909" s="356">
        <f t="shared" si="77"/>
        <v>293.45999999999998</v>
      </c>
    </row>
    <row r="910" spans="1:19" ht="14.1" customHeight="1">
      <c r="A910" s="72">
        <f t="shared" si="78"/>
        <v>910</v>
      </c>
      <c r="B910" s="50" t="s">
        <v>816</v>
      </c>
      <c r="C910" s="50" t="s">
        <v>835</v>
      </c>
      <c r="D910" s="427" t="s">
        <v>1033</v>
      </c>
      <c r="E910" s="426" t="s">
        <v>275</v>
      </c>
      <c r="F910" s="349" t="s">
        <v>282</v>
      </c>
      <c r="G910" s="86" t="s">
        <v>281</v>
      </c>
      <c r="H910" s="86" t="s">
        <v>203</v>
      </c>
      <c r="I910" s="86" t="s">
        <v>780</v>
      </c>
      <c r="J910" s="343">
        <v>19.45</v>
      </c>
      <c r="K910" s="351">
        <f t="shared" si="76"/>
        <v>120</v>
      </c>
      <c r="L910" s="484">
        <v>120</v>
      </c>
      <c r="M910" s="448" t="str">
        <f>IF(L910="nio","",VLOOKUP(L910,'3-Productie normen'!$B$31:$H$45,3,FALSE))</f>
        <v>3 x per week (40 weken)</v>
      </c>
      <c r="N910" s="353" t="e">
        <f t="shared" si="75"/>
        <v>#DIV/0!</v>
      </c>
      <c r="O910" s="354">
        <f>IF(L910="nio",0,IF(L910&gt;0,VLOOKUP(H910,'3-Productie normen'!A:P,VLOOKUP(L910,'3-Productie normen'!$B$31:$C$45,2,FALSE),FALSE)))/VLOOKUP(B910,'2-Kosten per locatie'!$A$13:$D$36,4,FALSE)</f>
        <v>0</v>
      </c>
      <c r="P910" s="82" t="str">
        <f>VLOOKUP(H910,'3-Productie normen'!A:T,20,FALSE)</f>
        <v>B</v>
      </c>
      <c r="Q910" s="447" t="s">
        <v>792</v>
      </c>
      <c r="S910" s="356">
        <f t="shared" si="77"/>
        <v>2334</v>
      </c>
    </row>
    <row r="911" spans="1:19" ht="14.1" customHeight="1">
      <c r="A911" s="72">
        <f t="shared" si="78"/>
        <v>911</v>
      </c>
      <c r="B911" s="50" t="s">
        <v>816</v>
      </c>
      <c r="C911" s="50" t="s">
        <v>835</v>
      </c>
      <c r="D911" s="427" t="s">
        <v>1033</v>
      </c>
      <c r="E911" s="426" t="s">
        <v>275</v>
      </c>
      <c r="F911" s="349" t="s">
        <v>284</v>
      </c>
      <c r="G911" s="86" t="s">
        <v>392</v>
      </c>
      <c r="H911" s="65" t="s">
        <v>1053</v>
      </c>
      <c r="I911" s="86" t="s">
        <v>788</v>
      </c>
      <c r="J911" s="343">
        <v>8.0299997329711896</v>
      </c>
      <c r="K911" s="351" t="str">
        <f t="shared" si="76"/>
        <v>nio</v>
      </c>
      <c r="L911" s="484" t="s">
        <v>804</v>
      </c>
      <c r="M911" s="448" t="str">
        <f>IF(L911="nio","",VLOOKUP(L911,'3-Productie normen'!$B$31:$H$45,3,FALSE))</f>
        <v/>
      </c>
      <c r="N911" s="353">
        <f t="shared" si="75"/>
        <v>0</v>
      </c>
      <c r="O911" s="354">
        <f>IF(L911="nio",0,IF(L911&gt;0,VLOOKUP(H911,'3-Productie normen'!A:P,VLOOKUP(L911,'3-Productie normen'!$B$31:$C$45,2,FALSE),FALSE)))/VLOOKUP(B911,'2-Kosten per locatie'!$A$13:$D$36,4,FALSE)</f>
        <v>0</v>
      </c>
      <c r="P911" s="82">
        <f>VLOOKUP(H911,'3-Productie normen'!A:T,20,FALSE)</f>
        <v>0</v>
      </c>
      <c r="Q911" s="447" t="s">
        <v>792</v>
      </c>
      <c r="S911" s="356">
        <f t="shared" si="77"/>
        <v>0</v>
      </c>
    </row>
    <row r="912" spans="1:19" ht="14.1" customHeight="1">
      <c r="A912" s="72">
        <f t="shared" si="78"/>
        <v>912</v>
      </c>
      <c r="B912" s="50" t="s">
        <v>816</v>
      </c>
      <c r="C912" s="50" t="s">
        <v>835</v>
      </c>
      <c r="D912" s="427" t="s">
        <v>1033</v>
      </c>
      <c r="E912" s="426" t="s">
        <v>304</v>
      </c>
      <c r="F912" s="349" t="s">
        <v>305</v>
      </c>
      <c r="G912" s="86" t="s">
        <v>392</v>
      </c>
      <c r="H912" s="65" t="s">
        <v>1053</v>
      </c>
      <c r="I912" s="86" t="s">
        <v>788</v>
      </c>
      <c r="J912" s="343">
        <v>14</v>
      </c>
      <c r="K912" s="351" t="str">
        <f t="shared" si="76"/>
        <v>nio</v>
      </c>
      <c r="L912" s="484" t="s">
        <v>804</v>
      </c>
      <c r="M912" s="448" t="str">
        <f>IF(L912="nio","",VLOOKUP(L912,'3-Productie normen'!$B$31:$H$45,3,FALSE))</f>
        <v/>
      </c>
      <c r="N912" s="353">
        <f t="shared" si="75"/>
        <v>0</v>
      </c>
      <c r="O912" s="354">
        <f>IF(L912="nio",0,IF(L912&gt;0,VLOOKUP(H912,'3-Productie normen'!A:P,VLOOKUP(L912,'3-Productie normen'!$B$31:$C$45,2,FALSE),FALSE)))/VLOOKUP(B912,'2-Kosten per locatie'!$A$13:$D$36,4,FALSE)</f>
        <v>0</v>
      </c>
      <c r="P912" s="82">
        <f>VLOOKUP(H912,'3-Productie normen'!A:T,20,FALSE)</f>
        <v>0</v>
      </c>
      <c r="Q912" s="447" t="s">
        <v>792</v>
      </c>
      <c r="S912" s="356">
        <f t="shared" si="77"/>
        <v>0</v>
      </c>
    </row>
    <row r="913" spans="1:19" ht="14.1" customHeight="1">
      <c r="A913" s="72">
        <f t="shared" si="78"/>
        <v>913</v>
      </c>
      <c r="B913" s="50" t="s">
        <v>817</v>
      </c>
      <c r="C913" s="50" t="s">
        <v>836</v>
      </c>
      <c r="D913" s="427" t="s">
        <v>1033</v>
      </c>
      <c r="E913" s="426" t="s">
        <v>605</v>
      </c>
      <c r="F913" s="349" t="s">
        <v>689</v>
      </c>
      <c r="G913" s="86" t="s">
        <v>93</v>
      </c>
      <c r="H913" s="65" t="s">
        <v>1053</v>
      </c>
      <c r="I913" s="86" t="s">
        <v>92</v>
      </c>
      <c r="J913" s="343">
        <v>15.13</v>
      </c>
      <c r="K913" s="351" t="str">
        <f t="shared" si="76"/>
        <v>nio</v>
      </c>
      <c r="L913" s="484" t="s">
        <v>804</v>
      </c>
      <c r="M913" s="448" t="str">
        <f>IF(L913="nio","",VLOOKUP(L913,'3-Productie normen'!$B$31:$H$45,3,FALSE))</f>
        <v/>
      </c>
      <c r="N913" s="353">
        <f t="shared" si="75"/>
        <v>0</v>
      </c>
      <c r="O913" s="354">
        <f>IF(L913="nio",0,IF(L913&gt;0,VLOOKUP(H913,'3-Productie normen'!A:P,VLOOKUP(L913,'3-Productie normen'!$B$31:$C$45,2,FALSE),FALSE)))/VLOOKUP(B913,'2-Kosten per locatie'!$A$13:$D$36,4,FALSE)</f>
        <v>0</v>
      </c>
      <c r="P913" s="82">
        <f>VLOOKUP(H913,'3-Productie normen'!A:T,20,FALSE)</f>
        <v>0</v>
      </c>
      <c r="Q913" s="447" t="s">
        <v>792</v>
      </c>
      <c r="S913" s="356">
        <f t="shared" si="77"/>
        <v>0</v>
      </c>
    </row>
    <row r="914" spans="1:19" ht="14.1" customHeight="1">
      <c r="A914" s="72">
        <f t="shared" si="78"/>
        <v>914</v>
      </c>
      <c r="B914" s="50" t="s">
        <v>817</v>
      </c>
      <c r="C914" s="50" t="s">
        <v>836</v>
      </c>
      <c r="D914" s="427" t="s">
        <v>1033</v>
      </c>
      <c r="E914" s="426" t="s">
        <v>612</v>
      </c>
      <c r="F914" s="349" t="s">
        <v>197</v>
      </c>
      <c r="G914" s="86" t="s">
        <v>199</v>
      </c>
      <c r="H914" s="432" t="s">
        <v>198</v>
      </c>
      <c r="I914" s="86" t="s">
        <v>779</v>
      </c>
      <c r="J914" s="343">
        <v>4.9000000000000004</v>
      </c>
      <c r="K914" s="351">
        <f t="shared" si="76"/>
        <v>200</v>
      </c>
      <c r="L914" s="484">
        <v>200</v>
      </c>
      <c r="M914" s="448" t="str">
        <f>IF(L914="nio","",VLOOKUP(L914,'3-Productie normen'!$B$31:$H$45,3,FALSE))</f>
        <v>5 x per week (40 weken)</v>
      </c>
      <c r="N914" s="353" t="e">
        <f t="shared" si="75"/>
        <v>#DIV/0!</v>
      </c>
      <c r="O914" s="354">
        <f>IF(L914="nio",0,IF(L914&gt;0,VLOOKUP(H914,'3-Productie normen'!A:P,VLOOKUP(L914,'3-Productie normen'!$B$31:$C$45,2,FALSE),FALSE)))/VLOOKUP(B914,'2-Kosten per locatie'!$A$13:$D$36,4,FALSE)</f>
        <v>0</v>
      </c>
      <c r="P914" s="82" t="str">
        <f>VLOOKUP(H914,'3-Productie normen'!A:T,20,FALSE)</f>
        <v>V</v>
      </c>
      <c r="Q914" s="447" t="s">
        <v>906</v>
      </c>
      <c r="S914" s="356">
        <f t="shared" si="77"/>
        <v>980.00000000000011</v>
      </c>
    </row>
    <row r="915" spans="1:19" ht="14.1" customHeight="1">
      <c r="A915" s="72">
        <f t="shared" si="78"/>
        <v>915</v>
      </c>
      <c r="B915" s="50" t="s">
        <v>817</v>
      </c>
      <c r="C915" s="50" t="s">
        <v>836</v>
      </c>
      <c r="D915" s="427" t="s">
        <v>1033</v>
      </c>
      <c r="E915" s="426" t="s">
        <v>612</v>
      </c>
      <c r="F915" s="349" t="s">
        <v>197</v>
      </c>
      <c r="G915" s="86" t="s">
        <v>199</v>
      </c>
      <c r="H915" s="432" t="s">
        <v>198</v>
      </c>
      <c r="I915" s="86" t="s">
        <v>796</v>
      </c>
      <c r="J915" s="343">
        <v>2.1199998855590798</v>
      </c>
      <c r="K915" s="351">
        <f t="shared" si="76"/>
        <v>200</v>
      </c>
      <c r="L915" s="484">
        <v>200</v>
      </c>
      <c r="M915" s="448" t="str">
        <f>IF(L915="nio","",VLOOKUP(L915,'3-Productie normen'!$B$31:$H$45,3,FALSE))</f>
        <v>5 x per week (40 weken)</v>
      </c>
      <c r="N915" s="353" t="e">
        <f t="shared" si="75"/>
        <v>#DIV/0!</v>
      </c>
      <c r="O915" s="354">
        <f>IF(L915="nio",0,IF(L915&gt;0,VLOOKUP(H915,'3-Productie normen'!A:P,VLOOKUP(L915,'3-Productie normen'!$B$31:$C$45,2,FALSE),FALSE)))/VLOOKUP(B915,'2-Kosten per locatie'!$A$13:$D$36,4,FALSE)</f>
        <v>0</v>
      </c>
      <c r="P915" s="82" t="str">
        <f>VLOOKUP(H915,'3-Productie normen'!A:T,20,FALSE)</f>
        <v>V</v>
      </c>
      <c r="Q915" s="447" t="s">
        <v>792</v>
      </c>
      <c r="S915" s="356">
        <f t="shared" si="77"/>
        <v>423.99997711181595</v>
      </c>
    </row>
    <row r="916" spans="1:19" ht="14.1" customHeight="1">
      <c r="A916" s="72">
        <f t="shared" si="78"/>
        <v>916</v>
      </c>
      <c r="B916" s="50" t="s">
        <v>817</v>
      </c>
      <c r="C916" s="50" t="s">
        <v>836</v>
      </c>
      <c r="D916" s="427" t="s">
        <v>1033</v>
      </c>
      <c r="E916" s="426" t="s">
        <v>612</v>
      </c>
      <c r="F916" s="349" t="s">
        <v>200</v>
      </c>
      <c r="G916" s="86" t="s">
        <v>206</v>
      </c>
      <c r="H916" s="65" t="s">
        <v>1053</v>
      </c>
      <c r="I916" s="86" t="s">
        <v>92</v>
      </c>
      <c r="J916" s="343">
        <v>0.72</v>
      </c>
      <c r="K916" s="351" t="str">
        <f t="shared" si="76"/>
        <v>nio</v>
      </c>
      <c r="L916" s="484" t="s">
        <v>804</v>
      </c>
      <c r="M916" s="448" t="str">
        <f>IF(L916="nio","",VLOOKUP(L916,'3-Productie normen'!$B$31:$H$45,3,FALSE))</f>
        <v/>
      </c>
      <c r="N916" s="353">
        <f t="shared" si="75"/>
        <v>0</v>
      </c>
      <c r="O916" s="354">
        <f>IF(L916="nio",0,IF(L916&gt;0,VLOOKUP(H916,'3-Productie normen'!A:P,VLOOKUP(L916,'3-Productie normen'!$B$31:$C$45,2,FALSE),FALSE)))/VLOOKUP(B916,'2-Kosten per locatie'!$A$13:$D$36,4,FALSE)</f>
        <v>0</v>
      </c>
      <c r="P916" s="82">
        <f>VLOOKUP(H916,'3-Productie normen'!A:T,20,FALSE)</f>
        <v>0</v>
      </c>
      <c r="Q916" s="447" t="s">
        <v>883</v>
      </c>
      <c r="S916" s="356">
        <f t="shared" si="77"/>
        <v>0</v>
      </c>
    </row>
    <row r="917" spans="1:19" ht="14.1" customHeight="1">
      <c r="A917" s="72">
        <f t="shared" si="78"/>
        <v>917</v>
      </c>
      <c r="B917" s="50" t="s">
        <v>817</v>
      </c>
      <c r="C917" s="50" t="s">
        <v>836</v>
      </c>
      <c r="D917" s="427" t="s">
        <v>1033</v>
      </c>
      <c r="E917" s="426" t="s">
        <v>612</v>
      </c>
      <c r="F917" s="349" t="s">
        <v>202</v>
      </c>
      <c r="G917" s="86" t="s">
        <v>226</v>
      </c>
      <c r="H917" s="86" t="s">
        <v>16</v>
      </c>
      <c r="I917" s="86" t="s">
        <v>785</v>
      </c>
      <c r="J917" s="343">
        <v>18.899999999999999</v>
      </c>
      <c r="K917" s="351">
        <f t="shared" si="76"/>
        <v>201</v>
      </c>
      <c r="L917" s="484">
        <v>201</v>
      </c>
      <c r="M917" s="448" t="str">
        <f>IF(L917="nio","",VLOOKUP(L917,'3-Productie normen'!$B$31:$H$45,3,FALSE))</f>
        <v>5 x per week (40 weken + 1 Zomer refreshbeurt)</v>
      </c>
      <c r="N917" s="353" t="e">
        <f t="shared" si="75"/>
        <v>#DIV/0!</v>
      </c>
      <c r="O917" s="354">
        <f>IF(L917="nio",0,IF(L917&gt;0,VLOOKUP(H917,'3-Productie normen'!A:P,VLOOKUP(L917,'3-Productie normen'!$B$31:$C$45,2,FALSE),FALSE)))/VLOOKUP(B917,'2-Kosten per locatie'!$A$13:$D$36,4,FALSE)</f>
        <v>0</v>
      </c>
      <c r="P917" s="82" t="str">
        <f>VLOOKUP(H917,'3-Productie normen'!A:T,20,FALSE)</f>
        <v>S</v>
      </c>
      <c r="Q917" s="447" t="s">
        <v>1003</v>
      </c>
      <c r="S917" s="356">
        <f t="shared" si="77"/>
        <v>3798.8999999999996</v>
      </c>
    </row>
    <row r="918" spans="1:19" ht="14.1" customHeight="1">
      <c r="A918" s="72">
        <f t="shared" si="78"/>
        <v>918</v>
      </c>
      <c r="B918" s="50" t="s">
        <v>817</v>
      </c>
      <c r="C918" s="50" t="s">
        <v>836</v>
      </c>
      <c r="D918" s="427" t="s">
        <v>1033</v>
      </c>
      <c r="E918" s="426" t="s">
        <v>612</v>
      </c>
      <c r="F918" s="349" t="s">
        <v>205</v>
      </c>
      <c r="G918" s="86" t="s">
        <v>242</v>
      </c>
      <c r="H918" s="86" t="s">
        <v>241</v>
      </c>
      <c r="I918" s="86" t="s">
        <v>780</v>
      </c>
      <c r="J918" s="343">
        <v>57.64</v>
      </c>
      <c r="K918" s="351">
        <f t="shared" si="76"/>
        <v>201</v>
      </c>
      <c r="L918" s="484">
        <v>201</v>
      </c>
      <c r="M918" s="448" t="str">
        <f>IF(L918="nio","",VLOOKUP(L918,'3-Productie normen'!$B$31:$H$45,3,FALSE))</f>
        <v>5 x per week (40 weken + 1 Zomer refreshbeurt)</v>
      </c>
      <c r="N918" s="353" t="e">
        <f t="shared" si="75"/>
        <v>#DIV/0!</v>
      </c>
      <c r="O918" s="354">
        <f>IF(L918="nio",0,IF(L918&gt;0,VLOOKUP(H918,'3-Productie normen'!A:P,VLOOKUP(L918,'3-Productie normen'!$B$31:$C$45,2,FALSE),FALSE)))/VLOOKUP(B918,'2-Kosten per locatie'!$A$13:$D$36,4,FALSE)</f>
        <v>0</v>
      </c>
      <c r="P918" s="82" t="str">
        <f>VLOOKUP(H918,'3-Productie normen'!A:T,20,FALSE)</f>
        <v>L</v>
      </c>
      <c r="Q918" s="447" t="s">
        <v>1004</v>
      </c>
      <c r="S918" s="356">
        <f t="shared" si="77"/>
        <v>11585.64</v>
      </c>
    </row>
    <row r="919" spans="1:19" ht="14.1" customHeight="1">
      <c r="A919" s="72">
        <f t="shared" si="78"/>
        <v>919</v>
      </c>
      <c r="B919" s="50" t="s">
        <v>817</v>
      </c>
      <c r="C919" s="50" t="s">
        <v>836</v>
      </c>
      <c r="D919" s="427" t="s">
        <v>1033</v>
      </c>
      <c r="E919" s="426" t="s">
        <v>612</v>
      </c>
      <c r="F919" s="349" t="s">
        <v>207</v>
      </c>
      <c r="G919" s="86" t="s">
        <v>298</v>
      </c>
      <c r="H919" s="86" t="s">
        <v>241</v>
      </c>
      <c r="I919" s="86" t="s">
        <v>780</v>
      </c>
      <c r="J919" s="343">
        <v>57.35</v>
      </c>
      <c r="K919" s="351">
        <f t="shared" si="76"/>
        <v>201</v>
      </c>
      <c r="L919" s="484">
        <v>201</v>
      </c>
      <c r="M919" s="448" t="str">
        <f>IF(L919="nio","",VLOOKUP(L919,'3-Productie normen'!$B$31:$H$45,3,FALSE))</f>
        <v>5 x per week (40 weken + 1 Zomer refreshbeurt)</v>
      </c>
      <c r="N919" s="353" t="e">
        <f t="shared" si="75"/>
        <v>#DIV/0!</v>
      </c>
      <c r="O919" s="354">
        <f>IF(L919="nio",0,IF(L919&gt;0,VLOOKUP(H919,'3-Productie normen'!A:P,VLOOKUP(L919,'3-Productie normen'!$B$31:$C$45,2,FALSE),FALSE)))/VLOOKUP(B919,'2-Kosten per locatie'!$A$13:$D$36,4,FALSE)</f>
        <v>0</v>
      </c>
      <c r="P919" s="82" t="str">
        <f>VLOOKUP(H919,'3-Productie normen'!A:T,20,FALSE)</f>
        <v>L</v>
      </c>
      <c r="Q919" s="447" t="s">
        <v>876</v>
      </c>
      <c r="S919" s="356">
        <f t="shared" si="77"/>
        <v>11527.35</v>
      </c>
    </row>
    <row r="920" spans="1:19" ht="14.1" customHeight="1">
      <c r="A920" s="72">
        <f t="shared" si="78"/>
        <v>920</v>
      </c>
      <c r="B920" s="50" t="s">
        <v>817</v>
      </c>
      <c r="C920" s="50" t="s">
        <v>836</v>
      </c>
      <c r="D920" s="427" t="s">
        <v>1033</v>
      </c>
      <c r="E920" s="426" t="s">
        <v>612</v>
      </c>
      <c r="F920" s="349" t="s">
        <v>208</v>
      </c>
      <c r="G920" s="86" t="s">
        <v>298</v>
      </c>
      <c r="H920" s="86" t="s">
        <v>241</v>
      </c>
      <c r="I920" s="86" t="s">
        <v>780</v>
      </c>
      <c r="J920" s="343">
        <v>57.35</v>
      </c>
      <c r="K920" s="351">
        <f t="shared" si="76"/>
        <v>201</v>
      </c>
      <c r="L920" s="484">
        <v>201</v>
      </c>
      <c r="M920" s="448" t="str">
        <f>IF(L920="nio","",VLOOKUP(L920,'3-Productie normen'!$B$31:$H$45,3,FALSE))</f>
        <v>5 x per week (40 weken + 1 Zomer refreshbeurt)</v>
      </c>
      <c r="N920" s="353" t="e">
        <f t="shared" si="75"/>
        <v>#DIV/0!</v>
      </c>
      <c r="O920" s="354">
        <f>IF(L920="nio",0,IF(L920&gt;0,VLOOKUP(H920,'3-Productie normen'!A:P,VLOOKUP(L920,'3-Productie normen'!$B$31:$C$45,2,FALSE),FALSE)))/VLOOKUP(B920,'2-Kosten per locatie'!$A$13:$D$36,4,FALSE)</f>
        <v>0</v>
      </c>
      <c r="P920" s="82" t="str">
        <f>VLOOKUP(H920,'3-Productie normen'!A:T,20,FALSE)</f>
        <v>L</v>
      </c>
      <c r="Q920" s="447" t="s">
        <v>875</v>
      </c>
      <c r="S920" s="356">
        <f t="shared" si="77"/>
        <v>11527.35</v>
      </c>
    </row>
    <row r="921" spans="1:19" ht="14.1" customHeight="1">
      <c r="A921" s="72">
        <f t="shared" si="78"/>
        <v>921</v>
      </c>
      <c r="B921" s="50" t="s">
        <v>817</v>
      </c>
      <c r="C921" s="50" t="s">
        <v>836</v>
      </c>
      <c r="D921" s="427" t="s">
        <v>1033</v>
      </c>
      <c r="E921" s="426" t="s">
        <v>612</v>
      </c>
      <c r="F921" s="349" t="s">
        <v>210</v>
      </c>
      <c r="G921" s="86" t="s">
        <v>298</v>
      </c>
      <c r="H921" s="86" t="s">
        <v>241</v>
      </c>
      <c r="I921" s="86" t="s">
        <v>780</v>
      </c>
      <c r="J921" s="343">
        <v>57.35</v>
      </c>
      <c r="K921" s="351">
        <f t="shared" si="76"/>
        <v>201</v>
      </c>
      <c r="L921" s="484">
        <v>201</v>
      </c>
      <c r="M921" s="448" t="str">
        <f>IF(L921="nio","",VLOOKUP(L921,'3-Productie normen'!$B$31:$H$45,3,FALSE))</f>
        <v>5 x per week (40 weken + 1 Zomer refreshbeurt)</v>
      </c>
      <c r="N921" s="353" t="e">
        <f t="shared" si="75"/>
        <v>#DIV/0!</v>
      </c>
      <c r="O921" s="354">
        <f>IF(L921="nio",0,IF(L921&gt;0,VLOOKUP(H921,'3-Productie normen'!A:P,VLOOKUP(L921,'3-Productie normen'!$B$31:$C$45,2,FALSE),FALSE)))/VLOOKUP(B921,'2-Kosten per locatie'!$A$13:$D$36,4,FALSE)</f>
        <v>0</v>
      </c>
      <c r="P921" s="82" t="str">
        <f>VLOOKUP(H921,'3-Productie normen'!A:T,20,FALSE)</f>
        <v>L</v>
      </c>
      <c r="Q921" s="447" t="s">
        <v>881</v>
      </c>
      <c r="S921" s="356">
        <f t="shared" si="77"/>
        <v>11527.35</v>
      </c>
    </row>
    <row r="922" spans="1:19" ht="14.1" customHeight="1">
      <c r="A922" s="72">
        <f t="shared" si="78"/>
        <v>922</v>
      </c>
      <c r="B922" s="50" t="s">
        <v>817</v>
      </c>
      <c r="C922" s="50" t="s">
        <v>836</v>
      </c>
      <c r="D922" s="427" t="s">
        <v>1033</v>
      </c>
      <c r="E922" s="426" t="s">
        <v>612</v>
      </c>
      <c r="F922" s="349" t="s">
        <v>211</v>
      </c>
      <c r="G922" s="86" t="s">
        <v>298</v>
      </c>
      <c r="H922" s="86" t="s">
        <v>241</v>
      </c>
      <c r="I922" s="86" t="s">
        <v>780</v>
      </c>
      <c r="J922" s="343">
        <v>57.35</v>
      </c>
      <c r="K922" s="351">
        <f t="shared" si="76"/>
        <v>201</v>
      </c>
      <c r="L922" s="484">
        <v>201</v>
      </c>
      <c r="M922" s="448" t="str">
        <f>IF(L922="nio","",VLOOKUP(L922,'3-Productie normen'!$B$31:$H$45,3,FALSE))</f>
        <v>5 x per week (40 weken + 1 Zomer refreshbeurt)</v>
      </c>
      <c r="N922" s="353" t="e">
        <f t="shared" si="75"/>
        <v>#DIV/0!</v>
      </c>
      <c r="O922" s="354">
        <f>IF(L922="nio",0,IF(L922&gt;0,VLOOKUP(H922,'3-Productie normen'!A:P,VLOOKUP(L922,'3-Productie normen'!$B$31:$C$45,2,FALSE),FALSE)))/VLOOKUP(B922,'2-Kosten per locatie'!$A$13:$D$36,4,FALSE)</f>
        <v>0</v>
      </c>
      <c r="P922" s="82" t="str">
        <f>VLOOKUP(H922,'3-Productie normen'!A:T,20,FALSE)</f>
        <v>L</v>
      </c>
      <c r="Q922" s="447" t="s">
        <v>879</v>
      </c>
      <c r="S922" s="356">
        <f t="shared" si="77"/>
        <v>11527.35</v>
      </c>
    </row>
    <row r="923" spans="1:19" ht="14.1" customHeight="1">
      <c r="A923" s="72">
        <f t="shared" si="78"/>
        <v>923</v>
      </c>
      <c r="B923" s="50" t="s">
        <v>817</v>
      </c>
      <c r="C923" s="50" t="s">
        <v>836</v>
      </c>
      <c r="D923" s="427" t="s">
        <v>1033</v>
      </c>
      <c r="E923" s="426" t="s">
        <v>612</v>
      </c>
      <c r="F923" s="349" t="s">
        <v>213</v>
      </c>
      <c r="G923" s="86" t="s">
        <v>298</v>
      </c>
      <c r="H923" s="86" t="s">
        <v>241</v>
      </c>
      <c r="I923" s="86" t="s">
        <v>780</v>
      </c>
      <c r="J923" s="343">
        <v>57.75</v>
      </c>
      <c r="K923" s="351">
        <f t="shared" si="76"/>
        <v>201</v>
      </c>
      <c r="L923" s="484">
        <v>201</v>
      </c>
      <c r="M923" s="448" t="str">
        <f>IF(L923="nio","",VLOOKUP(L923,'3-Productie normen'!$B$31:$H$45,3,FALSE))</f>
        <v>5 x per week (40 weken + 1 Zomer refreshbeurt)</v>
      </c>
      <c r="N923" s="353" t="e">
        <f t="shared" si="75"/>
        <v>#DIV/0!</v>
      </c>
      <c r="O923" s="354">
        <f>IF(L923="nio",0,IF(L923&gt;0,VLOOKUP(H923,'3-Productie normen'!A:P,VLOOKUP(L923,'3-Productie normen'!$B$31:$C$45,2,FALSE),FALSE)))/VLOOKUP(B923,'2-Kosten per locatie'!$A$13:$D$36,4,FALSE)</f>
        <v>0</v>
      </c>
      <c r="P923" s="82" t="str">
        <f>VLOOKUP(H923,'3-Productie normen'!A:T,20,FALSE)</f>
        <v>L</v>
      </c>
      <c r="Q923" s="447" t="s">
        <v>896</v>
      </c>
      <c r="S923" s="356">
        <f t="shared" si="77"/>
        <v>11607.75</v>
      </c>
    </row>
    <row r="924" spans="1:19" ht="14.1" customHeight="1">
      <c r="A924" s="72">
        <f t="shared" si="78"/>
        <v>924</v>
      </c>
      <c r="B924" s="50" t="s">
        <v>817</v>
      </c>
      <c r="C924" s="50" t="s">
        <v>836</v>
      </c>
      <c r="D924" s="427" t="s">
        <v>1033</v>
      </c>
      <c r="E924" s="426" t="s">
        <v>612</v>
      </c>
      <c r="F924" s="349" t="s">
        <v>214</v>
      </c>
      <c r="G924" s="86" t="s">
        <v>226</v>
      </c>
      <c r="H924" s="86" t="s">
        <v>16</v>
      </c>
      <c r="I924" s="86" t="s">
        <v>785</v>
      </c>
      <c r="J924" s="343">
        <v>5.98</v>
      </c>
      <c r="K924" s="351">
        <f t="shared" si="76"/>
        <v>201</v>
      </c>
      <c r="L924" s="484">
        <v>201</v>
      </c>
      <c r="M924" s="448" t="str">
        <f>IF(L924="nio","",VLOOKUP(L924,'3-Productie normen'!$B$31:$H$45,3,FALSE))</f>
        <v>5 x per week (40 weken + 1 Zomer refreshbeurt)</v>
      </c>
      <c r="N924" s="353" t="e">
        <f t="shared" si="75"/>
        <v>#DIV/0!</v>
      </c>
      <c r="O924" s="354">
        <f>IF(L924="nio",0,IF(L924&gt;0,VLOOKUP(H924,'3-Productie normen'!A:P,VLOOKUP(L924,'3-Productie normen'!$B$31:$C$45,2,FALSE),FALSE)))/VLOOKUP(B924,'2-Kosten per locatie'!$A$13:$D$36,4,FALSE)</f>
        <v>0</v>
      </c>
      <c r="P924" s="82" t="str">
        <f>VLOOKUP(H924,'3-Productie normen'!A:T,20,FALSE)</f>
        <v>S</v>
      </c>
      <c r="Q924" s="447" t="s">
        <v>945</v>
      </c>
      <c r="S924" s="356">
        <f t="shared" si="77"/>
        <v>1201.98</v>
      </c>
    </row>
    <row r="925" spans="1:19" ht="14.1" customHeight="1">
      <c r="A925" s="72">
        <f t="shared" si="78"/>
        <v>925</v>
      </c>
      <c r="B925" s="50" t="s">
        <v>817</v>
      </c>
      <c r="C925" s="50" t="s">
        <v>836</v>
      </c>
      <c r="D925" s="427" t="s">
        <v>1033</v>
      </c>
      <c r="E925" s="426" t="s">
        <v>612</v>
      </c>
      <c r="F925" s="349" t="s">
        <v>216</v>
      </c>
      <c r="G925" s="86" t="s">
        <v>226</v>
      </c>
      <c r="H925" s="86" t="s">
        <v>16</v>
      </c>
      <c r="I925" s="86" t="s">
        <v>785</v>
      </c>
      <c r="J925" s="343">
        <v>5.99</v>
      </c>
      <c r="K925" s="351">
        <f t="shared" si="76"/>
        <v>201</v>
      </c>
      <c r="L925" s="484">
        <v>201</v>
      </c>
      <c r="M925" s="448" t="str">
        <f>IF(L925="nio","",VLOOKUP(L925,'3-Productie normen'!$B$31:$H$45,3,FALSE))</f>
        <v>5 x per week (40 weken + 1 Zomer refreshbeurt)</v>
      </c>
      <c r="N925" s="353" t="e">
        <f t="shared" si="75"/>
        <v>#DIV/0!</v>
      </c>
      <c r="O925" s="354">
        <f>IF(L925="nio",0,IF(L925&gt;0,VLOOKUP(H925,'3-Productie normen'!A:P,VLOOKUP(L925,'3-Productie normen'!$B$31:$C$45,2,FALSE),FALSE)))/VLOOKUP(B925,'2-Kosten per locatie'!$A$13:$D$36,4,FALSE)</f>
        <v>0</v>
      </c>
      <c r="P925" s="82" t="str">
        <f>VLOOKUP(H925,'3-Productie normen'!A:T,20,FALSE)</f>
        <v>S</v>
      </c>
      <c r="Q925" s="447" t="s">
        <v>945</v>
      </c>
      <c r="S925" s="356">
        <f t="shared" si="77"/>
        <v>1203.99</v>
      </c>
    </row>
    <row r="926" spans="1:19" ht="14.1" customHeight="1">
      <c r="A926" s="72">
        <f t="shared" si="78"/>
        <v>926</v>
      </c>
      <c r="B926" s="50" t="s">
        <v>817</v>
      </c>
      <c r="C926" s="50" t="s">
        <v>836</v>
      </c>
      <c r="D926" s="427" t="s">
        <v>1033</v>
      </c>
      <c r="E926" s="426" t="s">
        <v>612</v>
      </c>
      <c r="F926" s="349" t="s">
        <v>217</v>
      </c>
      <c r="G926" s="86" t="s">
        <v>226</v>
      </c>
      <c r="H926" s="50" t="s">
        <v>16</v>
      </c>
      <c r="I926" s="86" t="s">
        <v>785</v>
      </c>
      <c r="J926" s="343">
        <v>3.38</v>
      </c>
      <c r="K926" s="351">
        <f t="shared" si="76"/>
        <v>201</v>
      </c>
      <c r="L926" s="484">
        <v>201</v>
      </c>
      <c r="M926" s="448" t="str">
        <f>IF(L926="nio","",VLOOKUP(L926,'3-Productie normen'!$B$31:$H$45,3,FALSE))</f>
        <v>5 x per week (40 weken + 1 Zomer refreshbeurt)</v>
      </c>
      <c r="N926" s="353" t="e">
        <f t="shared" si="75"/>
        <v>#DIV/0!</v>
      </c>
      <c r="O926" s="354">
        <f>IF(L926="nio",0,IF(L926&gt;0,VLOOKUP(H926,'3-Productie normen'!A:P,VLOOKUP(L926,'3-Productie normen'!$B$31:$C$45,2,FALSE),FALSE)))/VLOOKUP(B926,'2-Kosten per locatie'!$A$13:$D$36,4,FALSE)</f>
        <v>0</v>
      </c>
      <c r="P926" s="82" t="str">
        <f>VLOOKUP(H926,'3-Productie normen'!A:T,20,FALSE)</f>
        <v>S</v>
      </c>
      <c r="Q926" s="447" t="s">
        <v>857</v>
      </c>
      <c r="S926" s="356">
        <f t="shared" si="77"/>
        <v>679.38</v>
      </c>
    </row>
    <row r="927" spans="1:19" ht="14.1" customHeight="1">
      <c r="A927" s="72">
        <f t="shared" si="78"/>
        <v>927</v>
      </c>
      <c r="B927" s="50" t="s">
        <v>817</v>
      </c>
      <c r="C927" s="50" t="s">
        <v>836</v>
      </c>
      <c r="D927" s="427" t="s">
        <v>1033</v>
      </c>
      <c r="E927" s="426" t="s">
        <v>612</v>
      </c>
      <c r="F927" s="349" t="s">
        <v>218</v>
      </c>
      <c r="G927" s="86" t="s">
        <v>209</v>
      </c>
      <c r="H927" s="63" t="s">
        <v>1040</v>
      </c>
      <c r="I927" s="86" t="s">
        <v>780</v>
      </c>
      <c r="J927" s="343">
        <v>10.2700004577637</v>
      </c>
      <c r="K927" s="351">
        <f t="shared" si="76"/>
        <v>12</v>
      </c>
      <c r="L927" s="484">
        <v>12</v>
      </c>
      <c r="M927" s="448" t="str">
        <f>IF(L927="nio","",VLOOKUP(L927,'3-Productie normen'!$B$31:$H$45,3,FALSE))</f>
        <v>1 x per maand</v>
      </c>
      <c r="N927" s="353" t="e">
        <f t="shared" si="75"/>
        <v>#DIV/0!</v>
      </c>
      <c r="O927" s="354">
        <f>IF(L927="nio",0,IF(L927&gt;0,VLOOKUP(H927,'3-Productie normen'!A:P,VLOOKUP(L927,'3-Productie normen'!$B$31:$C$45,2,FALSE),FALSE)))/VLOOKUP(B927,'2-Kosten per locatie'!$A$13:$D$36,4,FALSE)</f>
        <v>0</v>
      </c>
      <c r="P927" s="82" t="str">
        <f>VLOOKUP(H927,'3-Productie normen'!A:T,20,FALSE)</f>
        <v>V</v>
      </c>
      <c r="Q927" s="447" t="s">
        <v>792</v>
      </c>
      <c r="S927" s="356">
        <f t="shared" si="77"/>
        <v>123.2400054931644</v>
      </c>
    </row>
    <row r="928" spans="1:19" ht="14.1" customHeight="1">
      <c r="A928" s="72">
        <f t="shared" si="78"/>
        <v>928</v>
      </c>
      <c r="B928" s="50" t="s">
        <v>817</v>
      </c>
      <c r="C928" s="50" t="s">
        <v>836</v>
      </c>
      <c r="D928" s="427" t="s">
        <v>1033</v>
      </c>
      <c r="E928" s="426" t="s">
        <v>612</v>
      </c>
      <c r="F928" s="349" t="s">
        <v>219</v>
      </c>
      <c r="G928" s="86" t="s">
        <v>206</v>
      </c>
      <c r="H928" s="65" t="s">
        <v>1053</v>
      </c>
      <c r="I928" s="86" t="s">
        <v>92</v>
      </c>
      <c r="J928" s="343">
        <v>6.1100001335143999</v>
      </c>
      <c r="K928" s="351" t="str">
        <f t="shared" si="76"/>
        <v>nio</v>
      </c>
      <c r="L928" s="484" t="s">
        <v>804</v>
      </c>
      <c r="M928" s="448" t="str">
        <f>IF(L928="nio","",VLOOKUP(L928,'3-Productie normen'!$B$31:$H$45,3,FALSE))</f>
        <v/>
      </c>
      <c r="N928" s="353">
        <f t="shared" si="75"/>
        <v>0</v>
      </c>
      <c r="O928" s="354">
        <f>IF(L928="nio",0,IF(L928&gt;0,VLOOKUP(H928,'3-Productie normen'!A:P,VLOOKUP(L928,'3-Productie normen'!$B$31:$C$45,2,FALSE),FALSE)))/VLOOKUP(B928,'2-Kosten per locatie'!$A$13:$D$36,4,FALSE)</f>
        <v>0</v>
      </c>
      <c r="P928" s="82">
        <f>VLOOKUP(H928,'3-Productie normen'!A:T,20,FALSE)</f>
        <v>0</v>
      </c>
      <c r="Q928" s="447" t="s">
        <v>871</v>
      </c>
      <c r="S928" s="356">
        <f t="shared" si="77"/>
        <v>0</v>
      </c>
    </row>
    <row r="929" spans="1:19" ht="14.1" customHeight="1">
      <c r="A929" s="72">
        <f t="shared" si="78"/>
        <v>929</v>
      </c>
      <c r="B929" s="50" t="s">
        <v>817</v>
      </c>
      <c r="C929" s="50" t="s">
        <v>836</v>
      </c>
      <c r="D929" s="427" t="s">
        <v>1033</v>
      </c>
      <c r="E929" s="426" t="s">
        <v>612</v>
      </c>
      <c r="F929" s="349" t="s">
        <v>220</v>
      </c>
      <c r="G929" s="86" t="s">
        <v>368</v>
      </c>
      <c r="H929" s="432" t="s">
        <v>198</v>
      </c>
      <c r="I929" s="86" t="s">
        <v>780</v>
      </c>
      <c r="J929" s="343">
        <v>6.26</v>
      </c>
      <c r="K929" s="351">
        <f t="shared" si="76"/>
        <v>200</v>
      </c>
      <c r="L929" s="484">
        <v>200</v>
      </c>
      <c r="M929" s="448" t="str">
        <f>IF(L929="nio","",VLOOKUP(L929,'3-Productie normen'!$B$31:$H$45,3,FALSE))</f>
        <v>5 x per week (40 weken)</v>
      </c>
      <c r="N929" s="353" t="e">
        <f t="shared" si="75"/>
        <v>#DIV/0!</v>
      </c>
      <c r="O929" s="354">
        <f>IF(L929="nio",0,IF(L929&gt;0,VLOOKUP(H929,'3-Productie normen'!A:P,VLOOKUP(L929,'3-Productie normen'!$B$31:$C$45,2,FALSE),FALSE)))/VLOOKUP(B929,'2-Kosten per locatie'!$A$13:$D$36,4,FALSE)</f>
        <v>0</v>
      </c>
      <c r="P929" s="82" t="str">
        <f>VLOOKUP(H929,'3-Productie normen'!A:T,20,FALSE)</f>
        <v>V</v>
      </c>
      <c r="Q929" s="447" t="s">
        <v>792</v>
      </c>
      <c r="S929" s="356">
        <f t="shared" si="77"/>
        <v>1252</v>
      </c>
    </row>
    <row r="930" spans="1:19" ht="14.1" customHeight="1">
      <c r="A930" s="72">
        <f t="shared" si="78"/>
        <v>930</v>
      </c>
      <c r="B930" s="50" t="s">
        <v>817</v>
      </c>
      <c r="C930" s="50" t="s">
        <v>836</v>
      </c>
      <c r="D930" s="427" t="s">
        <v>1033</v>
      </c>
      <c r="E930" s="426" t="s">
        <v>612</v>
      </c>
      <c r="F930" s="349" t="s">
        <v>221</v>
      </c>
      <c r="G930" s="86" t="s">
        <v>393</v>
      </c>
      <c r="H930" s="432" t="s">
        <v>198</v>
      </c>
      <c r="I930" s="86" t="s">
        <v>780</v>
      </c>
      <c r="J930" s="343">
        <v>88.03</v>
      </c>
      <c r="K930" s="351">
        <f t="shared" si="76"/>
        <v>200</v>
      </c>
      <c r="L930" s="484">
        <v>200</v>
      </c>
      <c r="M930" s="448" t="str">
        <f>IF(L930="nio","",VLOOKUP(L930,'3-Productie normen'!$B$31:$H$45,3,FALSE))</f>
        <v>5 x per week (40 weken)</v>
      </c>
      <c r="N930" s="353" t="e">
        <f t="shared" si="75"/>
        <v>#DIV/0!</v>
      </c>
      <c r="O930" s="354">
        <f>IF(L930="nio",0,IF(L930&gt;0,VLOOKUP(H930,'3-Productie normen'!A:P,VLOOKUP(L930,'3-Productie normen'!$B$31:$C$45,2,FALSE),FALSE)))/VLOOKUP(B930,'2-Kosten per locatie'!$A$13:$D$36,4,FALSE)</f>
        <v>0</v>
      </c>
      <c r="P930" s="82" t="str">
        <f>VLOOKUP(H930,'3-Productie normen'!A:T,20,FALSE)</f>
        <v>V</v>
      </c>
      <c r="Q930" s="447" t="s">
        <v>792</v>
      </c>
      <c r="S930" s="356">
        <f t="shared" si="77"/>
        <v>17606</v>
      </c>
    </row>
    <row r="931" spans="1:19" ht="14.1" customHeight="1">
      <c r="A931" s="72">
        <f t="shared" si="78"/>
        <v>931</v>
      </c>
      <c r="B931" s="50" t="s">
        <v>817</v>
      </c>
      <c r="C931" s="50" t="s">
        <v>836</v>
      </c>
      <c r="D931" s="427" t="s">
        <v>1033</v>
      </c>
      <c r="E931" s="426" t="s">
        <v>612</v>
      </c>
      <c r="F931" s="349" t="s">
        <v>221</v>
      </c>
      <c r="G931" s="86" t="s">
        <v>347</v>
      </c>
      <c r="H931" s="432" t="s">
        <v>198</v>
      </c>
      <c r="I931" s="86" t="s">
        <v>180</v>
      </c>
      <c r="J931" s="343">
        <v>14.1</v>
      </c>
      <c r="K931" s="351">
        <f t="shared" si="76"/>
        <v>200</v>
      </c>
      <c r="L931" s="484">
        <v>200</v>
      </c>
      <c r="M931" s="448" t="str">
        <f>IF(L931="nio","",VLOOKUP(L931,'3-Productie normen'!$B$31:$H$45,3,FALSE))</f>
        <v>5 x per week (40 weken)</v>
      </c>
      <c r="N931" s="353" t="e">
        <f t="shared" si="75"/>
        <v>#DIV/0!</v>
      </c>
      <c r="O931" s="354">
        <f>IF(L931="nio",0,IF(L931&gt;0,VLOOKUP(H931,'3-Productie normen'!A:P,VLOOKUP(L931,'3-Productie normen'!$B$31:$C$45,2,FALSE),FALSE)))/VLOOKUP(B931,'2-Kosten per locatie'!$A$13:$D$36,4,FALSE)</f>
        <v>0</v>
      </c>
      <c r="P931" s="82" t="str">
        <f>VLOOKUP(H931,'3-Productie normen'!A:T,20,FALSE)</f>
        <v>V</v>
      </c>
      <c r="Q931" s="447" t="s">
        <v>792</v>
      </c>
      <c r="S931" s="356">
        <f t="shared" si="77"/>
        <v>2820</v>
      </c>
    </row>
    <row r="932" spans="1:19" ht="14.1" customHeight="1">
      <c r="A932" s="72">
        <f t="shared" si="78"/>
        <v>932</v>
      </c>
      <c r="B932" s="50" t="s">
        <v>817</v>
      </c>
      <c r="C932" s="50" t="s">
        <v>836</v>
      </c>
      <c r="D932" s="427" t="s">
        <v>1033</v>
      </c>
      <c r="E932" s="426" t="s">
        <v>612</v>
      </c>
      <c r="F932" s="349" t="s">
        <v>223</v>
      </c>
      <c r="G932" s="86" t="s">
        <v>690</v>
      </c>
      <c r="H932" s="65" t="s">
        <v>203</v>
      </c>
      <c r="I932" s="86" t="s">
        <v>91</v>
      </c>
      <c r="J932" s="343">
        <v>20.329999999999998</v>
      </c>
      <c r="K932" s="351">
        <f t="shared" si="76"/>
        <v>201</v>
      </c>
      <c r="L932" s="484">
        <v>201</v>
      </c>
      <c r="M932" s="448" t="str">
        <f>IF(L932="nio","",VLOOKUP(L932,'3-Productie normen'!$B$31:$H$45,3,FALSE))</f>
        <v>5 x per week (40 weken + 1 Zomer refreshbeurt)</v>
      </c>
      <c r="N932" s="353" t="e">
        <f t="shared" si="75"/>
        <v>#DIV/0!</v>
      </c>
      <c r="O932" s="354">
        <f>IF(L932="nio",0,IF(L932&gt;0,VLOOKUP(H932,'3-Productie normen'!A:P,VLOOKUP(L932,'3-Productie normen'!$B$31:$C$45,2,FALSE),FALSE)))/VLOOKUP(B932,'2-Kosten per locatie'!$A$13:$D$36,4,FALSE)</f>
        <v>0</v>
      </c>
      <c r="P932" s="82" t="str">
        <f>VLOOKUP(H932,'3-Productie normen'!A:T,20,FALSE)</f>
        <v>B</v>
      </c>
      <c r="Q932" s="447" t="s">
        <v>792</v>
      </c>
      <c r="S932" s="356">
        <f t="shared" si="77"/>
        <v>4086.3299999999995</v>
      </c>
    </row>
    <row r="933" spans="1:19" ht="14.1" customHeight="1">
      <c r="A933" s="72">
        <f t="shared" si="78"/>
        <v>933</v>
      </c>
      <c r="B933" s="50" t="s">
        <v>817</v>
      </c>
      <c r="C933" s="50" t="s">
        <v>836</v>
      </c>
      <c r="D933" s="427" t="s">
        <v>1033</v>
      </c>
      <c r="E933" s="426" t="s">
        <v>612</v>
      </c>
      <c r="F933" s="349" t="s">
        <v>224</v>
      </c>
      <c r="G933" s="86" t="s">
        <v>199</v>
      </c>
      <c r="H933" s="432" t="s">
        <v>198</v>
      </c>
      <c r="I933" s="86" t="s">
        <v>779</v>
      </c>
      <c r="J933" s="343">
        <v>2.5799999237060498</v>
      </c>
      <c r="K933" s="351">
        <f t="shared" si="76"/>
        <v>200</v>
      </c>
      <c r="L933" s="484">
        <v>200</v>
      </c>
      <c r="M933" s="448" t="str">
        <f>IF(L933="nio","",VLOOKUP(L933,'3-Productie normen'!$B$31:$H$45,3,FALSE))</f>
        <v>5 x per week (40 weken)</v>
      </c>
      <c r="N933" s="353" t="e">
        <f t="shared" si="75"/>
        <v>#DIV/0!</v>
      </c>
      <c r="O933" s="354">
        <f>IF(L933="nio",0,IF(L933&gt;0,VLOOKUP(H933,'3-Productie normen'!A:P,VLOOKUP(L933,'3-Productie normen'!$B$31:$C$45,2,FALSE),FALSE)))/VLOOKUP(B933,'2-Kosten per locatie'!$A$13:$D$36,4,FALSE)</f>
        <v>0</v>
      </c>
      <c r="P933" s="82" t="str">
        <f>VLOOKUP(H933,'3-Productie normen'!A:T,20,FALSE)</f>
        <v>V</v>
      </c>
      <c r="Q933" s="447" t="s">
        <v>873</v>
      </c>
      <c r="S933" s="356">
        <f t="shared" si="77"/>
        <v>515.99998474120991</v>
      </c>
    </row>
    <row r="934" spans="1:19" ht="14.1" customHeight="1">
      <c r="A934" s="72">
        <f t="shared" si="78"/>
        <v>934</v>
      </c>
      <c r="B934" s="50" t="s">
        <v>817</v>
      </c>
      <c r="C934" s="50" t="s">
        <v>836</v>
      </c>
      <c r="D934" s="427" t="s">
        <v>1033</v>
      </c>
      <c r="E934" s="426" t="s">
        <v>612</v>
      </c>
      <c r="F934" s="349" t="s">
        <v>224</v>
      </c>
      <c r="G934" s="86" t="s">
        <v>199</v>
      </c>
      <c r="H934" s="432" t="s">
        <v>198</v>
      </c>
      <c r="I934" s="86" t="s">
        <v>780</v>
      </c>
      <c r="J934" s="343">
        <v>24.66</v>
      </c>
      <c r="K934" s="351">
        <f t="shared" si="76"/>
        <v>200</v>
      </c>
      <c r="L934" s="484">
        <v>200</v>
      </c>
      <c r="M934" s="448" t="str">
        <f>IF(L934="nio","",VLOOKUP(L934,'3-Productie normen'!$B$31:$H$45,3,FALSE))</f>
        <v>5 x per week (40 weken)</v>
      </c>
      <c r="N934" s="353" t="e">
        <f t="shared" si="75"/>
        <v>#DIV/0!</v>
      </c>
      <c r="O934" s="354">
        <f>IF(L934="nio",0,IF(L934&gt;0,VLOOKUP(H934,'3-Productie normen'!A:P,VLOOKUP(L934,'3-Productie normen'!$B$31:$C$45,2,FALSE),FALSE)))/VLOOKUP(B934,'2-Kosten per locatie'!$A$13:$D$36,4,FALSE)</f>
        <v>0</v>
      </c>
      <c r="P934" s="82" t="str">
        <f>VLOOKUP(H934,'3-Productie normen'!A:T,20,FALSE)</f>
        <v>V</v>
      </c>
      <c r="Q934" s="447" t="s">
        <v>792</v>
      </c>
      <c r="S934" s="356">
        <f t="shared" si="77"/>
        <v>4932</v>
      </c>
    </row>
    <row r="935" spans="1:19" ht="14.1" customHeight="1">
      <c r="A935" s="72">
        <f t="shared" si="78"/>
        <v>935</v>
      </c>
      <c r="B935" s="50" t="s">
        <v>817</v>
      </c>
      <c r="C935" s="50" t="s">
        <v>836</v>
      </c>
      <c r="D935" s="427" t="s">
        <v>1033</v>
      </c>
      <c r="E935" s="426" t="s">
        <v>612</v>
      </c>
      <c r="F935" s="349" t="s">
        <v>225</v>
      </c>
      <c r="G935" s="86" t="s">
        <v>215</v>
      </c>
      <c r="H935" s="63" t="s">
        <v>1040</v>
      </c>
      <c r="I935" s="86" t="s">
        <v>785</v>
      </c>
      <c r="J935" s="343">
        <v>2.02</v>
      </c>
      <c r="K935" s="351">
        <f t="shared" si="76"/>
        <v>12</v>
      </c>
      <c r="L935" s="484">
        <v>12</v>
      </c>
      <c r="M935" s="448" t="str">
        <f>IF(L935="nio","",VLOOKUP(L935,'3-Productie normen'!$B$31:$H$45,3,FALSE))</f>
        <v>1 x per maand</v>
      </c>
      <c r="N935" s="353" t="e">
        <f t="shared" si="75"/>
        <v>#DIV/0!</v>
      </c>
      <c r="O935" s="354">
        <f>IF(L935="nio",0,IF(L935&gt;0,VLOOKUP(H935,'3-Productie normen'!A:P,VLOOKUP(L935,'3-Productie normen'!$B$31:$C$45,2,FALSE),FALSE)))/VLOOKUP(B935,'2-Kosten per locatie'!$A$13:$D$36,4,FALSE)</f>
        <v>0</v>
      </c>
      <c r="P935" s="82" t="str">
        <f>VLOOKUP(H935,'3-Productie normen'!A:T,20,FALSE)</f>
        <v>V</v>
      </c>
      <c r="Q935" s="447" t="s">
        <v>853</v>
      </c>
      <c r="S935" s="356">
        <f t="shared" si="77"/>
        <v>24.240000000000002</v>
      </c>
    </row>
    <row r="936" spans="1:19" ht="14.1" customHeight="1">
      <c r="A936" s="72">
        <f t="shared" si="78"/>
        <v>936</v>
      </c>
      <c r="B936" s="50" t="s">
        <v>817</v>
      </c>
      <c r="C936" s="50" t="s">
        <v>836</v>
      </c>
      <c r="D936" s="427" t="s">
        <v>1033</v>
      </c>
      <c r="E936" s="426" t="s">
        <v>612</v>
      </c>
      <c r="F936" s="349" t="s">
        <v>227</v>
      </c>
      <c r="G936" s="86" t="s">
        <v>311</v>
      </c>
      <c r="H936" s="86" t="s">
        <v>203</v>
      </c>
      <c r="I936" s="86" t="s">
        <v>780</v>
      </c>
      <c r="J936" s="343">
        <v>15.93</v>
      </c>
      <c r="K936" s="351">
        <f t="shared" si="76"/>
        <v>120</v>
      </c>
      <c r="L936" s="484">
        <v>120</v>
      </c>
      <c r="M936" s="448" t="str">
        <f>IF(L936="nio","",VLOOKUP(L936,'3-Productie normen'!$B$31:$H$45,3,FALSE))</f>
        <v>3 x per week (40 weken)</v>
      </c>
      <c r="N936" s="353" t="e">
        <f t="shared" si="75"/>
        <v>#DIV/0!</v>
      </c>
      <c r="O936" s="354">
        <f>IF(L936="nio",0,IF(L936&gt;0,VLOOKUP(H936,'3-Productie normen'!A:P,VLOOKUP(L936,'3-Productie normen'!$B$31:$C$45,2,FALSE),FALSE)))/VLOOKUP(B936,'2-Kosten per locatie'!$A$13:$D$36,4,FALSE)</f>
        <v>0</v>
      </c>
      <c r="P936" s="82" t="str">
        <f>VLOOKUP(H936,'3-Productie normen'!A:T,20,FALSE)</f>
        <v>B</v>
      </c>
      <c r="Q936" s="447" t="s">
        <v>792</v>
      </c>
      <c r="S936" s="356">
        <f t="shared" si="77"/>
        <v>1911.6</v>
      </c>
    </row>
    <row r="937" spans="1:19" ht="14.1" customHeight="1">
      <c r="A937" s="72">
        <f t="shared" si="78"/>
        <v>937</v>
      </c>
      <c r="B937" s="50" t="s">
        <v>817</v>
      </c>
      <c r="C937" s="50" t="s">
        <v>836</v>
      </c>
      <c r="D937" s="427" t="s">
        <v>1033</v>
      </c>
      <c r="E937" s="426" t="s">
        <v>612</v>
      </c>
      <c r="F937" s="349" t="s">
        <v>228</v>
      </c>
      <c r="G937" s="86" t="s">
        <v>226</v>
      </c>
      <c r="H937" s="86" t="s">
        <v>16</v>
      </c>
      <c r="I937" s="86" t="s">
        <v>785</v>
      </c>
      <c r="J937" s="343">
        <v>11.6</v>
      </c>
      <c r="K937" s="351">
        <f t="shared" si="76"/>
        <v>201</v>
      </c>
      <c r="L937" s="484">
        <v>201</v>
      </c>
      <c r="M937" s="448" t="str">
        <f>IF(L937="nio","",VLOOKUP(L937,'3-Productie normen'!$B$31:$H$45,3,FALSE))</f>
        <v>5 x per week (40 weken + 1 Zomer refreshbeurt)</v>
      </c>
      <c r="N937" s="353" t="e">
        <f t="shared" ref="N937:N1000" si="79">IF(L937="nio",0,IF(L937&gt;0,L937*J937/O937,0))</f>
        <v>#DIV/0!</v>
      </c>
      <c r="O937" s="354">
        <f>IF(L937="nio",0,IF(L937&gt;0,VLOOKUP(H937,'3-Productie normen'!A:P,VLOOKUP(L937,'3-Productie normen'!$B$31:$C$45,2,FALSE),FALSE)))/VLOOKUP(B937,'2-Kosten per locatie'!$A$13:$D$36,4,FALSE)</f>
        <v>0</v>
      </c>
      <c r="P937" s="82" t="str">
        <f>VLOOKUP(H937,'3-Productie normen'!A:T,20,FALSE)</f>
        <v>S</v>
      </c>
      <c r="Q937" s="447" t="s">
        <v>997</v>
      </c>
      <c r="S937" s="356">
        <f t="shared" si="77"/>
        <v>2331.6</v>
      </c>
    </row>
    <row r="938" spans="1:19" ht="14.1" customHeight="1">
      <c r="A938" s="72">
        <f t="shared" si="78"/>
        <v>938</v>
      </c>
      <c r="B938" s="50" t="s">
        <v>817</v>
      </c>
      <c r="C938" s="50" t="s">
        <v>836</v>
      </c>
      <c r="D938" s="427" t="s">
        <v>1033</v>
      </c>
      <c r="E938" s="426" t="s">
        <v>612</v>
      </c>
      <c r="F938" s="349" t="s">
        <v>230</v>
      </c>
      <c r="G938" s="86" t="s">
        <v>201</v>
      </c>
      <c r="H938" s="432" t="s">
        <v>198</v>
      </c>
      <c r="I938" s="86" t="s">
        <v>91</v>
      </c>
      <c r="J938" s="343">
        <v>89.66</v>
      </c>
      <c r="K938" s="351">
        <f t="shared" si="76"/>
        <v>200</v>
      </c>
      <c r="L938" s="484">
        <v>200</v>
      </c>
      <c r="M938" s="448" t="str">
        <f>IF(L938="nio","",VLOOKUP(L938,'3-Productie normen'!$B$31:$H$45,3,FALSE))</f>
        <v>5 x per week (40 weken)</v>
      </c>
      <c r="N938" s="353" t="e">
        <f t="shared" si="79"/>
        <v>#DIV/0!</v>
      </c>
      <c r="O938" s="354">
        <f>IF(L938="nio",0,IF(L938&gt;0,VLOOKUP(H938,'3-Productie normen'!A:P,VLOOKUP(L938,'3-Productie normen'!$B$31:$C$45,2,FALSE),FALSE)))/VLOOKUP(B938,'2-Kosten per locatie'!$A$13:$D$36,4,FALSE)</f>
        <v>0</v>
      </c>
      <c r="P938" s="82" t="str">
        <f>VLOOKUP(H938,'3-Productie normen'!A:T,20,FALSE)</f>
        <v>V</v>
      </c>
      <c r="Q938" s="447" t="s">
        <v>792</v>
      </c>
      <c r="S938" s="356">
        <f t="shared" si="77"/>
        <v>17932</v>
      </c>
    </row>
    <row r="939" spans="1:19" ht="14.1" customHeight="1">
      <c r="A939" s="72">
        <f t="shared" si="78"/>
        <v>939</v>
      </c>
      <c r="B939" s="50" t="s">
        <v>817</v>
      </c>
      <c r="C939" s="50" t="s">
        <v>836</v>
      </c>
      <c r="D939" s="427" t="s">
        <v>1033</v>
      </c>
      <c r="E939" s="426" t="s">
        <v>612</v>
      </c>
      <c r="F939" s="349" t="s">
        <v>233</v>
      </c>
      <c r="G939" s="86" t="s">
        <v>298</v>
      </c>
      <c r="H939" s="65" t="s">
        <v>241</v>
      </c>
      <c r="I939" s="86" t="s">
        <v>780</v>
      </c>
      <c r="J939" s="343">
        <v>59.88</v>
      </c>
      <c r="K939" s="351">
        <f t="shared" si="76"/>
        <v>201</v>
      </c>
      <c r="L939" s="484">
        <v>201</v>
      </c>
      <c r="M939" s="448" t="str">
        <f>IF(L939="nio","",VLOOKUP(L939,'3-Productie normen'!$B$31:$H$45,3,FALSE))</f>
        <v>5 x per week (40 weken + 1 Zomer refreshbeurt)</v>
      </c>
      <c r="N939" s="353" t="e">
        <f t="shared" si="79"/>
        <v>#DIV/0!</v>
      </c>
      <c r="O939" s="354">
        <f>IF(L939="nio",0,IF(L939&gt;0,VLOOKUP(H939,'3-Productie normen'!A:P,VLOOKUP(L939,'3-Productie normen'!$B$31:$C$45,2,FALSE),FALSE)))/VLOOKUP(B939,'2-Kosten per locatie'!$A$13:$D$36,4,FALSE)</f>
        <v>0</v>
      </c>
      <c r="P939" s="82" t="str">
        <f>VLOOKUP(H939,'3-Productie normen'!A:T,20,FALSE)</f>
        <v>L</v>
      </c>
      <c r="Q939" s="447" t="s">
        <v>880</v>
      </c>
      <c r="S939" s="356">
        <f t="shared" si="77"/>
        <v>12035.880000000001</v>
      </c>
    </row>
    <row r="940" spans="1:19" ht="14.1" customHeight="1">
      <c r="A940" s="72">
        <f t="shared" si="78"/>
        <v>940</v>
      </c>
      <c r="B940" s="50" t="s">
        <v>817</v>
      </c>
      <c r="C940" s="50" t="s">
        <v>836</v>
      </c>
      <c r="D940" s="427" t="s">
        <v>1033</v>
      </c>
      <c r="E940" s="426" t="s">
        <v>612</v>
      </c>
      <c r="F940" s="349" t="s">
        <v>234</v>
      </c>
      <c r="G940" s="86" t="s">
        <v>199</v>
      </c>
      <c r="H940" s="432" t="s">
        <v>198</v>
      </c>
      <c r="I940" s="86" t="s">
        <v>779</v>
      </c>
      <c r="J940" s="343">
        <v>11.5</v>
      </c>
      <c r="K940" s="351">
        <f t="shared" si="76"/>
        <v>200</v>
      </c>
      <c r="L940" s="484">
        <v>200</v>
      </c>
      <c r="M940" s="448" t="str">
        <f>IF(L940="nio","",VLOOKUP(L940,'3-Productie normen'!$B$31:$H$45,3,FALSE))</f>
        <v>5 x per week (40 weken)</v>
      </c>
      <c r="N940" s="353" t="e">
        <f t="shared" si="79"/>
        <v>#DIV/0!</v>
      </c>
      <c r="O940" s="354">
        <f>IF(L940="nio",0,IF(L940&gt;0,VLOOKUP(H940,'3-Productie normen'!A:P,VLOOKUP(L940,'3-Productie normen'!$B$31:$C$45,2,FALSE),FALSE)))/VLOOKUP(B940,'2-Kosten per locatie'!$A$13:$D$36,4,FALSE)</f>
        <v>0</v>
      </c>
      <c r="P940" s="82" t="str">
        <f>VLOOKUP(H940,'3-Productie normen'!A:T,20,FALSE)</f>
        <v>V</v>
      </c>
      <c r="Q940" s="447" t="s">
        <v>906</v>
      </c>
      <c r="S940" s="356">
        <f t="shared" si="77"/>
        <v>2300</v>
      </c>
    </row>
    <row r="941" spans="1:19" ht="14.1" customHeight="1">
      <c r="A941" s="72">
        <f t="shared" si="78"/>
        <v>941</v>
      </c>
      <c r="B941" s="50" t="s">
        <v>817</v>
      </c>
      <c r="C941" s="50" t="s">
        <v>836</v>
      </c>
      <c r="D941" s="427" t="s">
        <v>1033</v>
      </c>
      <c r="E941" s="426" t="s">
        <v>612</v>
      </c>
      <c r="F941" s="349" t="s">
        <v>234</v>
      </c>
      <c r="G941" s="86" t="s">
        <v>199</v>
      </c>
      <c r="H941" s="432" t="s">
        <v>198</v>
      </c>
      <c r="I941" s="86" t="s">
        <v>796</v>
      </c>
      <c r="J941" s="343">
        <v>23.2</v>
      </c>
      <c r="K941" s="351">
        <f t="shared" si="76"/>
        <v>200</v>
      </c>
      <c r="L941" s="484">
        <v>200</v>
      </c>
      <c r="M941" s="448" t="str">
        <f>IF(L941="nio","",VLOOKUP(L941,'3-Productie normen'!$B$31:$H$45,3,FALSE))</f>
        <v>5 x per week (40 weken)</v>
      </c>
      <c r="N941" s="353" t="e">
        <f t="shared" si="79"/>
        <v>#DIV/0!</v>
      </c>
      <c r="O941" s="354">
        <f>IF(L941="nio",0,IF(L941&gt;0,VLOOKUP(H941,'3-Productie normen'!A:P,VLOOKUP(L941,'3-Productie normen'!$B$31:$C$45,2,FALSE),FALSE)))/VLOOKUP(B941,'2-Kosten per locatie'!$A$13:$D$36,4,FALSE)</f>
        <v>0</v>
      </c>
      <c r="P941" s="82" t="str">
        <f>VLOOKUP(H941,'3-Productie normen'!A:T,20,FALSE)</f>
        <v>V</v>
      </c>
      <c r="Q941" s="447" t="s">
        <v>792</v>
      </c>
      <c r="S941" s="356">
        <f t="shared" si="77"/>
        <v>4640</v>
      </c>
    </row>
    <row r="942" spans="1:19" ht="14.1" customHeight="1">
      <c r="A942" s="72">
        <f t="shared" si="78"/>
        <v>942</v>
      </c>
      <c r="B942" s="50" t="s">
        <v>817</v>
      </c>
      <c r="C942" s="50" t="s">
        <v>836</v>
      </c>
      <c r="D942" s="427" t="s">
        <v>1033</v>
      </c>
      <c r="E942" s="426" t="s">
        <v>612</v>
      </c>
      <c r="F942" s="349" t="s">
        <v>236</v>
      </c>
      <c r="G942" s="86" t="s">
        <v>281</v>
      </c>
      <c r="H942" s="86" t="s">
        <v>203</v>
      </c>
      <c r="I942" s="86" t="s">
        <v>780</v>
      </c>
      <c r="J942" s="343">
        <v>15.43</v>
      </c>
      <c r="K942" s="351">
        <f t="shared" si="76"/>
        <v>120</v>
      </c>
      <c r="L942" s="484">
        <v>120</v>
      </c>
      <c r="M942" s="448" t="str">
        <f>IF(L942="nio","",VLOOKUP(L942,'3-Productie normen'!$B$31:$H$45,3,FALSE))</f>
        <v>3 x per week (40 weken)</v>
      </c>
      <c r="N942" s="353" t="e">
        <f t="shared" si="79"/>
        <v>#DIV/0!</v>
      </c>
      <c r="O942" s="354">
        <f>IF(L942="nio",0,IF(L942&gt;0,VLOOKUP(H942,'3-Productie normen'!A:P,VLOOKUP(L942,'3-Productie normen'!$B$31:$C$45,2,FALSE),FALSE)))/VLOOKUP(B942,'2-Kosten per locatie'!$A$13:$D$36,4,FALSE)</f>
        <v>0</v>
      </c>
      <c r="P942" s="82" t="str">
        <f>VLOOKUP(H942,'3-Productie normen'!A:T,20,FALSE)</f>
        <v>B</v>
      </c>
      <c r="Q942" s="447" t="s">
        <v>792</v>
      </c>
      <c r="S942" s="356">
        <f t="shared" si="77"/>
        <v>1851.6</v>
      </c>
    </row>
    <row r="943" spans="1:19" ht="14.1" customHeight="1">
      <c r="A943" s="72">
        <f t="shared" si="78"/>
        <v>943</v>
      </c>
      <c r="B943" s="50" t="s">
        <v>817</v>
      </c>
      <c r="C943" s="50" t="s">
        <v>836</v>
      </c>
      <c r="D943" s="427" t="s">
        <v>1033</v>
      </c>
      <c r="E943" s="426" t="s">
        <v>612</v>
      </c>
      <c r="F943" s="349" t="s">
        <v>237</v>
      </c>
      <c r="G943" s="86" t="s">
        <v>226</v>
      </c>
      <c r="H943" s="86" t="s">
        <v>16</v>
      </c>
      <c r="I943" s="86" t="s">
        <v>785</v>
      </c>
      <c r="J943" s="343">
        <v>11.07</v>
      </c>
      <c r="K943" s="351">
        <f t="shared" ref="K943:K1006" si="80">L943</f>
        <v>201</v>
      </c>
      <c r="L943" s="484">
        <v>201</v>
      </c>
      <c r="M943" s="448" t="str">
        <f>IF(L943="nio","",VLOOKUP(L943,'3-Productie normen'!$B$31:$H$45,3,FALSE))</f>
        <v>5 x per week (40 weken + 1 Zomer refreshbeurt)</v>
      </c>
      <c r="N943" s="353" t="e">
        <f t="shared" si="79"/>
        <v>#DIV/0!</v>
      </c>
      <c r="O943" s="354">
        <f>IF(L943="nio",0,IF(L943&gt;0,VLOOKUP(H943,'3-Productie normen'!A:P,VLOOKUP(L943,'3-Productie normen'!$B$31:$C$45,2,FALSE),FALSE)))/VLOOKUP(B943,'2-Kosten per locatie'!$A$13:$D$36,4,FALSE)</f>
        <v>0</v>
      </c>
      <c r="P943" s="82" t="str">
        <f>VLOOKUP(H943,'3-Productie normen'!A:T,20,FALSE)</f>
        <v>S</v>
      </c>
      <c r="Q943" s="447" t="s">
        <v>912</v>
      </c>
      <c r="S943" s="356">
        <f t="shared" si="77"/>
        <v>2225.0700000000002</v>
      </c>
    </row>
    <row r="944" spans="1:19" ht="14.1" customHeight="1">
      <c r="A944" s="72">
        <f t="shared" si="78"/>
        <v>944</v>
      </c>
      <c r="B944" s="50" t="s">
        <v>817</v>
      </c>
      <c r="C944" s="50" t="s">
        <v>836</v>
      </c>
      <c r="D944" s="427" t="s">
        <v>1033</v>
      </c>
      <c r="E944" s="426" t="s">
        <v>612</v>
      </c>
      <c r="F944" s="349" t="s">
        <v>240</v>
      </c>
      <c r="G944" s="86" t="s">
        <v>201</v>
      </c>
      <c r="H944" s="432" t="s">
        <v>198</v>
      </c>
      <c r="I944" s="86" t="s">
        <v>780</v>
      </c>
      <c r="J944" s="343">
        <v>66.760000000000005</v>
      </c>
      <c r="K944" s="351">
        <f t="shared" si="80"/>
        <v>200</v>
      </c>
      <c r="L944" s="484">
        <v>200</v>
      </c>
      <c r="M944" s="448" t="str">
        <f>IF(L944="nio","",VLOOKUP(L944,'3-Productie normen'!$B$31:$H$45,3,FALSE))</f>
        <v>5 x per week (40 weken)</v>
      </c>
      <c r="N944" s="353" t="e">
        <f t="shared" si="79"/>
        <v>#DIV/0!</v>
      </c>
      <c r="O944" s="354">
        <f>IF(L944="nio",0,IF(L944&gt;0,VLOOKUP(H944,'3-Productie normen'!A:P,VLOOKUP(L944,'3-Productie normen'!$B$31:$C$45,2,FALSE),FALSE)))/VLOOKUP(B944,'2-Kosten per locatie'!$A$13:$D$36,4,FALSE)</f>
        <v>0</v>
      </c>
      <c r="P944" s="82" t="str">
        <f>VLOOKUP(H944,'3-Productie normen'!A:T,20,FALSE)</f>
        <v>V</v>
      </c>
      <c r="Q944" s="447" t="s">
        <v>792</v>
      </c>
      <c r="S944" s="356">
        <f t="shared" si="77"/>
        <v>13352.000000000002</v>
      </c>
    </row>
    <row r="945" spans="1:19" ht="14.1" customHeight="1">
      <c r="A945" s="72">
        <f t="shared" si="78"/>
        <v>945</v>
      </c>
      <c r="B945" s="50" t="s">
        <v>817</v>
      </c>
      <c r="C945" s="50" t="s">
        <v>836</v>
      </c>
      <c r="D945" s="427" t="s">
        <v>1033</v>
      </c>
      <c r="E945" s="426" t="s">
        <v>612</v>
      </c>
      <c r="F945" s="349" t="s">
        <v>243</v>
      </c>
      <c r="G945" s="86" t="s">
        <v>199</v>
      </c>
      <c r="H945" s="432" t="s">
        <v>198</v>
      </c>
      <c r="I945" s="86" t="s">
        <v>779</v>
      </c>
      <c r="J945" s="343">
        <v>3.35</v>
      </c>
      <c r="K945" s="351">
        <f t="shared" si="80"/>
        <v>200</v>
      </c>
      <c r="L945" s="484">
        <v>200</v>
      </c>
      <c r="M945" s="448" t="str">
        <f>IF(L945="nio","",VLOOKUP(L945,'3-Productie normen'!$B$31:$H$45,3,FALSE))</f>
        <v>5 x per week (40 weken)</v>
      </c>
      <c r="N945" s="353" t="e">
        <f t="shared" si="79"/>
        <v>#DIV/0!</v>
      </c>
      <c r="O945" s="354">
        <f>IF(L945="nio",0,IF(L945&gt;0,VLOOKUP(H945,'3-Productie normen'!A:P,VLOOKUP(L945,'3-Productie normen'!$B$31:$C$45,2,FALSE),FALSE)))/VLOOKUP(B945,'2-Kosten per locatie'!$A$13:$D$36,4,FALSE)</f>
        <v>0</v>
      </c>
      <c r="P945" s="82" t="str">
        <f>VLOOKUP(H945,'3-Productie normen'!A:T,20,FALSE)</f>
        <v>V</v>
      </c>
      <c r="Q945" s="447" t="s">
        <v>873</v>
      </c>
      <c r="S945" s="356">
        <f t="shared" si="77"/>
        <v>670</v>
      </c>
    </row>
    <row r="946" spans="1:19" ht="14.1" customHeight="1">
      <c r="A946" s="72">
        <f t="shared" si="78"/>
        <v>946</v>
      </c>
      <c r="B946" s="50" t="s">
        <v>817</v>
      </c>
      <c r="C946" s="50" t="s">
        <v>836</v>
      </c>
      <c r="D946" s="427" t="s">
        <v>1033</v>
      </c>
      <c r="E946" s="426" t="s">
        <v>612</v>
      </c>
      <c r="F946" s="349" t="s">
        <v>244</v>
      </c>
      <c r="G946" s="86" t="s">
        <v>398</v>
      </c>
      <c r="H946" s="50" t="s">
        <v>203</v>
      </c>
      <c r="I946" s="86" t="s">
        <v>780</v>
      </c>
      <c r="J946" s="343">
        <v>7.46</v>
      </c>
      <c r="K946" s="351">
        <f t="shared" si="80"/>
        <v>120</v>
      </c>
      <c r="L946" s="484">
        <v>120</v>
      </c>
      <c r="M946" s="448" t="str">
        <f>IF(L946="nio","",VLOOKUP(L946,'3-Productie normen'!$B$31:$H$45,3,FALSE))</f>
        <v>3 x per week (40 weken)</v>
      </c>
      <c r="N946" s="353" t="e">
        <f t="shared" si="79"/>
        <v>#DIV/0!</v>
      </c>
      <c r="O946" s="354">
        <f>IF(L946="nio",0,IF(L946&gt;0,VLOOKUP(H946,'3-Productie normen'!A:P,VLOOKUP(L946,'3-Productie normen'!$B$31:$C$45,2,FALSE),FALSE)))/VLOOKUP(B946,'2-Kosten per locatie'!$A$13:$D$36,4,FALSE)</f>
        <v>0</v>
      </c>
      <c r="P946" s="82" t="str">
        <f>VLOOKUP(H946,'3-Productie normen'!A:T,20,FALSE)</f>
        <v>B</v>
      </c>
      <c r="Q946" s="447" t="s">
        <v>792</v>
      </c>
      <c r="S946" s="356">
        <f t="shared" si="77"/>
        <v>895.2</v>
      </c>
    </row>
    <row r="947" spans="1:19" ht="14.1" customHeight="1">
      <c r="A947" s="72">
        <f t="shared" si="78"/>
        <v>947</v>
      </c>
      <c r="B947" s="50" t="s">
        <v>817</v>
      </c>
      <c r="C947" s="50" t="s">
        <v>836</v>
      </c>
      <c r="D947" s="427" t="s">
        <v>1033</v>
      </c>
      <c r="E947" s="426" t="s">
        <v>612</v>
      </c>
      <c r="F947" s="349" t="s">
        <v>245</v>
      </c>
      <c r="G947" s="86" t="s">
        <v>209</v>
      </c>
      <c r="H947" s="63" t="s">
        <v>1040</v>
      </c>
      <c r="I947" s="86" t="s">
        <v>780</v>
      </c>
      <c r="J947" s="343">
        <v>6.69</v>
      </c>
      <c r="K947" s="351">
        <f t="shared" si="80"/>
        <v>12</v>
      </c>
      <c r="L947" s="484">
        <v>12</v>
      </c>
      <c r="M947" s="448" t="str">
        <f>IF(L947="nio","",VLOOKUP(L947,'3-Productie normen'!$B$31:$H$45,3,FALSE))</f>
        <v>1 x per maand</v>
      </c>
      <c r="N947" s="353" t="e">
        <f t="shared" si="79"/>
        <v>#DIV/0!</v>
      </c>
      <c r="O947" s="354">
        <f>IF(L947="nio",0,IF(L947&gt;0,VLOOKUP(H947,'3-Productie normen'!A:P,VLOOKUP(L947,'3-Productie normen'!$B$31:$C$45,2,FALSE),FALSE)))/VLOOKUP(B947,'2-Kosten per locatie'!$A$13:$D$36,4,FALSE)</f>
        <v>0</v>
      </c>
      <c r="P947" s="82" t="str">
        <f>VLOOKUP(H947,'3-Productie normen'!A:T,20,FALSE)</f>
        <v>V</v>
      </c>
      <c r="Q947" s="447" t="s">
        <v>792</v>
      </c>
      <c r="S947" s="356">
        <f t="shared" si="77"/>
        <v>80.28</v>
      </c>
    </row>
    <row r="948" spans="1:19" ht="14.1" customHeight="1">
      <c r="A948" s="72">
        <f t="shared" si="78"/>
        <v>948</v>
      </c>
      <c r="B948" s="50" t="s">
        <v>817</v>
      </c>
      <c r="C948" s="50" t="s">
        <v>836</v>
      </c>
      <c r="D948" s="427" t="s">
        <v>1033</v>
      </c>
      <c r="E948" s="426" t="s">
        <v>612</v>
      </c>
      <c r="F948" s="349" t="s">
        <v>330</v>
      </c>
      <c r="G948" s="86" t="s">
        <v>246</v>
      </c>
      <c r="H948" s="81" t="s">
        <v>1039</v>
      </c>
      <c r="I948" s="86" t="s">
        <v>783</v>
      </c>
      <c r="J948" s="343">
        <v>91.84</v>
      </c>
      <c r="K948" s="351">
        <f t="shared" si="80"/>
        <v>200</v>
      </c>
      <c r="L948" s="484">
        <v>200</v>
      </c>
      <c r="M948" s="448" t="str">
        <f>IF(L948="nio","",VLOOKUP(L948,'3-Productie normen'!$B$31:$H$45,3,FALSE))</f>
        <v>5 x per week (40 weken)</v>
      </c>
      <c r="N948" s="353" t="e">
        <f t="shared" si="79"/>
        <v>#DIV/0!</v>
      </c>
      <c r="O948" s="354">
        <f>IF(L948="nio",0,IF(L948&gt;0,VLOOKUP(H948,'3-Productie normen'!A:P,VLOOKUP(L948,'3-Productie normen'!$B$31:$C$45,2,FALSE),FALSE)))/VLOOKUP(B948,'2-Kosten per locatie'!$A$13:$D$36,4,FALSE)</f>
        <v>0</v>
      </c>
      <c r="P948" s="82" t="str">
        <f>VLOOKUP(H948,'3-Productie normen'!A:T,20,FALSE)</f>
        <v>V</v>
      </c>
      <c r="Q948" s="447" t="s">
        <v>792</v>
      </c>
      <c r="S948" s="356">
        <f t="shared" si="77"/>
        <v>18368</v>
      </c>
    </row>
    <row r="949" spans="1:19" ht="14.1" customHeight="1">
      <c r="A949" s="72">
        <f t="shared" si="78"/>
        <v>949</v>
      </c>
      <c r="B949" s="50" t="s">
        <v>817</v>
      </c>
      <c r="C949" s="50" t="s">
        <v>836</v>
      </c>
      <c r="D949" s="427" t="s">
        <v>1033</v>
      </c>
      <c r="E949" s="426" t="s">
        <v>612</v>
      </c>
      <c r="F949" s="349" t="s">
        <v>331</v>
      </c>
      <c r="G949" s="86" t="s">
        <v>212</v>
      </c>
      <c r="H949" s="65" t="s">
        <v>1053</v>
      </c>
      <c r="I949" s="86" t="s">
        <v>786</v>
      </c>
      <c r="J949" s="343">
        <v>8.36</v>
      </c>
      <c r="K949" s="351" t="str">
        <f t="shared" si="80"/>
        <v>nio</v>
      </c>
      <c r="L949" s="484" t="s">
        <v>804</v>
      </c>
      <c r="M949" s="448" t="str">
        <f>IF(L949="nio","",VLOOKUP(L949,'3-Productie normen'!$B$31:$H$45,3,FALSE))</f>
        <v/>
      </c>
      <c r="N949" s="353">
        <f t="shared" si="79"/>
        <v>0</v>
      </c>
      <c r="O949" s="354">
        <f>IF(L949="nio",0,IF(L949&gt;0,VLOOKUP(H949,'3-Productie normen'!A:P,VLOOKUP(L949,'3-Productie normen'!$B$31:$C$45,2,FALSE),FALSE)))/VLOOKUP(B949,'2-Kosten per locatie'!$A$13:$D$36,4,FALSE)</f>
        <v>0</v>
      </c>
      <c r="P949" s="82">
        <f>VLOOKUP(H949,'3-Productie normen'!A:T,20,FALSE)</f>
        <v>0</v>
      </c>
      <c r="Q949" s="447" t="s">
        <v>792</v>
      </c>
      <c r="S949" s="356">
        <f t="shared" si="77"/>
        <v>0</v>
      </c>
    </row>
    <row r="950" spans="1:19" ht="14.1" customHeight="1">
      <c r="A950" s="72">
        <f t="shared" si="78"/>
        <v>950</v>
      </c>
      <c r="B950" s="50" t="s">
        <v>817</v>
      </c>
      <c r="C950" s="50" t="s">
        <v>836</v>
      </c>
      <c r="D950" s="427" t="s">
        <v>1033</v>
      </c>
      <c r="E950" s="426" t="s">
        <v>612</v>
      </c>
      <c r="F950" s="349" t="s">
        <v>332</v>
      </c>
      <c r="G950" s="86" t="s">
        <v>212</v>
      </c>
      <c r="H950" s="65" t="s">
        <v>1053</v>
      </c>
      <c r="I950" s="86" t="s">
        <v>786</v>
      </c>
      <c r="J950" s="343">
        <v>6.7</v>
      </c>
      <c r="K950" s="351" t="str">
        <f t="shared" si="80"/>
        <v>nio</v>
      </c>
      <c r="L950" s="484" t="s">
        <v>804</v>
      </c>
      <c r="M950" s="448" t="str">
        <f>IF(L950="nio","",VLOOKUP(L950,'3-Productie normen'!$B$31:$H$45,3,FALSE))</f>
        <v/>
      </c>
      <c r="N950" s="353">
        <f t="shared" si="79"/>
        <v>0</v>
      </c>
      <c r="O950" s="354">
        <f>IF(L950="nio",0,IF(L950&gt;0,VLOOKUP(H950,'3-Productie normen'!A:P,VLOOKUP(L950,'3-Productie normen'!$B$31:$C$45,2,FALSE),FALSE)))/VLOOKUP(B950,'2-Kosten per locatie'!$A$13:$D$36,4,FALSE)</f>
        <v>0</v>
      </c>
      <c r="P950" s="82">
        <f>VLOOKUP(H950,'3-Productie normen'!A:T,20,FALSE)</f>
        <v>0</v>
      </c>
      <c r="Q950" s="447" t="s">
        <v>792</v>
      </c>
      <c r="S950" s="356">
        <f t="shared" si="77"/>
        <v>0</v>
      </c>
    </row>
    <row r="951" spans="1:19" ht="14.1" customHeight="1">
      <c r="A951" s="72">
        <f t="shared" si="78"/>
        <v>951</v>
      </c>
      <c r="B951" s="50" t="s">
        <v>817</v>
      </c>
      <c r="C951" s="50" t="s">
        <v>836</v>
      </c>
      <c r="D951" s="427" t="s">
        <v>1033</v>
      </c>
      <c r="E951" s="426" t="s">
        <v>612</v>
      </c>
      <c r="F951" s="349" t="s">
        <v>333</v>
      </c>
      <c r="G951" s="86" t="s">
        <v>209</v>
      </c>
      <c r="H951" s="63" t="s">
        <v>1040</v>
      </c>
      <c r="I951" s="86" t="s">
        <v>92</v>
      </c>
      <c r="J951" s="343">
        <v>17.23</v>
      </c>
      <c r="K951" s="351">
        <f t="shared" si="80"/>
        <v>12</v>
      </c>
      <c r="L951" s="484">
        <v>12</v>
      </c>
      <c r="M951" s="448" t="str">
        <f>IF(L951="nio","",VLOOKUP(L951,'3-Productie normen'!$B$31:$H$45,3,FALSE))</f>
        <v>1 x per maand</v>
      </c>
      <c r="N951" s="353" t="e">
        <f t="shared" si="79"/>
        <v>#DIV/0!</v>
      </c>
      <c r="O951" s="354">
        <f>IF(L951="nio",0,IF(L951&gt;0,VLOOKUP(H951,'3-Productie normen'!A:P,VLOOKUP(L951,'3-Productie normen'!$B$31:$C$45,2,FALSE),FALSE)))/VLOOKUP(B951,'2-Kosten per locatie'!$A$13:$D$36,4,FALSE)</f>
        <v>0</v>
      </c>
      <c r="P951" s="82" t="str">
        <f>VLOOKUP(H951,'3-Productie normen'!A:T,20,FALSE)</f>
        <v>V</v>
      </c>
      <c r="Q951" s="447" t="s">
        <v>792</v>
      </c>
      <c r="S951" s="356">
        <f t="shared" si="77"/>
        <v>206.76</v>
      </c>
    </row>
    <row r="952" spans="1:19" ht="14.1" customHeight="1">
      <c r="A952" s="72">
        <f t="shared" si="78"/>
        <v>952</v>
      </c>
      <c r="B952" s="50" t="s">
        <v>817</v>
      </c>
      <c r="C952" s="50" t="s">
        <v>836</v>
      </c>
      <c r="D952" s="427" t="s">
        <v>1033</v>
      </c>
      <c r="E952" s="426" t="s">
        <v>612</v>
      </c>
      <c r="F952" s="349" t="s">
        <v>334</v>
      </c>
      <c r="G952" s="86" t="s">
        <v>604</v>
      </c>
      <c r="H952" s="65" t="s">
        <v>1053</v>
      </c>
      <c r="I952" s="86" t="s">
        <v>786</v>
      </c>
      <c r="J952" s="343">
        <v>18.95</v>
      </c>
      <c r="K952" s="351" t="str">
        <f t="shared" si="80"/>
        <v>nio</v>
      </c>
      <c r="L952" s="484" t="s">
        <v>804</v>
      </c>
      <c r="M952" s="448" t="str">
        <f>IF(L952="nio","",VLOOKUP(L952,'3-Productie normen'!$B$31:$H$45,3,FALSE))</f>
        <v/>
      </c>
      <c r="N952" s="353">
        <f t="shared" si="79"/>
        <v>0</v>
      </c>
      <c r="O952" s="354">
        <f>IF(L952="nio",0,IF(L952&gt;0,VLOOKUP(H952,'3-Productie normen'!A:P,VLOOKUP(L952,'3-Productie normen'!$B$31:$C$45,2,FALSE),FALSE)))/VLOOKUP(B952,'2-Kosten per locatie'!$A$13:$D$36,4,FALSE)</f>
        <v>0</v>
      </c>
      <c r="P952" s="82">
        <f>VLOOKUP(H952,'3-Productie normen'!A:T,20,FALSE)</f>
        <v>0</v>
      </c>
      <c r="Q952" s="447" t="s">
        <v>792</v>
      </c>
      <c r="S952" s="356">
        <f t="shared" si="77"/>
        <v>0</v>
      </c>
    </row>
    <row r="953" spans="1:19" ht="14.1" customHeight="1">
      <c r="A953" s="72">
        <f t="shared" si="78"/>
        <v>953</v>
      </c>
      <c r="B953" s="50" t="s">
        <v>817</v>
      </c>
      <c r="C953" s="50" t="s">
        <v>836</v>
      </c>
      <c r="D953" s="427" t="s">
        <v>1033</v>
      </c>
      <c r="E953" s="426" t="s">
        <v>612</v>
      </c>
      <c r="F953" s="349" t="s">
        <v>336</v>
      </c>
      <c r="G953" s="86" t="s">
        <v>206</v>
      </c>
      <c r="H953" s="65" t="s">
        <v>1053</v>
      </c>
      <c r="I953" s="86" t="s">
        <v>92</v>
      </c>
      <c r="J953" s="343">
        <v>0.33000001311302202</v>
      </c>
      <c r="K953" s="351" t="str">
        <f t="shared" si="80"/>
        <v>nio</v>
      </c>
      <c r="L953" s="484" t="s">
        <v>804</v>
      </c>
      <c r="M953" s="448" t="str">
        <f>IF(L953="nio","",VLOOKUP(L953,'3-Productie normen'!$B$31:$H$45,3,FALSE))</f>
        <v/>
      </c>
      <c r="N953" s="353">
        <f t="shared" si="79"/>
        <v>0</v>
      </c>
      <c r="O953" s="354">
        <f>IF(L953="nio",0,IF(L953&gt;0,VLOOKUP(H953,'3-Productie normen'!A:P,VLOOKUP(L953,'3-Productie normen'!$B$31:$C$45,2,FALSE),FALSE)))/VLOOKUP(B953,'2-Kosten per locatie'!$A$13:$D$36,4,FALSE)</f>
        <v>0</v>
      </c>
      <c r="P953" s="82">
        <f>VLOOKUP(H953,'3-Productie normen'!A:T,20,FALSE)</f>
        <v>0</v>
      </c>
      <c r="Q953" s="447" t="s">
        <v>848</v>
      </c>
      <c r="S953" s="356">
        <f t="shared" si="77"/>
        <v>0</v>
      </c>
    </row>
    <row r="954" spans="1:19" ht="14.1" customHeight="1">
      <c r="A954" s="72">
        <f t="shared" si="78"/>
        <v>954</v>
      </c>
      <c r="B954" s="50" t="s">
        <v>817</v>
      </c>
      <c r="C954" s="50" t="s">
        <v>836</v>
      </c>
      <c r="D954" s="427" t="s">
        <v>1033</v>
      </c>
      <c r="E954" s="426" t="s">
        <v>612</v>
      </c>
      <c r="F954" s="349" t="s">
        <v>337</v>
      </c>
      <c r="G954" s="86" t="s">
        <v>242</v>
      </c>
      <c r="H954" s="86" t="s">
        <v>241</v>
      </c>
      <c r="I954" s="86" t="s">
        <v>780</v>
      </c>
      <c r="J954" s="343">
        <v>65.8</v>
      </c>
      <c r="K954" s="351">
        <f t="shared" si="80"/>
        <v>201</v>
      </c>
      <c r="L954" s="484">
        <v>201</v>
      </c>
      <c r="M954" s="448" t="str">
        <f>IF(L954="nio","",VLOOKUP(L954,'3-Productie normen'!$B$31:$H$45,3,FALSE))</f>
        <v>5 x per week (40 weken + 1 Zomer refreshbeurt)</v>
      </c>
      <c r="N954" s="353" t="e">
        <f t="shared" si="79"/>
        <v>#DIV/0!</v>
      </c>
      <c r="O954" s="354">
        <f>IF(L954="nio",0,IF(L954&gt;0,VLOOKUP(H954,'3-Productie normen'!A:P,VLOOKUP(L954,'3-Productie normen'!$B$31:$C$45,2,FALSE),FALSE)))/VLOOKUP(B954,'2-Kosten per locatie'!$A$13:$D$36,4,FALSE)</f>
        <v>0</v>
      </c>
      <c r="P954" s="82" t="str">
        <f>VLOOKUP(H954,'3-Productie normen'!A:T,20,FALSE)</f>
        <v>L</v>
      </c>
      <c r="Q954" s="447" t="s">
        <v>874</v>
      </c>
      <c r="S954" s="356">
        <f t="shared" si="77"/>
        <v>13225.8</v>
      </c>
    </row>
    <row r="955" spans="1:19" ht="14.1" customHeight="1">
      <c r="A955" s="72">
        <f t="shared" si="78"/>
        <v>955</v>
      </c>
      <c r="B955" s="50" t="s">
        <v>817</v>
      </c>
      <c r="C955" s="50" t="s">
        <v>836</v>
      </c>
      <c r="D955" s="427" t="s">
        <v>1033</v>
      </c>
      <c r="E955" s="426" t="s">
        <v>612</v>
      </c>
      <c r="F955" s="349" t="s">
        <v>338</v>
      </c>
      <c r="G955" s="86" t="s">
        <v>242</v>
      </c>
      <c r="H955" s="50" t="s">
        <v>241</v>
      </c>
      <c r="I955" s="86" t="s">
        <v>780</v>
      </c>
      <c r="J955" s="343">
        <v>65.8</v>
      </c>
      <c r="K955" s="351">
        <f t="shared" si="80"/>
        <v>201</v>
      </c>
      <c r="L955" s="484">
        <v>201</v>
      </c>
      <c r="M955" s="448" t="str">
        <f>IF(L955="nio","",VLOOKUP(L955,'3-Productie normen'!$B$31:$H$45,3,FALSE))</f>
        <v>5 x per week (40 weken + 1 Zomer refreshbeurt)</v>
      </c>
      <c r="N955" s="353" t="e">
        <f t="shared" si="79"/>
        <v>#DIV/0!</v>
      </c>
      <c r="O955" s="354">
        <f>IF(L955="nio",0,IF(L955&gt;0,VLOOKUP(H955,'3-Productie normen'!A:P,VLOOKUP(L955,'3-Productie normen'!$B$31:$C$45,2,FALSE),FALSE)))/VLOOKUP(B955,'2-Kosten per locatie'!$A$13:$D$36,4,FALSE)</f>
        <v>0</v>
      </c>
      <c r="P955" s="82" t="str">
        <f>VLOOKUP(H955,'3-Productie normen'!A:T,20,FALSE)</f>
        <v>L</v>
      </c>
      <c r="Q955" s="447" t="s">
        <v>874</v>
      </c>
      <c r="S955" s="356">
        <f t="shared" si="77"/>
        <v>13225.8</v>
      </c>
    </row>
    <row r="956" spans="1:19" ht="14.1" customHeight="1">
      <c r="A956" s="72">
        <f t="shared" si="78"/>
        <v>956</v>
      </c>
      <c r="B956" s="50" t="s">
        <v>817</v>
      </c>
      <c r="C956" s="50" t="s">
        <v>836</v>
      </c>
      <c r="D956" s="427" t="s">
        <v>1033</v>
      </c>
      <c r="E956" s="426" t="s">
        <v>612</v>
      </c>
      <c r="F956" s="349" t="s">
        <v>339</v>
      </c>
      <c r="G956" s="86" t="s">
        <v>209</v>
      </c>
      <c r="H956" s="63" t="s">
        <v>1040</v>
      </c>
      <c r="I956" s="86" t="s">
        <v>780</v>
      </c>
      <c r="J956" s="343">
        <v>3.3199999332428001</v>
      </c>
      <c r="K956" s="351">
        <f t="shared" si="80"/>
        <v>12</v>
      </c>
      <c r="L956" s="484">
        <v>12</v>
      </c>
      <c r="M956" s="448" t="str">
        <f>IF(L956="nio","",VLOOKUP(L956,'3-Productie normen'!$B$31:$H$45,3,FALSE))</f>
        <v>1 x per maand</v>
      </c>
      <c r="N956" s="353" t="e">
        <f t="shared" si="79"/>
        <v>#DIV/0!</v>
      </c>
      <c r="O956" s="354">
        <f>IF(L956="nio",0,IF(L956&gt;0,VLOOKUP(H956,'3-Productie normen'!A:P,VLOOKUP(L956,'3-Productie normen'!$B$31:$C$45,2,FALSE),FALSE)))/VLOOKUP(B956,'2-Kosten per locatie'!$A$13:$D$36,4,FALSE)</f>
        <v>0</v>
      </c>
      <c r="P956" s="82" t="str">
        <f>VLOOKUP(H956,'3-Productie normen'!A:T,20,FALSE)</f>
        <v>V</v>
      </c>
      <c r="Q956" s="447" t="s">
        <v>792</v>
      </c>
      <c r="S956" s="356">
        <f t="shared" si="77"/>
        <v>39.839999198913603</v>
      </c>
    </row>
    <row r="957" spans="1:19" ht="14.1" customHeight="1">
      <c r="A957" s="72">
        <f t="shared" si="78"/>
        <v>957</v>
      </c>
      <c r="B957" s="50" t="s">
        <v>817</v>
      </c>
      <c r="C957" s="50" t="s">
        <v>836</v>
      </c>
      <c r="D957" s="427" t="s">
        <v>1033</v>
      </c>
      <c r="E957" s="426" t="s">
        <v>612</v>
      </c>
      <c r="F957" s="349" t="s">
        <v>340</v>
      </c>
      <c r="G957" s="86" t="s">
        <v>279</v>
      </c>
      <c r="H957" s="65" t="s">
        <v>203</v>
      </c>
      <c r="I957" s="86" t="s">
        <v>780</v>
      </c>
      <c r="J957" s="343">
        <v>32.04</v>
      </c>
      <c r="K957" s="351">
        <f t="shared" si="80"/>
        <v>201</v>
      </c>
      <c r="L957" s="484">
        <v>201</v>
      </c>
      <c r="M957" s="448" t="str">
        <f>IF(L957="nio","",VLOOKUP(L957,'3-Productie normen'!$B$31:$H$45,3,FALSE))</f>
        <v>5 x per week (40 weken + 1 Zomer refreshbeurt)</v>
      </c>
      <c r="N957" s="353" t="e">
        <f t="shared" si="79"/>
        <v>#DIV/0!</v>
      </c>
      <c r="O957" s="354">
        <f>IF(L957="nio",0,IF(L957&gt;0,VLOOKUP(H957,'3-Productie normen'!A:P,VLOOKUP(L957,'3-Productie normen'!$B$31:$C$45,2,FALSE),FALSE)))/VLOOKUP(B957,'2-Kosten per locatie'!$A$13:$D$36,4,FALSE)</f>
        <v>0</v>
      </c>
      <c r="P957" s="82" t="str">
        <f>VLOOKUP(H957,'3-Productie normen'!A:T,20,FALSE)</f>
        <v>B</v>
      </c>
      <c r="Q957" s="447" t="s">
        <v>792</v>
      </c>
      <c r="S957" s="356">
        <f t="shared" si="77"/>
        <v>6440.04</v>
      </c>
    </row>
    <row r="958" spans="1:19" ht="14.1" customHeight="1">
      <c r="A958" s="72">
        <f t="shared" si="78"/>
        <v>958</v>
      </c>
      <c r="B958" s="50" t="s">
        <v>817</v>
      </c>
      <c r="C958" s="50" t="s">
        <v>836</v>
      </c>
      <c r="D958" s="427" t="s">
        <v>1034</v>
      </c>
      <c r="E958" s="426" t="s">
        <v>612</v>
      </c>
      <c r="F958" s="349" t="s">
        <v>691</v>
      </c>
      <c r="G958" s="86" t="s">
        <v>692</v>
      </c>
      <c r="H958" s="432" t="s">
        <v>198</v>
      </c>
      <c r="I958" s="86" t="s">
        <v>779</v>
      </c>
      <c r="J958" s="343">
        <v>4.96</v>
      </c>
      <c r="K958" s="351">
        <f t="shared" si="80"/>
        <v>255</v>
      </c>
      <c r="L958" s="484">
        <v>255</v>
      </c>
      <c r="M958" s="448" t="str">
        <f>IF(L958="nio","",VLOOKUP(L958,'3-Productie normen'!$B$31:$H$45,3,FALSE))</f>
        <v>5 x per week (52 weken)</v>
      </c>
      <c r="N958" s="353" t="e">
        <f t="shared" si="79"/>
        <v>#DIV/0!</v>
      </c>
      <c r="O958" s="354">
        <f>IF(L958="nio",0,IF(L958&gt;0,VLOOKUP(H958,'3-Productie normen'!A:P,VLOOKUP(L958,'3-Productie normen'!$B$31:$C$45,2,FALSE),FALSE)))/VLOOKUP(B958,'2-Kosten per locatie'!$A$13:$D$36,4,FALSE)</f>
        <v>0</v>
      </c>
      <c r="P958" s="82" t="str">
        <f>VLOOKUP(H958,'3-Productie normen'!A:T,20,FALSE)</f>
        <v>V</v>
      </c>
      <c r="Q958" s="447" t="s">
        <v>792</v>
      </c>
      <c r="S958" s="356">
        <f t="shared" si="77"/>
        <v>1264.8</v>
      </c>
    </row>
    <row r="959" spans="1:19" ht="14.1" customHeight="1">
      <c r="A959" s="72">
        <f t="shared" si="78"/>
        <v>959</v>
      </c>
      <c r="B959" s="50" t="s">
        <v>817</v>
      </c>
      <c r="C959" s="50" t="s">
        <v>836</v>
      </c>
      <c r="D959" s="427" t="s">
        <v>1034</v>
      </c>
      <c r="E959" s="426" t="s">
        <v>612</v>
      </c>
      <c r="F959" s="349" t="s">
        <v>693</v>
      </c>
      <c r="G959" s="86" t="s">
        <v>683</v>
      </c>
      <c r="H959" s="65" t="s">
        <v>1053</v>
      </c>
      <c r="I959" s="86" t="s">
        <v>780</v>
      </c>
      <c r="J959" s="343">
        <v>0.43</v>
      </c>
      <c r="K959" s="351" t="str">
        <f t="shared" si="80"/>
        <v>nio</v>
      </c>
      <c r="L959" s="484" t="s">
        <v>804</v>
      </c>
      <c r="M959" s="448" t="str">
        <f>IF(L959="nio","",VLOOKUP(L959,'3-Productie normen'!$B$31:$H$45,3,FALSE))</f>
        <v/>
      </c>
      <c r="N959" s="353">
        <f t="shared" si="79"/>
        <v>0</v>
      </c>
      <c r="O959" s="354">
        <f>IF(L959="nio",0,IF(L959&gt;0,VLOOKUP(H959,'3-Productie normen'!A:P,VLOOKUP(L959,'3-Productie normen'!$B$31:$C$45,2,FALSE),FALSE)))/VLOOKUP(B959,'2-Kosten per locatie'!$A$13:$D$36,4,FALSE)</f>
        <v>0</v>
      </c>
      <c r="P959" s="82">
        <f>VLOOKUP(H959,'3-Productie normen'!A:T,20,FALSE)</f>
        <v>0</v>
      </c>
      <c r="Q959" s="447" t="s">
        <v>1005</v>
      </c>
      <c r="S959" s="356">
        <f t="shared" si="77"/>
        <v>0</v>
      </c>
    </row>
    <row r="960" spans="1:19" ht="14.1" customHeight="1">
      <c r="A960" s="72">
        <f t="shared" si="78"/>
        <v>960</v>
      </c>
      <c r="B960" s="50" t="s">
        <v>817</v>
      </c>
      <c r="C960" s="50" t="s">
        <v>836</v>
      </c>
      <c r="D960" s="427" t="s">
        <v>1034</v>
      </c>
      <c r="E960" s="426" t="s">
        <v>612</v>
      </c>
      <c r="F960" s="349" t="s">
        <v>694</v>
      </c>
      <c r="G960" s="86" t="s">
        <v>684</v>
      </c>
      <c r="H960" s="432" t="s">
        <v>1040</v>
      </c>
      <c r="I960" s="86" t="s">
        <v>780</v>
      </c>
      <c r="J960" s="343">
        <v>1.17</v>
      </c>
      <c r="K960" s="351">
        <f t="shared" si="80"/>
        <v>12</v>
      </c>
      <c r="L960" s="484">
        <v>12</v>
      </c>
      <c r="M960" s="448" t="str">
        <f>IF(L960="nio","",VLOOKUP(L960,'3-Productie normen'!$B$31:$H$45,3,FALSE))</f>
        <v>1 x per maand</v>
      </c>
      <c r="N960" s="353" t="e">
        <f t="shared" si="79"/>
        <v>#DIV/0!</v>
      </c>
      <c r="O960" s="354">
        <f>IF(L960="nio",0,IF(L960&gt;0,VLOOKUP(H960,'3-Productie normen'!A:P,VLOOKUP(L960,'3-Productie normen'!$B$31:$C$45,2,FALSE),FALSE)))/VLOOKUP(B960,'2-Kosten per locatie'!$A$13:$D$36,4,FALSE)</f>
        <v>0</v>
      </c>
      <c r="P960" s="82" t="str">
        <f>VLOOKUP(H960,'3-Productie normen'!A:T,20,FALSE)</f>
        <v>V</v>
      </c>
      <c r="Q960" s="447" t="s">
        <v>792</v>
      </c>
      <c r="S960" s="356">
        <f t="shared" si="77"/>
        <v>14.04</v>
      </c>
    </row>
    <row r="961" spans="1:19" ht="14.1" customHeight="1">
      <c r="A961" s="72">
        <f t="shared" si="78"/>
        <v>961</v>
      </c>
      <c r="B961" s="50" t="s">
        <v>817</v>
      </c>
      <c r="C961" s="50" t="s">
        <v>836</v>
      </c>
      <c r="D961" s="427" t="s">
        <v>1034</v>
      </c>
      <c r="E961" s="426" t="s">
        <v>612</v>
      </c>
      <c r="F961" s="349" t="s">
        <v>695</v>
      </c>
      <c r="G961" s="86" t="s">
        <v>696</v>
      </c>
      <c r="H961" s="432" t="s">
        <v>198</v>
      </c>
      <c r="I961" s="86" t="s">
        <v>780</v>
      </c>
      <c r="J961" s="343">
        <v>9.98</v>
      </c>
      <c r="K961" s="351">
        <f t="shared" si="80"/>
        <v>255</v>
      </c>
      <c r="L961" s="484">
        <v>255</v>
      </c>
      <c r="M961" s="448" t="str">
        <f>IF(L961="nio","",VLOOKUP(L961,'3-Productie normen'!$B$31:$H$45,3,FALSE))</f>
        <v>5 x per week (52 weken)</v>
      </c>
      <c r="N961" s="353" t="e">
        <f t="shared" si="79"/>
        <v>#DIV/0!</v>
      </c>
      <c r="O961" s="354">
        <f>IF(L961="nio",0,IF(L961&gt;0,VLOOKUP(H961,'3-Productie normen'!A:P,VLOOKUP(L961,'3-Productie normen'!$B$31:$C$45,2,FALSE),FALSE)))/VLOOKUP(B961,'2-Kosten per locatie'!$A$13:$D$36,4,FALSE)</f>
        <v>0</v>
      </c>
      <c r="P961" s="82" t="str">
        <f>VLOOKUP(H961,'3-Productie normen'!A:T,20,FALSE)</f>
        <v>V</v>
      </c>
      <c r="Q961" s="447" t="s">
        <v>792</v>
      </c>
      <c r="S961" s="356">
        <f t="shared" ref="S961:S1024" si="81">IF(L961="nio",0,K961*J961)</f>
        <v>2544.9</v>
      </c>
    </row>
    <row r="962" spans="1:19" ht="14.1" customHeight="1">
      <c r="A962" s="72">
        <f t="shared" si="78"/>
        <v>962</v>
      </c>
      <c r="B962" s="50" t="s">
        <v>817</v>
      </c>
      <c r="C962" s="50" t="s">
        <v>836</v>
      </c>
      <c r="D962" s="427" t="s">
        <v>1034</v>
      </c>
      <c r="E962" s="426" t="s">
        <v>612</v>
      </c>
      <c r="F962" s="349" t="s">
        <v>697</v>
      </c>
      <c r="G962" s="86" t="s">
        <v>698</v>
      </c>
      <c r="H962" s="65" t="s">
        <v>1053</v>
      </c>
      <c r="I962" s="86" t="s">
        <v>780</v>
      </c>
      <c r="J962" s="343">
        <v>2.9700000286102299</v>
      </c>
      <c r="K962" s="351" t="str">
        <f t="shared" si="80"/>
        <v>nio</v>
      </c>
      <c r="L962" s="484" t="s">
        <v>804</v>
      </c>
      <c r="M962" s="448" t="str">
        <f>IF(L962="nio","",VLOOKUP(L962,'3-Productie normen'!$B$31:$H$45,3,FALSE))</f>
        <v/>
      </c>
      <c r="N962" s="353">
        <f t="shared" si="79"/>
        <v>0</v>
      </c>
      <c r="O962" s="354">
        <f>IF(L962="nio",0,IF(L962&gt;0,VLOOKUP(H962,'3-Productie normen'!A:P,VLOOKUP(L962,'3-Productie normen'!$B$31:$C$45,2,FALSE),FALSE)))/VLOOKUP(B962,'2-Kosten per locatie'!$A$13:$D$36,4,FALSE)</f>
        <v>0</v>
      </c>
      <c r="P962" s="82">
        <f>VLOOKUP(H962,'3-Productie normen'!A:T,20,FALSE)</f>
        <v>0</v>
      </c>
      <c r="Q962" s="447" t="s">
        <v>871</v>
      </c>
      <c r="S962" s="356">
        <f t="shared" si="81"/>
        <v>0</v>
      </c>
    </row>
    <row r="963" spans="1:19" ht="14.1" customHeight="1">
      <c r="A963" s="72">
        <f t="shared" si="78"/>
        <v>963</v>
      </c>
      <c r="B963" s="50" t="s">
        <v>817</v>
      </c>
      <c r="C963" s="50" t="s">
        <v>836</v>
      </c>
      <c r="D963" s="427" t="s">
        <v>1034</v>
      </c>
      <c r="E963" s="426" t="s">
        <v>612</v>
      </c>
      <c r="F963" s="349" t="s">
        <v>699</v>
      </c>
      <c r="G963" s="86" t="s">
        <v>256</v>
      </c>
      <c r="H963" s="65" t="s">
        <v>731</v>
      </c>
      <c r="I963" s="86" t="s">
        <v>780</v>
      </c>
      <c r="J963" s="343">
        <v>39.81</v>
      </c>
      <c r="K963" s="351">
        <f t="shared" si="80"/>
        <v>255</v>
      </c>
      <c r="L963" s="484">
        <v>255</v>
      </c>
      <c r="M963" s="448" t="str">
        <f>IF(L963="nio","",VLOOKUP(L963,'3-Productie normen'!$B$31:$H$45,3,FALSE))</f>
        <v>5 x per week (52 weken)</v>
      </c>
      <c r="N963" s="353" t="e">
        <f t="shared" si="79"/>
        <v>#DIV/0!</v>
      </c>
      <c r="O963" s="354">
        <f>IF(L963="nio",0,IF(L963&gt;0,VLOOKUP(H963,'3-Productie normen'!A:P,VLOOKUP(L963,'3-Productie normen'!$B$31:$C$45,2,FALSE),FALSE)))/VLOOKUP(B963,'2-Kosten per locatie'!$A$13:$D$36,4,FALSE)</f>
        <v>0</v>
      </c>
      <c r="P963" s="82" t="str">
        <f>VLOOKUP(H963,'3-Productie normen'!A:T,20,FALSE)</f>
        <v>V</v>
      </c>
      <c r="Q963" s="447" t="s">
        <v>792</v>
      </c>
      <c r="S963" s="356">
        <f t="shared" si="81"/>
        <v>10151.550000000001</v>
      </c>
    </row>
    <row r="964" spans="1:19" ht="14.1" customHeight="1">
      <c r="A964" s="72">
        <f t="shared" si="78"/>
        <v>964</v>
      </c>
      <c r="B964" s="50" t="s">
        <v>817</v>
      </c>
      <c r="C964" s="50" t="s">
        <v>836</v>
      </c>
      <c r="D964" s="427" t="s">
        <v>1034</v>
      </c>
      <c r="E964" s="426" t="s">
        <v>612</v>
      </c>
      <c r="F964" s="349" t="s">
        <v>699</v>
      </c>
      <c r="G964" s="86" t="s">
        <v>404</v>
      </c>
      <c r="H964" s="65" t="s">
        <v>731</v>
      </c>
      <c r="I964" s="86" t="s">
        <v>780</v>
      </c>
      <c r="J964" s="343">
        <v>10.77</v>
      </c>
      <c r="K964" s="351">
        <f t="shared" si="80"/>
        <v>255</v>
      </c>
      <c r="L964" s="484">
        <v>255</v>
      </c>
      <c r="M964" s="448" t="str">
        <f>IF(L964="nio","",VLOOKUP(L964,'3-Productie normen'!$B$31:$H$45,3,FALSE))</f>
        <v>5 x per week (52 weken)</v>
      </c>
      <c r="N964" s="353" t="e">
        <f t="shared" si="79"/>
        <v>#DIV/0!</v>
      </c>
      <c r="O964" s="354">
        <f>IF(L964="nio",0,IF(L964&gt;0,VLOOKUP(H964,'3-Productie normen'!A:P,VLOOKUP(L964,'3-Productie normen'!$B$31:$C$45,2,FALSE),FALSE)))/VLOOKUP(B964,'2-Kosten per locatie'!$A$13:$D$36,4,FALSE)</f>
        <v>0</v>
      </c>
      <c r="P964" s="82" t="str">
        <f>VLOOKUP(H964,'3-Productie normen'!A:T,20,FALSE)</f>
        <v>V</v>
      </c>
      <c r="Q964" s="447" t="s">
        <v>792</v>
      </c>
      <c r="S964" s="356">
        <f t="shared" si="81"/>
        <v>2746.35</v>
      </c>
    </row>
    <row r="965" spans="1:19" ht="14.1" customHeight="1">
      <c r="A965" s="72">
        <f t="shared" si="78"/>
        <v>965</v>
      </c>
      <c r="B965" s="50" t="s">
        <v>817</v>
      </c>
      <c r="C965" s="50" t="s">
        <v>836</v>
      </c>
      <c r="D965" s="427" t="s">
        <v>1034</v>
      </c>
      <c r="E965" s="426" t="s">
        <v>612</v>
      </c>
      <c r="F965" s="349" t="s">
        <v>700</v>
      </c>
      <c r="G965" s="86" t="s">
        <v>401</v>
      </c>
      <c r="H965" s="86" t="s">
        <v>16</v>
      </c>
      <c r="I965" s="86" t="s">
        <v>780</v>
      </c>
      <c r="J965" s="343">
        <v>5.34</v>
      </c>
      <c r="K965" s="351">
        <f t="shared" si="80"/>
        <v>255</v>
      </c>
      <c r="L965" s="484">
        <v>255</v>
      </c>
      <c r="M965" s="448" t="str">
        <f>IF(L965="nio","",VLOOKUP(L965,'3-Productie normen'!$B$31:$H$45,3,FALSE))</f>
        <v>5 x per week (52 weken)</v>
      </c>
      <c r="N965" s="353" t="e">
        <f t="shared" si="79"/>
        <v>#DIV/0!</v>
      </c>
      <c r="O965" s="354">
        <f>IF(L965="nio",0,IF(L965&gt;0,VLOOKUP(H965,'3-Productie normen'!A:P,VLOOKUP(L965,'3-Productie normen'!$B$31:$C$45,2,FALSE),FALSE)))/VLOOKUP(B965,'2-Kosten per locatie'!$A$13:$D$36,4,FALSE)</f>
        <v>0</v>
      </c>
      <c r="P965" s="82" t="str">
        <f>VLOOKUP(H965,'3-Productie normen'!A:T,20,FALSE)</f>
        <v>S</v>
      </c>
      <c r="Q965" s="447" t="s">
        <v>1006</v>
      </c>
      <c r="S965" s="356">
        <f t="shared" si="81"/>
        <v>1361.7</v>
      </c>
    </row>
    <row r="966" spans="1:19" ht="14.1" customHeight="1">
      <c r="A966" s="72">
        <f t="shared" si="78"/>
        <v>966</v>
      </c>
      <c r="B966" s="50" t="s">
        <v>817</v>
      </c>
      <c r="C966" s="50" t="s">
        <v>836</v>
      </c>
      <c r="D966" s="427" t="s">
        <v>1034</v>
      </c>
      <c r="E966" s="426" t="s">
        <v>612</v>
      </c>
      <c r="F966" s="349" t="s">
        <v>701</v>
      </c>
      <c r="G966" s="86" t="s">
        <v>403</v>
      </c>
      <c r="H966" s="81" t="s">
        <v>16</v>
      </c>
      <c r="I966" s="86" t="s">
        <v>780</v>
      </c>
      <c r="J966" s="343">
        <v>5.36</v>
      </c>
      <c r="K966" s="351">
        <f t="shared" si="80"/>
        <v>255</v>
      </c>
      <c r="L966" s="484">
        <v>255</v>
      </c>
      <c r="M966" s="448" t="str">
        <f>IF(L966="nio","",VLOOKUP(L966,'3-Productie normen'!$B$31:$H$45,3,FALSE))</f>
        <v>5 x per week (52 weken)</v>
      </c>
      <c r="N966" s="353" t="e">
        <f t="shared" si="79"/>
        <v>#DIV/0!</v>
      </c>
      <c r="O966" s="354">
        <f>IF(L966="nio",0,IF(L966&gt;0,VLOOKUP(H966,'3-Productie normen'!A:P,VLOOKUP(L966,'3-Productie normen'!$B$31:$C$45,2,FALSE),FALSE)))/VLOOKUP(B966,'2-Kosten per locatie'!$A$13:$D$36,4,FALSE)</f>
        <v>0</v>
      </c>
      <c r="P966" s="82" t="str">
        <f>VLOOKUP(H966,'3-Productie normen'!A:T,20,FALSE)</f>
        <v>S</v>
      </c>
      <c r="Q966" s="447" t="s">
        <v>855</v>
      </c>
      <c r="S966" s="356">
        <f t="shared" si="81"/>
        <v>1366.8000000000002</v>
      </c>
    </row>
    <row r="967" spans="1:19" ht="14.1" customHeight="1">
      <c r="A967" s="72">
        <f t="shared" si="78"/>
        <v>967</v>
      </c>
      <c r="B967" s="50" t="s">
        <v>817</v>
      </c>
      <c r="C967" s="50" t="s">
        <v>836</v>
      </c>
      <c r="D967" s="427" t="s">
        <v>1034</v>
      </c>
      <c r="E967" s="426" t="s">
        <v>612</v>
      </c>
      <c r="F967" s="349" t="s">
        <v>702</v>
      </c>
      <c r="G967" s="86" t="s">
        <v>239</v>
      </c>
      <c r="H967" s="65" t="s">
        <v>731</v>
      </c>
      <c r="I967" s="86" t="s">
        <v>780</v>
      </c>
      <c r="J967" s="343">
        <v>51.3</v>
      </c>
      <c r="K967" s="351">
        <f t="shared" si="80"/>
        <v>201</v>
      </c>
      <c r="L967" s="484">
        <v>201</v>
      </c>
      <c r="M967" s="448" t="str">
        <f>IF(L967="nio","",VLOOKUP(L967,'3-Productie normen'!$B$31:$H$45,3,FALSE))</f>
        <v>5 x per week (40 weken + 1 Zomer refreshbeurt)</v>
      </c>
      <c r="N967" s="353" t="e">
        <f t="shared" si="79"/>
        <v>#DIV/0!</v>
      </c>
      <c r="O967" s="354">
        <f>IF(L967="nio",0,IF(L967&gt;0,VLOOKUP(H967,'3-Productie normen'!A:P,VLOOKUP(L967,'3-Productie normen'!$B$31:$C$45,2,FALSE),FALSE)))/VLOOKUP(B967,'2-Kosten per locatie'!$A$13:$D$36,4,FALSE)</f>
        <v>0</v>
      </c>
      <c r="P967" s="82" t="str">
        <f>VLOOKUP(H967,'3-Productie normen'!A:T,20,FALSE)</f>
        <v>V</v>
      </c>
      <c r="Q967" s="447" t="s">
        <v>792</v>
      </c>
      <c r="S967" s="356">
        <f t="shared" si="81"/>
        <v>10311.299999999999</v>
      </c>
    </row>
    <row r="968" spans="1:19" ht="14.1" customHeight="1">
      <c r="A968" s="72">
        <f t="shared" si="78"/>
        <v>968</v>
      </c>
      <c r="B968" s="50" t="s">
        <v>817</v>
      </c>
      <c r="C968" s="50" t="s">
        <v>836</v>
      </c>
      <c r="D968" s="427" t="s">
        <v>1034</v>
      </c>
      <c r="E968" s="426" t="s">
        <v>612</v>
      </c>
      <c r="F968" s="349" t="s">
        <v>703</v>
      </c>
      <c r="G968" s="86" t="s">
        <v>395</v>
      </c>
      <c r="H968" s="65" t="s">
        <v>731</v>
      </c>
      <c r="I968" s="86" t="s">
        <v>780</v>
      </c>
      <c r="J968" s="343">
        <v>58.28</v>
      </c>
      <c r="K968" s="351">
        <f t="shared" si="80"/>
        <v>201</v>
      </c>
      <c r="L968" s="484">
        <v>201</v>
      </c>
      <c r="M968" s="448" t="str">
        <f>IF(L968="nio","",VLOOKUP(L968,'3-Productie normen'!$B$31:$H$45,3,FALSE))</f>
        <v>5 x per week (40 weken + 1 Zomer refreshbeurt)</v>
      </c>
      <c r="N968" s="353" t="e">
        <f t="shared" si="79"/>
        <v>#DIV/0!</v>
      </c>
      <c r="O968" s="354">
        <f>IF(L968="nio",0,IF(L968&gt;0,VLOOKUP(H968,'3-Productie normen'!A:P,VLOOKUP(L968,'3-Productie normen'!$B$31:$C$45,2,FALSE),FALSE)))/VLOOKUP(B968,'2-Kosten per locatie'!$A$13:$D$36,4,FALSE)</f>
        <v>0</v>
      </c>
      <c r="P968" s="82" t="str">
        <f>VLOOKUP(H968,'3-Productie normen'!A:T,20,FALSE)</f>
        <v>V</v>
      </c>
      <c r="Q968" s="447" t="s">
        <v>792</v>
      </c>
      <c r="S968" s="356">
        <f t="shared" si="81"/>
        <v>11714.28</v>
      </c>
    </row>
    <row r="969" spans="1:19" ht="14.1" customHeight="1">
      <c r="A969" s="72">
        <f t="shared" si="78"/>
        <v>969</v>
      </c>
      <c r="B969" s="50" t="s">
        <v>817</v>
      </c>
      <c r="C969" s="50" t="s">
        <v>836</v>
      </c>
      <c r="D969" s="427" t="s">
        <v>1034</v>
      </c>
      <c r="E969" s="426" t="s">
        <v>612</v>
      </c>
      <c r="F969" s="349" t="s">
        <v>704</v>
      </c>
      <c r="G969" s="86" t="s">
        <v>705</v>
      </c>
      <c r="H969" s="432" t="s">
        <v>198</v>
      </c>
      <c r="I969" s="86" t="s">
        <v>779</v>
      </c>
      <c r="J969" s="343">
        <v>7.77</v>
      </c>
      <c r="K969" s="351">
        <f t="shared" si="80"/>
        <v>200</v>
      </c>
      <c r="L969" s="484">
        <v>200</v>
      </c>
      <c r="M969" s="448" t="str">
        <f>IF(L969="nio","",VLOOKUP(L969,'3-Productie normen'!$B$31:$H$45,3,FALSE))</f>
        <v>5 x per week (40 weken)</v>
      </c>
      <c r="N969" s="353" t="e">
        <f t="shared" si="79"/>
        <v>#DIV/0!</v>
      </c>
      <c r="O969" s="354">
        <f>IF(L969="nio",0,IF(L969&gt;0,VLOOKUP(H969,'3-Productie normen'!A:P,VLOOKUP(L969,'3-Productie normen'!$B$31:$C$45,2,FALSE),FALSE)))/VLOOKUP(B969,'2-Kosten per locatie'!$A$13:$D$36,4,FALSE)</f>
        <v>0</v>
      </c>
      <c r="P969" s="82" t="str">
        <f>VLOOKUP(H969,'3-Productie normen'!A:T,20,FALSE)</f>
        <v>V</v>
      </c>
      <c r="Q969" s="447" t="s">
        <v>792</v>
      </c>
      <c r="S969" s="356">
        <f t="shared" si="81"/>
        <v>1554</v>
      </c>
    </row>
    <row r="970" spans="1:19" ht="14.1" customHeight="1">
      <c r="A970" s="72">
        <f t="shared" si="78"/>
        <v>970</v>
      </c>
      <c r="B970" s="50" t="s">
        <v>817</v>
      </c>
      <c r="C970" s="50" t="s">
        <v>836</v>
      </c>
      <c r="D970" s="427" t="s">
        <v>1034</v>
      </c>
      <c r="E970" s="426" t="s">
        <v>612</v>
      </c>
      <c r="F970" s="349" t="s">
        <v>706</v>
      </c>
      <c r="G970" s="86" t="s">
        <v>707</v>
      </c>
      <c r="H970" s="86" t="s">
        <v>16</v>
      </c>
      <c r="I970" s="86" t="s">
        <v>780</v>
      </c>
      <c r="J970" s="343">
        <v>1.67</v>
      </c>
      <c r="K970" s="351">
        <f t="shared" si="80"/>
        <v>201</v>
      </c>
      <c r="L970" s="484">
        <v>201</v>
      </c>
      <c r="M970" s="448" t="str">
        <f>IF(L970="nio","",VLOOKUP(L970,'3-Productie normen'!$B$31:$H$45,3,FALSE))</f>
        <v>5 x per week (40 weken + 1 Zomer refreshbeurt)</v>
      </c>
      <c r="N970" s="353" t="e">
        <f t="shared" si="79"/>
        <v>#DIV/0!</v>
      </c>
      <c r="O970" s="354">
        <f>IF(L970="nio",0,IF(L970&gt;0,VLOOKUP(H970,'3-Productie normen'!A:P,VLOOKUP(L970,'3-Productie normen'!$B$31:$C$45,2,FALSE),FALSE)))/VLOOKUP(B970,'2-Kosten per locatie'!$A$13:$D$36,4,FALSE)</f>
        <v>0</v>
      </c>
      <c r="P970" s="82" t="str">
        <f>VLOOKUP(H970,'3-Productie normen'!A:T,20,FALSE)</f>
        <v>S</v>
      </c>
      <c r="Q970" s="447" t="s">
        <v>888</v>
      </c>
      <c r="S970" s="356">
        <f t="shared" si="81"/>
        <v>335.66999999999996</v>
      </c>
    </row>
    <row r="971" spans="1:19" ht="14.1" customHeight="1">
      <c r="A971" s="72">
        <f t="shared" ref="A971:A1034" si="82">A970+1</f>
        <v>971</v>
      </c>
      <c r="B971" s="50" t="s">
        <v>817</v>
      </c>
      <c r="C971" s="50" t="s">
        <v>836</v>
      </c>
      <c r="D971" s="427" t="s">
        <v>1034</v>
      </c>
      <c r="E971" s="426" t="s">
        <v>612</v>
      </c>
      <c r="F971" s="349" t="s">
        <v>708</v>
      </c>
      <c r="G971" s="86" t="s">
        <v>707</v>
      </c>
      <c r="H971" s="86" t="s">
        <v>16</v>
      </c>
      <c r="I971" s="86" t="s">
        <v>780</v>
      </c>
      <c r="J971" s="343">
        <v>1.8</v>
      </c>
      <c r="K971" s="351">
        <f t="shared" si="80"/>
        <v>201</v>
      </c>
      <c r="L971" s="484">
        <v>201</v>
      </c>
      <c r="M971" s="448" t="str">
        <f>IF(L971="nio","",VLOOKUP(L971,'3-Productie normen'!$B$31:$H$45,3,FALSE))</f>
        <v>5 x per week (40 weken + 1 Zomer refreshbeurt)</v>
      </c>
      <c r="N971" s="353" t="e">
        <f t="shared" si="79"/>
        <v>#DIV/0!</v>
      </c>
      <c r="O971" s="354">
        <f>IF(L971="nio",0,IF(L971&gt;0,VLOOKUP(H971,'3-Productie normen'!A:P,VLOOKUP(L971,'3-Productie normen'!$B$31:$C$45,2,FALSE),FALSE)))/VLOOKUP(B971,'2-Kosten per locatie'!$A$13:$D$36,4,FALSE)</f>
        <v>0</v>
      </c>
      <c r="P971" s="82" t="str">
        <f>VLOOKUP(H971,'3-Productie normen'!A:T,20,FALSE)</f>
        <v>S</v>
      </c>
      <c r="Q971" s="447" t="s">
        <v>888</v>
      </c>
      <c r="S971" s="356">
        <f t="shared" si="81"/>
        <v>361.8</v>
      </c>
    </row>
    <row r="972" spans="1:19" ht="14.1" customHeight="1">
      <c r="A972" s="72">
        <f t="shared" si="82"/>
        <v>972</v>
      </c>
      <c r="B972" s="50" t="s">
        <v>817</v>
      </c>
      <c r="C972" s="50" t="s">
        <v>836</v>
      </c>
      <c r="D972" s="427" t="s">
        <v>1034</v>
      </c>
      <c r="E972" s="426" t="s">
        <v>612</v>
      </c>
      <c r="F972" s="349" t="s">
        <v>709</v>
      </c>
      <c r="G972" s="86" t="s">
        <v>420</v>
      </c>
      <c r="H972" s="63" t="s">
        <v>1040</v>
      </c>
      <c r="I972" s="86" t="s">
        <v>780</v>
      </c>
      <c r="J972" s="343">
        <v>1.1100000000000001</v>
      </c>
      <c r="K972" s="351">
        <f t="shared" si="80"/>
        <v>12</v>
      </c>
      <c r="L972" s="484">
        <v>12</v>
      </c>
      <c r="M972" s="448" t="str">
        <f>IF(L972="nio","",VLOOKUP(L972,'3-Productie normen'!$B$31:$H$45,3,FALSE))</f>
        <v>1 x per maand</v>
      </c>
      <c r="N972" s="353" t="e">
        <f t="shared" si="79"/>
        <v>#DIV/0!</v>
      </c>
      <c r="O972" s="354">
        <f>IF(L972="nio",0,IF(L972&gt;0,VLOOKUP(H972,'3-Productie normen'!A:P,VLOOKUP(L972,'3-Productie normen'!$B$31:$C$45,2,FALSE),FALSE)))/VLOOKUP(B972,'2-Kosten per locatie'!$A$13:$D$36,4,FALSE)</f>
        <v>0</v>
      </c>
      <c r="P972" s="82" t="str">
        <f>VLOOKUP(H972,'3-Productie normen'!A:T,20,FALSE)</f>
        <v>V</v>
      </c>
      <c r="Q972" s="447" t="s">
        <v>792</v>
      </c>
      <c r="S972" s="356">
        <f t="shared" si="81"/>
        <v>13.32</v>
      </c>
    </row>
    <row r="973" spans="1:19" ht="14.1" customHeight="1">
      <c r="A973" s="72">
        <f t="shared" si="82"/>
        <v>973</v>
      </c>
      <c r="B973" s="50" t="s">
        <v>818</v>
      </c>
      <c r="C973" s="50" t="s">
        <v>837</v>
      </c>
      <c r="D973" s="427" t="s">
        <v>1033</v>
      </c>
      <c r="E973" s="426" t="s">
        <v>612</v>
      </c>
      <c r="F973" s="349" t="s">
        <v>197</v>
      </c>
      <c r="G973" s="86" t="s">
        <v>199</v>
      </c>
      <c r="H973" s="432" t="s">
        <v>198</v>
      </c>
      <c r="I973" s="86" t="s">
        <v>784</v>
      </c>
      <c r="J973" s="343">
        <v>20.02</v>
      </c>
      <c r="K973" s="351">
        <f t="shared" si="80"/>
        <v>200</v>
      </c>
      <c r="L973" s="484">
        <v>200</v>
      </c>
      <c r="M973" s="448" t="str">
        <f>IF(L973="nio","",VLOOKUP(L973,'3-Productie normen'!$B$31:$H$45,3,FALSE))</f>
        <v>5 x per week (40 weken)</v>
      </c>
      <c r="N973" s="353" t="e">
        <f t="shared" si="79"/>
        <v>#DIV/0!</v>
      </c>
      <c r="O973" s="354">
        <f>IF(L973="nio",0,IF(L973&gt;0,VLOOKUP(H973,'3-Productie normen'!A:P,VLOOKUP(L973,'3-Productie normen'!$B$31:$C$45,2,FALSE),FALSE)))/VLOOKUP(B973,'2-Kosten per locatie'!$A$13:$D$36,4,FALSE)</f>
        <v>0</v>
      </c>
      <c r="P973" s="82" t="str">
        <f>VLOOKUP(H973,'3-Productie normen'!A:T,20,FALSE)</f>
        <v>V</v>
      </c>
      <c r="Q973" s="447" t="s">
        <v>1007</v>
      </c>
      <c r="S973" s="356">
        <f t="shared" si="81"/>
        <v>4004</v>
      </c>
    </row>
    <row r="974" spans="1:19" ht="14.1" customHeight="1">
      <c r="A974" s="72">
        <f t="shared" si="82"/>
        <v>974</v>
      </c>
      <c r="B974" s="50" t="s">
        <v>818</v>
      </c>
      <c r="C974" s="50" t="s">
        <v>837</v>
      </c>
      <c r="D974" s="427" t="s">
        <v>1033</v>
      </c>
      <c r="E974" s="426" t="s">
        <v>612</v>
      </c>
      <c r="F974" s="349" t="s">
        <v>417</v>
      </c>
      <c r="G974" s="86" t="s">
        <v>326</v>
      </c>
      <c r="H974" s="432" t="s">
        <v>198</v>
      </c>
      <c r="I974" s="86" t="s">
        <v>780</v>
      </c>
      <c r="J974" s="343">
        <v>55.14</v>
      </c>
      <c r="K974" s="351">
        <f t="shared" si="80"/>
        <v>255</v>
      </c>
      <c r="L974" s="484">
        <v>255</v>
      </c>
      <c r="M974" s="448" t="str">
        <f>IF(L974="nio","",VLOOKUP(L974,'3-Productie normen'!$B$31:$H$45,3,FALSE))</f>
        <v>5 x per week (52 weken)</v>
      </c>
      <c r="N974" s="353" t="e">
        <f t="shared" si="79"/>
        <v>#DIV/0!</v>
      </c>
      <c r="O974" s="354">
        <f>IF(L974="nio",0,IF(L974&gt;0,VLOOKUP(H974,'3-Productie normen'!A:P,VLOOKUP(L974,'3-Productie normen'!$B$31:$C$45,2,FALSE),FALSE)))/VLOOKUP(B974,'2-Kosten per locatie'!$A$13:$D$36,4,FALSE)</f>
        <v>0</v>
      </c>
      <c r="P974" s="82" t="str">
        <f>VLOOKUP(H974,'3-Productie normen'!A:T,20,FALSE)</f>
        <v>V</v>
      </c>
      <c r="Q974" s="447" t="s">
        <v>792</v>
      </c>
      <c r="S974" s="356">
        <f t="shared" si="81"/>
        <v>14060.7</v>
      </c>
    </row>
    <row r="975" spans="1:19" ht="14.1" customHeight="1">
      <c r="A975" s="72">
        <f t="shared" si="82"/>
        <v>975</v>
      </c>
      <c r="B975" s="50" t="s">
        <v>818</v>
      </c>
      <c r="C975" s="50" t="s">
        <v>837</v>
      </c>
      <c r="D975" s="427" t="s">
        <v>1033</v>
      </c>
      <c r="E975" s="426" t="s">
        <v>612</v>
      </c>
      <c r="F975" s="349" t="s">
        <v>418</v>
      </c>
      <c r="G975" s="86" t="s">
        <v>326</v>
      </c>
      <c r="H975" s="432" t="s">
        <v>198</v>
      </c>
      <c r="I975" s="86" t="s">
        <v>780</v>
      </c>
      <c r="J975" s="343">
        <v>36.799999999999997</v>
      </c>
      <c r="K975" s="351">
        <f t="shared" si="80"/>
        <v>255</v>
      </c>
      <c r="L975" s="484">
        <v>255</v>
      </c>
      <c r="M975" s="448" t="str">
        <f>IF(L975="nio","",VLOOKUP(L975,'3-Productie normen'!$B$31:$H$45,3,FALSE))</f>
        <v>5 x per week (52 weken)</v>
      </c>
      <c r="N975" s="353" t="e">
        <f t="shared" si="79"/>
        <v>#DIV/0!</v>
      </c>
      <c r="O975" s="354">
        <f>IF(L975="nio",0,IF(L975&gt;0,VLOOKUP(H975,'3-Productie normen'!A:P,VLOOKUP(L975,'3-Productie normen'!$B$31:$C$45,2,FALSE),FALSE)))/VLOOKUP(B975,'2-Kosten per locatie'!$A$13:$D$36,4,FALSE)</f>
        <v>0</v>
      </c>
      <c r="P975" s="82" t="str">
        <f>VLOOKUP(H975,'3-Productie normen'!A:T,20,FALSE)</f>
        <v>V</v>
      </c>
      <c r="Q975" s="447" t="s">
        <v>792</v>
      </c>
      <c r="S975" s="356">
        <f t="shared" si="81"/>
        <v>9384</v>
      </c>
    </row>
    <row r="976" spans="1:19" ht="14.1" customHeight="1">
      <c r="A976" s="72">
        <f t="shared" si="82"/>
        <v>976</v>
      </c>
      <c r="B976" s="50" t="s">
        <v>818</v>
      </c>
      <c r="C976" s="50" t="s">
        <v>837</v>
      </c>
      <c r="D976" s="427" t="s">
        <v>1034</v>
      </c>
      <c r="E976" s="426" t="s">
        <v>612</v>
      </c>
      <c r="F976" s="349" t="s">
        <v>202</v>
      </c>
      <c r="G976" s="86" t="s">
        <v>603</v>
      </c>
      <c r="H976" s="432" t="s">
        <v>198</v>
      </c>
      <c r="I976" s="86" t="s">
        <v>780</v>
      </c>
      <c r="J976" s="343">
        <v>48.87</v>
      </c>
      <c r="K976" s="351">
        <f t="shared" si="80"/>
        <v>255</v>
      </c>
      <c r="L976" s="484">
        <v>255</v>
      </c>
      <c r="M976" s="448" t="str">
        <f>IF(L976="nio","",VLOOKUP(L976,'3-Productie normen'!$B$31:$H$45,3,FALSE))</f>
        <v>5 x per week (52 weken)</v>
      </c>
      <c r="N976" s="353" t="e">
        <f t="shared" si="79"/>
        <v>#DIV/0!</v>
      </c>
      <c r="O976" s="354">
        <f>IF(L976="nio",0,IF(L976&gt;0,VLOOKUP(H976,'3-Productie normen'!A:P,VLOOKUP(L976,'3-Productie normen'!$B$31:$C$45,2,FALSE),FALSE)))/VLOOKUP(B976,'2-Kosten per locatie'!$A$13:$D$36,4,FALSE)</f>
        <v>0</v>
      </c>
      <c r="P976" s="82" t="str">
        <f>VLOOKUP(H976,'3-Productie normen'!A:T,20,FALSE)</f>
        <v>V</v>
      </c>
      <c r="Q976" s="447" t="s">
        <v>792</v>
      </c>
      <c r="S976" s="356">
        <f t="shared" si="81"/>
        <v>12461.849999999999</v>
      </c>
    </row>
    <row r="977" spans="1:19" ht="14.1" customHeight="1">
      <c r="A977" s="72">
        <f t="shared" si="82"/>
        <v>977</v>
      </c>
      <c r="B977" s="50" t="s">
        <v>818</v>
      </c>
      <c r="C977" s="50" t="s">
        <v>837</v>
      </c>
      <c r="D977" s="427" t="s">
        <v>1033</v>
      </c>
      <c r="E977" s="426" t="s">
        <v>612</v>
      </c>
      <c r="F977" s="349" t="s">
        <v>205</v>
      </c>
      <c r="G977" s="86" t="s">
        <v>368</v>
      </c>
      <c r="H977" s="432" t="s">
        <v>198</v>
      </c>
      <c r="I977" s="86" t="s">
        <v>780</v>
      </c>
      <c r="J977" s="343">
        <v>4.92</v>
      </c>
      <c r="K977" s="351">
        <f t="shared" si="80"/>
        <v>200</v>
      </c>
      <c r="L977" s="484">
        <v>200</v>
      </c>
      <c r="M977" s="448" t="str">
        <f>IF(L977="nio","",VLOOKUP(L977,'3-Productie normen'!$B$31:$H$45,3,FALSE))</f>
        <v>5 x per week (40 weken)</v>
      </c>
      <c r="N977" s="353" t="e">
        <f t="shared" si="79"/>
        <v>#DIV/0!</v>
      </c>
      <c r="O977" s="354">
        <f>IF(L977="nio",0,IF(L977&gt;0,VLOOKUP(H977,'3-Productie normen'!A:P,VLOOKUP(L977,'3-Productie normen'!$B$31:$C$45,2,FALSE),FALSE)))/VLOOKUP(B977,'2-Kosten per locatie'!$A$13:$D$36,4,FALSE)</f>
        <v>0</v>
      </c>
      <c r="P977" s="82" t="str">
        <f>VLOOKUP(H977,'3-Productie normen'!A:T,20,FALSE)</f>
        <v>V</v>
      </c>
      <c r="Q977" s="447" t="s">
        <v>792</v>
      </c>
      <c r="S977" s="356">
        <f t="shared" si="81"/>
        <v>984</v>
      </c>
    </row>
    <row r="978" spans="1:19" ht="14.1" customHeight="1">
      <c r="A978" s="72">
        <f t="shared" si="82"/>
        <v>978</v>
      </c>
      <c r="B978" s="50" t="s">
        <v>818</v>
      </c>
      <c r="C978" s="50" t="s">
        <v>837</v>
      </c>
      <c r="D978" s="427" t="s">
        <v>1033</v>
      </c>
      <c r="E978" s="426" t="s">
        <v>612</v>
      </c>
      <c r="F978" s="349" t="s">
        <v>207</v>
      </c>
      <c r="G978" s="86" t="s">
        <v>215</v>
      </c>
      <c r="H978" s="63" t="s">
        <v>1040</v>
      </c>
      <c r="I978" s="86" t="s">
        <v>780</v>
      </c>
      <c r="J978" s="343">
        <v>2.83</v>
      </c>
      <c r="K978" s="351">
        <f t="shared" si="80"/>
        <v>12</v>
      </c>
      <c r="L978" s="484">
        <v>12</v>
      </c>
      <c r="M978" s="448" t="str">
        <f>IF(L978="nio","",VLOOKUP(L978,'3-Productie normen'!$B$31:$H$45,3,FALSE))</f>
        <v>1 x per maand</v>
      </c>
      <c r="N978" s="353" t="e">
        <f t="shared" si="79"/>
        <v>#DIV/0!</v>
      </c>
      <c r="O978" s="354">
        <f>IF(L978="nio",0,IF(L978&gt;0,VLOOKUP(H978,'3-Productie normen'!A:P,VLOOKUP(L978,'3-Productie normen'!$B$31:$C$45,2,FALSE),FALSE)))/VLOOKUP(B978,'2-Kosten per locatie'!$A$13:$D$36,4,FALSE)</f>
        <v>0</v>
      </c>
      <c r="P978" s="82" t="str">
        <f>VLOOKUP(H978,'3-Productie normen'!A:T,20,FALSE)</f>
        <v>V</v>
      </c>
      <c r="Q978" s="447" t="s">
        <v>853</v>
      </c>
      <c r="S978" s="356">
        <f t="shared" si="81"/>
        <v>33.96</v>
      </c>
    </row>
    <row r="979" spans="1:19" ht="14.1" customHeight="1">
      <c r="A979" s="72">
        <f t="shared" si="82"/>
        <v>979</v>
      </c>
      <c r="B979" s="50" t="s">
        <v>818</v>
      </c>
      <c r="C979" s="50" t="s">
        <v>837</v>
      </c>
      <c r="D979" s="427" t="s">
        <v>1033</v>
      </c>
      <c r="E979" s="426" t="s">
        <v>612</v>
      </c>
      <c r="F979" s="349" t="s">
        <v>208</v>
      </c>
      <c r="G979" s="86" t="s">
        <v>212</v>
      </c>
      <c r="H979" s="65" t="s">
        <v>1053</v>
      </c>
      <c r="I979" s="86" t="s">
        <v>92</v>
      </c>
      <c r="J979" s="343">
        <v>6.82</v>
      </c>
      <c r="K979" s="351" t="str">
        <f t="shared" si="80"/>
        <v>nio</v>
      </c>
      <c r="L979" s="484" t="s">
        <v>804</v>
      </c>
      <c r="M979" s="448" t="str">
        <f>IF(L979="nio","",VLOOKUP(L979,'3-Productie normen'!$B$31:$H$45,3,FALSE))</f>
        <v/>
      </c>
      <c r="N979" s="353">
        <f t="shared" si="79"/>
        <v>0</v>
      </c>
      <c r="O979" s="354">
        <f>IF(L979="nio",0,IF(L979&gt;0,VLOOKUP(H979,'3-Productie normen'!A:P,VLOOKUP(L979,'3-Productie normen'!$B$31:$C$45,2,FALSE),FALSE)))/VLOOKUP(B979,'2-Kosten per locatie'!$A$13:$D$36,4,FALSE)</f>
        <v>0</v>
      </c>
      <c r="P979" s="82">
        <f>VLOOKUP(H979,'3-Productie normen'!A:T,20,FALSE)</f>
        <v>0</v>
      </c>
      <c r="Q979" s="447" t="s">
        <v>792</v>
      </c>
      <c r="S979" s="356">
        <f t="shared" si="81"/>
        <v>0</v>
      </c>
    </row>
    <row r="980" spans="1:19" ht="14.1" customHeight="1">
      <c r="A980" s="72">
        <f t="shared" si="82"/>
        <v>980</v>
      </c>
      <c r="B980" s="50" t="s">
        <v>818</v>
      </c>
      <c r="C980" s="50" t="s">
        <v>837</v>
      </c>
      <c r="D980" s="427" t="s">
        <v>1033</v>
      </c>
      <c r="E980" s="426" t="s">
        <v>612</v>
      </c>
      <c r="F980" s="349" t="s">
        <v>585</v>
      </c>
      <c r="G980" s="86" t="s">
        <v>209</v>
      </c>
      <c r="H980" s="63" t="s">
        <v>1040</v>
      </c>
      <c r="I980" s="86" t="s">
        <v>92</v>
      </c>
      <c r="J980" s="343">
        <v>7.14</v>
      </c>
      <c r="K980" s="351">
        <f t="shared" si="80"/>
        <v>12</v>
      </c>
      <c r="L980" s="484">
        <v>12</v>
      </c>
      <c r="M980" s="448" t="str">
        <f>IF(L980="nio","",VLOOKUP(L980,'3-Productie normen'!$B$31:$H$45,3,FALSE))</f>
        <v>1 x per maand</v>
      </c>
      <c r="N980" s="353" t="e">
        <f t="shared" si="79"/>
        <v>#DIV/0!</v>
      </c>
      <c r="O980" s="354">
        <f>IF(L980="nio",0,IF(L980&gt;0,VLOOKUP(H980,'3-Productie normen'!A:P,VLOOKUP(L980,'3-Productie normen'!$B$31:$C$45,2,FALSE),FALSE)))/VLOOKUP(B980,'2-Kosten per locatie'!$A$13:$D$36,4,FALSE)</f>
        <v>0</v>
      </c>
      <c r="P980" s="82" t="str">
        <f>VLOOKUP(H980,'3-Productie normen'!A:T,20,FALSE)</f>
        <v>V</v>
      </c>
      <c r="Q980" s="447" t="s">
        <v>792</v>
      </c>
      <c r="S980" s="356">
        <f t="shared" si="81"/>
        <v>85.679999999999993</v>
      </c>
    </row>
    <row r="981" spans="1:19" ht="14.1" customHeight="1">
      <c r="A981" s="72">
        <f t="shared" si="82"/>
        <v>981</v>
      </c>
      <c r="B981" s="50" t="s">
        <v>818</v>
      </c>
      <c r="C981" s="50" t="s">
        <v>837</v>
      </c>
      <c r="D981" s="427" t="s">
        <v>1033</v>
      </c>
      <c r="E981" s="426" t="s">
        <v>612</v>
      </c>
      <c r="F981" s="349" t="s">
        <v>210</v>
      </c>
      <c r="G981" s="86" t="s">
        <v>209</v>
      </c>
      <c r="H981" s="63" t="s">
        <v>1040</v>
      </c>
      <c r="I981" s="86" t="s">
        <v>780</v>
      </c>
      <c r="J981" s="343">
        <v>6.22</v>
      </c>
      <c r="K981" s="351">
        <f t="shared" si="80"/>
        <v>12</v>
      </c>
      <c r="L981" s="484">
        <v>12</v>
      </c>
      <c r="M981" s="448" t="str">
        <f>IF(L981="nio","",VLOOKUP(L981,'3-Productie normen'!$B$31:$H$45,3,FALSE))</f>
        <v>1 x per maand</v>
      </c>
      <c r="N981" s="353" t="e">
        <f t="shared" si="79"/>
        <v>#DIV/0!</v>
      </c>
      <c r="O981" s="354">
        <f>IF(L981="nio",0,IF(L981&gt;0,VLOOKUP(H981,'3-Productie normen'!A:P,VLOOKUP(L981,'3-Productie normen'!$B$31:$C$45,2,FALSE),FALSE)))/VLOOKUP(B981,'2-Kosten per locatie'!$A$13:$D$36,4,FALSE)</f>
        <v>0</v>
      </c>
      <c r="P981" s="82" t="str">
        <f>VLOOKUP(H981,'3-Productie normen'!A:T,20,FALSE)</f>
        <v>V</v>
      </c>
      <c r="Q981" s="447" t="s">
        <v>792</v>
      </c>
      <c r="S981" s="356">
        <f t="shared" si="81"/>
        <v>74.64</v>
      </c>
    </row>
    <row r="982" spans="1:19" ht="14.1" customHeight="1">
      <c r="A982" s="72">
        <f t="shared" si="82"/>
        <v>982</v>
      </c>
      <c r="B982" s="50" t="s">
        <v>818</v>
      </c>
      <c r="C982" s="50" t="s">
        <v>837</v>
      </c>
      <c r="D982" s="427" t="s">
        <v>1033</v>
      </c>
      <c r="E982" s="426" t="s">
        <v>612</v>
      </c>
      <c r="F982" s="349" t="s">
        <v>211</v>
      </c>
      <c r="G982" s="86" t="s">
        <v>248</v>
      </c>
      <c r="H982" s="63" t="s">
        <v>1040</v>
      </c>
      <c r="I982" s="86" t="s">
        <v>783</v>
      </c>
      <c r="J982" s="343">
        <v>6.08</v>
      </c>
      <c r="K982" s="351">
        <f t="shared" si="80"/>
        <v>12</v>
      </c>
      <c r="L982" s="484">
        <v>12</v>
      </c>
      <c r="M982" s="448" t="str">
        <f>IF(L982="nio","",VLOOKUP(L982,'3-Productie normen'!$B$31:$H$45,3,FALSE))</f>
        <v>1 x per maand</v>
      </c>
      <c r="N982" s="353" t="e">
        <f t="shared" si="79"/>
        <v>#DIV/0!</v>
      </c>
      <c r="O982" s="354">
        <f>IF(L982="nio",0,IF(L982&gt;0,VLOOKUP(H982,'3-Productie normen'!A:P,VLOOKUP(L982,'3-Productie normen'!$B$31:$C$45,2,FALSE),FALSE)))/VLOOKUP(B982,'2-Kosten per locatie'!$A$13:$D$36,4,FALSE)</f>
        <v>0</v>
      </c>
      <c r="P982" s="82" t="str">
        <f>VLOOKUP(H982,'3-Productie normen'!A:T,20,FALSE)</f>
        <v>V</v>
      </c>
      <c r="Q982" s="447" t="s">
        <v>792</v>
      </c>
      <c r="S982" s="356">
        <f t="shared" si="81"/>
        <v>72.960000000000008</v>
      </c>
    </row>
    <row r="983" spans="1:19" ht="14.1" customHeight="1">
      <c r="A983" s="72">
        <f t="shared" si="82"/>
        <v>983</v>
      </c>
      <c r="B983" s="50" t="s">
        <v>818</v>
      </c>
      <c r="C983" s="50" t="s">
        <v>837</v>
      </c>
      <c r="D983" s="427" t="s">
        <v>1033</v>
      </c>
      <c r="E983" s="426" t="s">
        <v>612</v>
      </c>
      <c r="F983" s="349" t="s">
        <v>213</v>
      </c>
      <c r="G983" s="86" t="s">
        <v>246</v>
      </c>
      <c r="H983" s="81" t="s">
        <v>1039</v>
      </c>
      <c r="I983" s="86" t="s">
        <v>783</v>
      </c>
      <c r="J983" s="343">
        <v>84.66</v>
      </c>
      <c r="K983" s="351">
        <f t="shared" si="80"/>
        <v>200</v>
      </c>
      <c r="L983" s="484">
        <v>200</v>
      </c>
      <c r="M983" s="448" t="str">
        <f>IF(L983="nio","",VLOOKUP(L983,'3-Productie normen'!$B$31:$H$45,3,FALSE))</f>
        <v>5 x per week (40 weken)</v>
      </c>
      <c r="N983" s="353" t="e">
        <f t="shared" si="79"/>
        <v>#DIV/0!</v>
      </c>
      <c r="O983" s="354">
        <f>IF(L983="nio",0,IF(L983&gt;0,VLOOKUP(H983,'3-Productie normen'!A:P,VLOOKUP(L983,'3-Productie normen'!$B$31:$C$45,2,FALSE),FALSE)))/VLOOKUP(B983,'2-Kosten per locatie'!$A$13:$D$36,4,FALSE)</f>
        <v>0</v>
      </c>
      <c r="P983" s="82" t="str">
        <f>VLOOKUP(H983,'3-Productie normen'!A:T,20,FALSE)</f>
        <v>V</v>
      </c>
      <c r="Q983" s="447" t="s">
        <v>792</v>
      </c>
      <c r="S983" s="356">
        <f t="shared" si="81"/>
        <v>16932</v>
      </c>
    </row>
    <row r="984" spans="1:19" ht="14.1" customHeight="1">
      <c r="A984" s="72">
        <f t="shared" si="82"/>
        <v>984</v>
      </c>
      <c r="B984" s="50" t="s">
        <v>818</v>
      </c>
      <c r="C984" s="50" t="s">
        <v>837</v>
      </c>
      <c r="D984" s="427" t="s">
        <v>1033</v>
      </c>
      <c r="E984" s="426" t="s">
        <v>612</v>
      </c>
      <c r="F984" s="349" t="s">
        <v>214</v>
      </c>
      <c r="G984" s="86" t="s">
        <v>187</v>
      </c>
      <c r="H984" s="430" t="s">
        <v>1046</v>
      </c>
      <c r="I984" s="86" t="s">
        <v>784</v>
      </c>
      <c r="J984" s="343">
        <v>10.16</v>
      </c>
      <c r="K984" s="351">
        <f t="shared" si="80"/>
        <v>200</v>
      </c>
      <c r="L984" s="484">
        <v>200</v>
      </c>
      <c r="M984" s="448" t="str">
        <f>IF(L984="nio","",VLOOKUP(L984,'3-Productie normen'!$B$31:$H$45,3,FALSE))</f>
        <v>5 x per week (40 weken)</v>
      </c>
      <c r="N984" s="353" t="e">
        <f t="shared" si="79"/>
        <v>#DIV/0!</v>
      </c>
      <c r="O984" s="354">
        <f>IF(L984="nio",0,IF(L984&gt;0,VLOOKUP(H984,'3-Productie normen'!A:P,VLOOKUP(L984,'3-Productie normen'!$B$31:$C$45,2,FALSE),FALSE)))/VLOOKUP(B984,'2-Kosten per locatie'!$A$13:$D$36,4,FALSE)</f>
        <v>0</v>
      </c>
      <c r="P984" s="82" t="str">
        <f>VLOOKUP(H984,'3-Productie normen'!A:T,20,FALSE)</f>
        <v>V</v>
      </c>
      <c r="Q984" s="447" t="s">
        <v>946</v>
      </c>
      <c r="S984" s="356">
        <f t="shared" si="81"/>
        <v>2032</v>
      </c>
    </row>
    <row r="985" spans="1:19" ht="14.1" customHeight="1">
      <c r="A985" s="72">
        <f t="shared" si="82"/>
        <v>985</v>
      </c>
      <c r="B985" s="50" t="s">
        <v>818</v>
      </c>
      <c r="C985" s="50" t="s">
        <v>837</v>
      </c>
      <c r="D985" s="427" t="s">
        <v>1034</v>
      </c>
      <c r="E985" s="426" t="s">
        <v>612</v>
      </c>
      <c r="F985" s="349" t="s">
        <v>216</v>
      </c>
      <c r="G985" s="86" t="s">
        <v>394</v>
      </c>
      <c r="H985" s="65" t="s">
        <v>731</v>
      </c>
      <c r="I985" s="86" t="s">
        <v>783</v>
      </c>
      <c r="J985" s="343">
        <v>70.959999999999994</v>
      </c>
      <c r="K985" s="351">
        <f t="shared" si="80"/>
        <v>208</v>
      </c>
      <c r="L985" s="484">
        <v>208</v>
      </c>
      <c r="M985" s="448" t="str">
        <f>IF(L985="nio","",VLOOKUP(L985,'3-Productie normen'!$B$31:$H$45,3,FALSE))</f>
        <v>4x per week (52 weken)</v>
      </c>
      <c r="N985" s="353" t="e">
        <f t="shared" si="79"/>
        <v>#DIV/0!</v>
      </c>
      <c r="O985" s="354">
        <f>IF(L985="nio",0,IF(L985&gt;0,VLOOKUP(H985,'3-Productie normen'!A:P,VLOOKUP(L985,'3-Productie normen'!$B$31:$C$45,2,FALSE),FALSE)))/VLOOKUP(B985,'2-Kosten per locatie'!$A$13:$D$36,4,FALSE)</f>
        <v>0</v>
      </c>
      <c r="P985" s="82" t="str">
        <f>VLOOKUP(H985,'3-Productie normen'!A:T,20,FALSE)</f>
        <v>V</v>
      </c>
      <c r="Q985" s="447" t="s">
        <v>792</v>
      </c>
      <c r="S985" s="356">
        <f t="shared" si="81"/>
        <v>14759.679999999998</v>
      </c>
    </row>
    <row r="986" spans="1:19" ht="14.1" customHeight="1">
      <c r="A986" s="72">
        <f t="shared" si="82"/>
        <v>986</v>
      </c>
      <c r="B986" s="50" t="s">
        <v>818</v>
      </c>
      <c r="C986" s="50" t="s">
        <v>837</v>
      </c>
      <c r="D986" s="427" t="s">
        <v>1033</v>
      </c>
      <c r="E986" s="426" t="s">
        <v>612</v>
      </c>
      <c r="F986" s="349" t="s">
        <v>217</v>
      </c>
      <c r="G986" s="86" t="s">
        <v>206</v>
      </c>
      <c r="H986" s="65" t="s">
        <v>1053</v>
      </c>
      <c r="I986" s="86" t="s">
        <v>780</v>
      </c>
      <c r="J986" s="343">
        <v>6.5</v>
      </c>
      <c r="K986" s="351" t="str">
        <f t="shared" si="80"/>
        <v>nio</v>
      </c>
      <c r="L986" s="484" t="s">
        <v>804</v>
      </c>
      <c r="M986" s="448" t="str">
        <f>IF(L986="nio","",VLOOKUP(L986,'3-Productie normen'!$B$31:$H$45,3,FALSE))</f>
        <v/>
      </c>
      <c r="N986" s="353">
        <f t="shared" si="79"/>
        <v>0</v>
      </c>
      <c r="O986" s="354">
        <f>IF(L986="nio",0,IF(L986&gt;0,VLOOKUP(H986,'3-Productie normen'!A:P,VLOOKUP(L986,'3-Productie normen'!$B$31:$C$45,2,FALSE),FALSE)))/VLOOKUP(B986,'2-Kosten per locatie'!$A$13:$D$36,4,FALSE)</f>
        <v>0</v>
      </c>
      <c r="P986" s="82">
        <f>VLOOKUP(H986,'3-Productie normen'!A:T,20,FALSE)</f>
        <v>0</v>
      </c>
      <c r="Q986" s="447" t="s">
        <v>792</v>
      </c>
      <c r="S986" s="356">
        <f t="shared" si="81"/>
        <v>0</v>
      </c>
    </row>
    <row r="987" spans="1:19" ht="14.1" customHeight="1">
      <c r="A987" s="72">
        <f t="shared" si="82"/>
        <v>987</v>
      </c>
      <c r="B987" s="50" t="s">
        <v>818</v>
      </c>
      <c r="C987" s="50" t="s">
        <v>837</v>
      </c>
      <c r="D987" s="427" t="s">
        <v>1033</v>
      </c>
      <c r="E987" s="426" t="s">
        <v>612</v>
      </c>
      <c r="F987" s="349" t="s">
        <v>218</v>
      </c>
      <c r="G987" s="86" t="s">
        <v>328</v>
      </c>
      <c r="H987" s="86" t="s">
        <v>241</v>
      </c>
      <c r="I987" s="86" t="s">
        <v>780</v>
      </c>
      <c r="J987" s="343">
        <v>15.09</v>
      </c>
      <c r="K987" s="351">
        <f t="shared" si="80"/>
        <v>255</v>
      </c>
      <c r="L987" s="484">
        <v>255</v>
      </c>
      <c r="M987" s="448" t="str">
        <f>IF(L987="nio","",VLOOKUP(L987,'3-Productie normen'!$B$31:$H$45,3,FALSE))</f>
        <v>5 x per week (52 weken)</v>
      </c>
      <c r="N987" s="353" t="e">
        <f t="shared" si="79"/>
        <v>#DIV/0!</v>
      </c>
      <c r="O987" s="354">
        <f>IF(L987="nio",0,IF(L987&gt;0,VLOOKUP(H987,'3-Productie normen'!A:P,VLOOKUP(L987,'3-Productie normen'!$B$31:$C$45,2,FALSE),FALSE)))/VLOOKUP(B987,'2-Kosten per locatie'!$A$13:$D$36,4,FALSE)</f>
        <v>0</v>
      </c>
      <c r="P987" s="82" t="str">
        <f>VLOOKUP(H987,'3-Productie normen'!A:T,20,FALSE)</f>
        <v>L</v>
      </c>
      <c r="Q987" s="447" t="s">
        <v>792</v>
      </c>
      <c r="S987" s="356">
        <f t="shared" si="81"/>
        <v>3847.95</v>
      </c>
    </row>
    <row r="988" spans="1:19" ht="14.1" customHeight="1">
      <c r="A988" s="72">
        <f t="shared" si="82"/>
        <v>988</v>
      </c>
      <c r="B988" s="50" t="s">
        <v>818</v>
      </c>
      <c r="C988" s="50" t="s">
        <v>837</v>
      </c>
      <c r="D988" s="427" t="s">
        <v>1034</v>
      </c>
      <c r="E988" s="426" t="s">
        <v>612</v>
      </c>
      <c r="F988" s="349" t="s">
        <v>219</v>
      </c>
      <c r="G988" s="86" t="s">
        <v>397</v>
      </c>
      <c r="H988" s="86" t="s">
        <v>16</v>
      </c>
      <c r="I988" s="86" t="s">
        <v>785</v>
      </c>
      <c r="J988" s="343">
        <v>4.76</v>
      </c>
      <c r="K988" s="351">
        <f t="shared" si="80"/>
        <v>255</v>
      </c>
      <c r="L988" s="484">
        <v>255</v>
      </c>
      <c r="M988" s="448" t="str">
        <f>IF(L988="nio","",VLOOKUP(L988,'3-Productie normen'!$B$31:$H$45,3,FALSE))</f>
        <v>5 x per week (52 weken)</v>
      </c>
      <c r="N988" s="353" t="e">
        <f t="shared" si="79"/>
        <v>#DIV/0!</v>
      </c>
      <c r="O988" s="354">
        <f>IF(L988="nio",0,IF(L988&gt;0,VLOOKUP(H988,'3-Productie normen'!A:P,VLOOKUP(L988,'3-Productie normen'!$B$31:$C$45,2,FALSE),FALSE)))/VLOOKUP(B988,'2-Kosten per locatie'!$A$13:$D$36,4,FALSE)</f>
        <v>0</v>
      </c>
      <c r="P988" s="82" t="str">
        <f>VLOOKUP(H988,'3-Productie normen'!A:T,20,FALSE)</f>
        <v>S</v>
      </c>
      <c r="Q988" s="447" t="s">
        <v>854</v>
      </c>
      <c r="S988" s="356">
        <f t="shared" si="81"/>
        <v>1213.8</v>
      </c>
    </row>
    <row r="989" spans="1:19" ht="14.1" customHeight="1">
      <c r="A989" s="72">
        <f t="shared" si="82"/>
        <v>989</v>
      </c>
      <c r="B989" s="50" t="s">
        <v>818</v>
      </c>
      <c r="C989" s="50" t="s">
        <v>837</v>
      </c>
      <c r="D989" s="427" t="s">
        <v>1034</v>
      </c>
      <c r="E989" s="426" t="s">
        <v>612</v>
      </c>
      <c r="F989" s="349" t="s">
        <v>220</v>
      </c>
      <c r="G989" s="86" t="s">
        <v>397</v>
      </c>
      <c r="H989" s="86" t="s">
        <v>16</v>
      </c>
      <c r="I989" s="86" t="s">
        <v>785</v>
      </c>
      <c r="J989" s="343">
        <v>1.44</v>
      </c>
      <c r="K989" s="351">
        <f t="shared" si="80"/>
        <v>255</v>
      </c>
      <c r="L989" s="484">
        <v>255</v>
      </c>
      <c r="M989" s="448" t="str">
        <f>IF(L989="nio","",VLOOKUP(L989,'3-Productie normen'!$B$31:$H$45,3,FALSE))</f>
        <v>5 x per week (52 weken)</v>
      </c>
      <c r="N989" s="353" t="e">
        <f t="shared" si="79"/>
        <v>#DIV/0!</v>
      </c>
      <c r="O989" s="354">
        <f>IF(L989="nio",0,IF(L989&gt;0,VLOOKUP(H989,'3-Productie normen'!A:P,VLOOKUP(L989,'3-Productie normen'!$B$31:$C$45,2,FALSE),FALSE)))/VLOOKUP(B989,'2-Kosten per locatie'!$A$13:$D$36,4,FALSE)</f>
        <v>0</v>
      </c>
      <c r="P989" s="82" t="str">
        <f>VLOOKUP(H989,'3-Productie normen'!A:T,20,FALSE)</f>
        <v>S</v>
      </c>
      <c r="Q989" s="447" t="s">
        <v>857</v>
      </c>
      <c r="S989" s="356">
        <f t="shared" si="81"/>
        <v>367.2</v>
      </c>
    </row>
    <row r="990" spans="1:19" ht="14.1" customHeight="1">
      <c r="A990" s="72">
        <f t="shared" si="82"/>
        <v>990</v>
      </c>
      <c r="B990" s="50" t="s">
        <v>818</v>
      </c>
      <c r="C990" s="50" t="s">
        <v>837</v>
      </c>
      <c r="D990" s="427" t="s">
        <v>1034</v>
      </c>
      <c r="E990" s="426" t="s">
        <v>612</v>
      </c>
      <c r="F990" s="349" t="s">
        <v>221</v>
      </c>
      <c r="G990" s="86" t="s">
        <v>397</v>
      </c>
      <c r="H990" s="86" t="s">
        <v>16</v>
      </c>
      <c r="I990" s="86" t="s">
        <v>785</v>
      </c>
      <c r="J990" s="343">
        <v>1.44</v>
      </c>
      <c r="K990" s="351">
        <f t="shared" si="80"/>
        <v>255</v>
      </c>
      <c r="L990" s="484">
        <v>255</v>
      </c>
      <c r="M990" s="448" t="str">
        <f>IF(L990="nio","",VLOOKUP(L990,'3-Productie normen'!$B$31:$H$45,3,FALSE))</f>
        <v>5 x per week (52 weken)</v>
      </c>
      <c r="N990" s="353" t="e">
        <f t="shared" si="79"/>
        <v>#DIV/0!</v>
      </c>
      <c r="O990" s="354">
        <f>IF(L990="nio",0,IF(L990&gt;0,VLOOKUP(H990,'3-Productie normen'!A:P,VLOOKUP(L990,'3-Productie normen'!$B$31:$C$45,2,FALSE),FALSE)))/VLOOKUP(B990,'2-Kosten per locatie'!$A$13:$D$36,4,FALSE)</f>
        <v>0</v>
      </c>
      <c r="P990" s="82" t="str">
        <f>VLOOKUP(H990,'3-Productie normen'!A:T,20,FALSE)</f>
        <v>S</v>
      </c>
      <c r="Q990" s="447" t="s">
        <v>857</v>
      </c>
      <c r="S990" s="356">
        <f t="shared" si="81"/>
        <v>367.2</v>
      </c>
    </row>
    <row r="991" spans="1:19" ht="14.1" customHeight="1">
      <c r="A991" s="72">
        <f t="shared" si="82"/>
        <v>991</v>
      </c>
      <c r="B991" s="50" t="s">
        <v>818</v>
      </c>
      <c r="C991" s="50" t="s">
        <v>837</v>
      </c>
      <c r="D991" s="427" t="s">
        <v>1034</v>
      </c>
      <c r="E991" s="426" t="s">
        <v>612</v>
      </c>
      <c r="F991" s="349" t="s">
        <v>223</v>
      </c>
      <c r="G991" s="86" t="s">
        <v>710</v>
      </c>
      <c r="H991" s="86" t="s">
        <v>203</v>
      </c>
      <c r="I991" s="86" t="s">
        <v>180</v>
      </c>
      <c r="J991" s="343">
        <v>13.7</v>
      </c>
      <c r="K991" s="351">
        <f t="shared" si="80"/>
        <v>104</v>
      </c>
      <c r="L991" s="484">
        <v>104</v>
      </c>
      <c r="M991" s="448" t="str">
        <f>IF(L991="nio","",VLOOKUP(L991,'3-Productie normen'!$B$31:$H$45,3,FALSE))</f>
        <v>2x per week (52 weken)</v>
      </c>
      <c r="N991" s="353" t="e">
        <f t="shared" si="79"/>
        <v>#DIV/0!</v>
      </c>
      <c r="O991" s="354">
        <f>IF(L991="nio",0,IF(L991&gt;0,VLOOKUP(H991,'3-Productie normen'!A:P,VLOOKUP(L991,'3-Productie normen'!$B$31:$C$45,2,FALSE),FALSE)))/VLOOKUP(B991,'2-Kosten per locatie'!$A$13:$D$36,4,FALSE)</f>
        <v>0</v>
      </c>
      <c r="P991" s="82" t="str">
        <f>VLOOKUP(H991,'3-Productie normen'!A:T,20,FALSE)</f>
        <v>B</v>
      </c>
      <c r="Q991" s="447" t="s">
        <v>792</v>
      </c>
      <c r="S991" s="356">
        <f t="shared" si="81"/>
        <v>1424.8</v>
      </c>
    </row>
    <row r="992" spans="1:19" ht="14.1" customHeight="1">
      <c r="A992" s="72">
        <f t="shared" si="82"/>
        <v>992</v>
      </c>
      <c r="B992" s="50" t="s">
        <v>818</v>
      </c>
      <c r="C992" s="50" t="s">
        <v>837</v>
      </c>
      <c r="D992" s="427" t="s">
        <v>1033</v>
      </c>
      <c r="E992" s="426" t="s">
        <v>612</v>
      </c>
      <c r="F992" s="349" t="s">
        <v>224</v>
      </c>
      <c r="G992" s="86" t="s">
        <v>201</v>
      </c>
      <c r="H992" s="432" t="s">
        <v>198</v>
      </c>
      <c r="I992" s="86" t="s">
        <v>780</v>
      </c>
      <c r="J992" s="343">
        <v>10</v>
      </c>
      <c r="K992" s="351">
        <f t="shared" si="80"/>
        <v>255</v>
      </c>
      <c r="L992" s="484">
        <v>255</v>
      </c>
      <c r="M992" s="448" t="str">
        <f>IF(L992="nio","",VLOOKUP(L992,'3-Productie normen'!$B$31:$H$45,3,FALSE))</f>
        <v>5 x per week (52 weken)</v>
      </c>
      <c r="N992" s="353" t="e">
        <f t="shared" si="79"/>
        <v>#DIV/0!</v>
      </c>
      <c r="O992" s="354">
        <f>IF(L992="nio",0,IF(L992&gt;0,VLOOKUP(H992,'3-Productie normen'!A:P,VLOOKUP(L992,'3-Productie normen'!$B$31:$C$45,2,FALSE),FALSE)))/VLOOKUP(B992,'2-Kosten per locatie'!$A$13:$D$36,4,FALSE)</f>
        <v>0</v>
      </c>
      <c r="P992" s="82" t="str">
        <f>VLOOKUP(H992,'3-Productie normen'!A:T,20,FALSE)</f>
        <v>V</v>
      </c>
      <c r="Q992" s="447" t="s">
        <v>1008</v>
      </c>
      <c r="S992" s="356">
        <f t="shared" si="81"/>
        <v>2550</v>
      </c>
    </row>
    <row r="993" spans="1:19" ht="14.1" customHeight="1">
      <c r="A993" s="72">
        <f t="shared" si="82"/>
        <v>993</v>
      </c>
      <c r="B993" s="50" t="s">
        <v>818</v>
      </c>
      <c r="C993" s="50" t="s">
        <v>837</v>
      </c>
      <c r="D993" s="427" t="s">
        <v>1033</v>
      </c>
      <c r="E993" s="426" t="s">
        <v>612</v>
      </c>
      <c r="F993" s="349" t="s">
        <v>225</v>
      </c>
      <c r="G993" s="86" t="s">
        <v>347</v>
      </c>
      <c r="H993" s="432" t="s">
        <v>198</v>
      </c>
      <c r="I993" s="86" t="s">
        <v>780</v>
      </c>
      <c r="J993" s="343">
        <v>34.049999999999997</v>
      </c>
      <c r="K993" s="351">
        <f t="shared" si="80"/>
        <v>255</v>
      </c>
      <c r="L993" s="484">
        <v>255</v>
      </c>
      <c r="M993" s="448" t="str">
        <f>IF(L993="nio","",VLOOKUP(L993,'3-Productie normen'!$B$31:$H$45,3,FALSE))</f>
        <v>5 x per week (52 weken)</v>
      </c>
      <c r="N993" s="353" t="e">
        <f t="shared" si="79"/>
        <v>#DIV/0!</v>
      </c>
      <c r="O993" s="354">
        <f>IF(L993="nio",0,IF(L993&gt;0,VLOOKUP(H993,'3-Productie normen'!A:P,VLOOKUP(L993,'3-Productie normen'!$B$31:$C$45,2,FALSE),FALSE)))/VLOOKUP(B993,'2-Kosten per locatie'!$A$13:$D$36,4,FALSE)</f>
        <v>0</v>
      </c>
      <c r="P993" s="82" t="str">
        <f>VLOOKUP(H993,'3-Productie normen'!A:T,20,FALSE)</f>
        <v>V</v>
      </c>
      <c r="Q993" s="447" t="s">
        <v>1009</v>
      </c>
      <c r="S993" s="356">
        <f t="shared" si="81"/>
        <v>8682.75</v>
      </c>
    </row>
    <row r="994" spans="1:19" ht="14.1" customHeight="1">
      <c r="A994" s="72">
        <f t="shared" si="82"/>
        <v>994</v>
      </c>
      <c r="B994" s="50" t="s">
        <v>818</v>
      </c>
      <c r="C994" s="50" t="s">
        <v>837</v>
      </c>
      <c r="D994" s="427" t="s">
        <v>1034</v>
      </c>
      <c r="E994" s="426" t="s">
        <v>612</v>
      </c>
      <c r="F994" s="349" t="s">
        <v>227</v>
      </c>
      <c r="G994" s="86" t="s">
        <v>405</v>
      </c>
      <c r="H994" s="432" t="s">
        <v>198</v>
      </c>
      <c r="I994" s="86" t="s">
        <v>784</v>
      </c>
      <c r="J994" s="343">
        <v>1.8400000333786</v>
      </c>
      <c r="K994" s="351">
        <f t="shared" si="80"/>
        <v>255</v>
      </c>
      <c r="L994" s="484">
        <v>255</v>
      </c>
      <c r="M994" s="448" t="str">
        <f>IF(L994="nio","",VLOOKUP(L994,'3-Productie normen'!$B$31:$H$45,3,FALSE))</f>
        <v>5 x per week (52 weken)</v>
      </c>
      <c r="N994" s="353" t="e">
        <f t="shared" si="79"/>
        <v>#DIV/0!</v>
      </c>
      <c r="O994" s="354">
        <f>IF(L994="nio",0,IF(L994&gt;0,VLOOKUP(H994,'3-Productie normen'!A:P,VLOOKUP(L994,'3-Productie normen'!$B$31:$C$45,2,FALSE),FALSE)))/VLOOKUP(B994,'2-Kosten per locatie'!$A$13:$D$36,4,FALSE)</f>
        <v>0</v>
      </c>
      <c r="P994" s="82" t="str">
        <f>VLOOKUP(H994,'3-Productie normen'!A:T,20,FALSE)</f>
        <v>V</v>
      </c>
      <c r="Q994" s="447" t="s">
        <v>878</v>
      </c>
      <c r="S994" s="356">
        <f t="shared" si="81"/>
        <v>469.20000851154299</v>
      </c>
    </row>
    <row r="995" spans="1:19" ht="14.1" customHeight="1">
      <c r="A995" s="72">
        <f t="shared" si="82"/>
        <v>995</v>
      </c>
      <c r="B995" s="50" t="s">
        <v>818</v>
      </c>
      <c r="C995" s="50" t="s">
        <v>837</v>
      </c>
      <c r="D995" s="427" t="s">
        <v>1034</v>
      </c>
      <c r="E995" s="426" t="s">
        <v>612</v>
      </c>
      <c r="F995" s="349" t="s">
        <v>227</v>
      </c>
      <c r="G995" s="86" t="s">
        <v>405</v>
      </c>
      <c r="H995" s="432" t="s">
        <v>198</v>
      </c>
      <c r="I995" s="86" t="s">
        <v>789</v>
      </c>
      <c r="J995" s="343">
        <v>41.88</v>
      </c>
      <c r="K995" s="351">
        <f t="shared" si="80"/>
        <v>255</v>
      </c>
      <c r="L995" s="484">
        <v>255</v>
      </c>
      <c r="M995" s="448" t="str">
        <f>IF(L995="nio","",VLOOKUP(L995,'3-Productie normen'!$B$31:$H$45,3,FALSE))</f>
        <v>5 x per week (52 weken)</v>
      </c>
      <c r="N995" s="353" t="e">
        <f t="shared" si="79"/>
        <v>#DIV/0!</v>
      </c>
      <c r="O995" s="354">
        <f>IF(L995="nio",0,IF(L995&gt;0,VLOOKUP(H995,'3-Productie normen'!A:P,VLOOKUP(L995,'3-Productie normen'!$B$31:$C$45,2,FALSE),FALSE)))/VLOOKUP(B995,'2-Kosten per locatie'!$A$13:$D$36,4,FALSE)</f>
        <v>0</v>
      </c>
      <c r="P995" s="82" t="str">
        <f>VLOOKUP(H995,'3-Productie normen'!A:T,20,FALSE)</f>
        <v>V</v>
      </c>
      <c r="Q995" s="447" t="s">
        <v>792</v>
      </c>
      <c r="S995" s="356">
        <f t="shared" si="81"/>
        <v>10679.400000000001</v>
      </c>
    </row>
    <row r="996" spans="1:19" ht="14.1" customHeight="1">
      <c r="A996" s="72">
        <f t="shared" si="82"/>
        <v>996</v>
      </c>
      <c r="B996" s="50" t="s">
        <v>818</v>
      </c>
      <c r="C996" s="50" t="s">
        <v>837</v>
      </c>
      <c r="D996" s="427" t="s">
        <v>1033</v>
      </c>
      <c r="E996" s="426" t="s">
        <v>612</v>
      </c>
      <c r="F996" s="349" t="s">
        <v>228</v>
      </c>
      <c r="G996" s="86" t="s">
        <v>206</v>
      </c>
      <c r="H996" s="65" t="s">
        <v>1053</v>
      </c>
      <c r="I996" s="86" t="s">
        <v>92</v>
      </c>
      <c r="J996" s="343">
        <v>0.42</v>
      </c>
      <c r="K996" s="351" t="str">
        <f t="shared" si="80"/>
        <v>nio</v>
      </c>
      <c r="L996" s="484" t="s">
        <v>804</v>
      </c>
      <c r="M996" s="448" t="str">
        <f>IF(L996="nio","",VLOOKUP(L996,'3-Productie normen'!$B$31:$H$45,3,FALSE))</f>
        <v/>
      </c>
      <c r="N996" s="353">
        <f t="shared" si="79"/>
        <v>0</v>
      </c>
      <c r="O996" s="354">
        <f>IF(L996="nio",0,IF(L996&gt;0,VLOOKUP(H996,'3-Productie normen'!A:P,VLOOKUP(L996,'3-Productie normen'!$B$31:$C$45,2,FALSE),FALSE)))/VLOOKUP(B996,'2-Kosten per locatie'!$A$13:$D$36,4,FALSE)</f>
        <v>0</v>
      </c>
      <c r="P996" s="82">
        <f>VLOOKUP(H996,'3-Productie normen'!A:T,20,FALSE)</f>
        <v>0</v>
      </c>
      <c r="Q996" s="447" t="s">
        <v>848</v>
      </c>
      <c r="S996" s="356">
        <f t="shared" si="81"/>
        <v>0</v>
      </c>
    </row>
    <row r="997" spans="1:19" ht="14.1" customHeight="1">
      <c r="A997" s="72">
        <f t="shared" si="82"/>
        <v>997</v>
      </c>
      <c r="B997" s="50" t="s">
        <v>818</v>
      </c>
      <c r="C997" s="50" t="s">
        <v>837</v>
      </c>
      <c r="D997" s="427" t="s">
        <v>1033</v>
      </c>
      <c r="E997" s="426" t="s">
        <v>612</v>
      </c>
      <c r="F997" s="349" t="s">
        <v>230</v>
      </c>
      <c r="G997" s="86" t="s">
        <v>206</v>
      </c>
      <c r="H997" s="65" t="s">
        <v>1053</v>
      </c>
      <c r="I997" s="86" t="s">
        <v>92</v>
      </c>
      <c r="J997" s="343">
        <v>0.3</v>
      </c>
      <c r="K997" s="351" t="str">
        <f t="shared" si="80"/>
        <v>nio</v>
      </c>
      <c r="L997" s="484" t="s">
        <v>804</v>
      </c>
      <c r="M997" s="448" t="str">
        <f>IF(L997="nio","",VLOOKUP(L997,'3-Productie normen'!$B$31:$H$45,3,FALSE))</f>
        <v/>
      </c>
      <c r="N997" s="353">
        <f t="shared" si="79"/>
        <v>0</v>
      </c>
      <c r="O997" s="354">
        <f>IF(L997="nio",0,IF(L997&gt;0,VLOOKUP(H997,'3-Productie normen'!A:P,VLOOKUP(L997,'3-Productie normen'!$B$31:$C$45,2,FALSE),FALSE)))/VLOOKUP(B997,'2-Kosten per locatie'!$A$13:$D$36,4,FALSE)</f>
        <v>0</v>
      </c>
      <c r="P997" s="82">
        <f>VLOOKUP(H997,'3-Productie normen'!A:T,20,FALSE)</f>
        <v>0</v>
      </c>
      <c r="Q997" s="447" t="s">
        <v>917</v>
      </c>
      <c r="S997" s="356">
        <f t="shared" si="81"/>
        <v>0</v>
      </c>
    </row>
    <row r="998" spans="1:19" ht="14.1" customHeight="1">
      <c r="A998" s="72">
        <f t="shared" si="82"/>
        <v>998</v>
      </c>
      <c r="B998" s="50" t="s">
        <v>818</v>
      </c>
      <c r="C998" s="50" t="s">
        <v>837</v>
      </c>
      <c r="D998" s="427" t="s">
        <v>1033</v>
      </c>
      <c r="E998" s="426" t="s">
        <v>612</v>
      </c>
      <c r="F998" s="349" t="s">
        <v>233</v>
      </c>
      <c r="G998" s="86" t="s">
        <v>206</v>
      </c>
      <c r="H998" s="65" t="s">
        <v>1053</v>
      </c>
      <c r="I998" s="86" t="s">
        <v>92</v>
      </c>
      <c r="J998" s="343">
        <v>0.7</v>
      </c>
      <c r="K998" s="351" t="str">
        <f t="shared" si="80"/>
        <v>nio</v>
      </c>
      <c r="L998" s="484" t="s">
        <v>804</v>
      </c>
      <c r="M998" s="448" t="str">
        <f>IF(L998="nio","",VLOOKUP(L998,'3-Productie normen'!$B$31:$H$45,3,FALSE))</f>
        <v/>
      </c>
      <c r="N998" s="353">
        <f t="shared" si="79"/>
        <v>0</v>
      </c>
      <c r="O998" s="354">
        <f>IF(L998="nio",0,IF(L998&gt;0,VLOOKUP(H998,'3-Productie normen'!A:P,VLOOKUP(L998,'3-Productie normen'!$B$31:$C$45,2,FALSE),FALSE)))/VLOOKUP(B998,'2-Kosten per locatie'!$A$13:$D$36,4,FALSE)</f>
        <v>0</v>
      </c>
      <c r="P998" s="82">
        <f>VLOOKUP(H998,'3-Productie normen'!A:T,20,FALSE)</f>
        <v>0</v>
      </c>
      <c r="Q998" s="447" t="s">
        <v>882</v>
      </c>
      <c r="S998" s="356">
        <f t="shared" si="81"/>
        <v>0</v>
      </c>
    </row>
    <row r="999" spans="1:19" ht="14.1" customHeight="1">
      <c r="A999" s="72">
        <f t="shared" si="82"/>
        <v>999</v>
      </c>
      <c r="B999" s="50" t="s">
        <v>818</v>
      </c>
      <c r="C999" s="50" t="s">
        <v>837</v>
      </c>
      <c r="D999" s="427" t="s">
        <v>1033</v>
      </c>
      <c r="E999" s="426" t="s">
        <v>612</v>
      </c>
      <c r="F999" s="349" t="s">
        <v>234</v>
      </c>
      <c r="G999" s="86" t="s">
        <v>212</v>
      </c>
      <c r="H999" s="65" t="s">
        <v>1053</v>
      </c>
      <c r="I999" s="86" t="s">
        <v>92</v>
      </c>
      <c r="J999" s="343">
        <v>6.8200001716613796</v>
      </c>
      <c r="K999" s="351" t="str">
        <f t="shared" si="80"/>
        <v>nio</v>
      </c>
      <c r="L999" s="484" t="s">
        <v>804</v>
      </c>
      <c r="M999" s="448" t="str">
        <f>IF(L999="nio","",VLOOKUP(L999,'3-Productie normen'!$B$31:$H$45,3,FALSE))</f>
        <v/>
      </c>
      <c r="N999" s="353">
        <f t="shared" si="79"/>
        <v>0</v>
      </c>
      <c r="O999" s="354">
        <f>IF(L999="nio",0,IF(L999&gt;0,VLOOKUP(H999,'3-Productie normen'!A:P,VLOOKUP(L999,'3-Productie normen'!$B$31:$C$45,2,FALSE),FALSE)))/VLOOKUP(B999,'2-Kosten per locatie'!$A$13:$D$36,4,FALSE)</f>
        <v>0</v>
      </c>
      <c r="P999" s="82">
        <f>VLOOKUP(H999,'3-Productie normen'!A:T,20,FALSE)</f>
        <v>0</v>
      </c>
      <c r="Q999" s="447" t="s">
        <v>792</v>
      </c>
      <c r="S999" s="356">
        <f t="shared" si="81"/>
        <v>0</v>
      </c>
    </row>
    <row r="1000" spans="1:19" ht="14.1" customHeight="1">
      <c r="A1000" s="72">
        <f t="shared" si="82"/>
        <v>1000</v>
      </c>
      <c r="B1000" s="50" t="s">
        <v>818</v>
      </c>
      <c r="C1000" s="50" t="s">
        <v>837</v>
      </c>
      <c r="D1000" s="427" t="s">
        <v>1034</v>
      </c>
      <c r="E1000" s="426" t="s">
        <v>612</v>
      </c>
      <c r="F1000" s="349" t="s">
        <v>236</v>
      </c>
      <c r="G1000" s="86" t="s">
        <v>404</v>
      </c>
      <c r="H1000" s="65" t="s">
        <v>731</v>
      </c>
      <c r="I1000" s="86" t="s">
        <v>789</v>
      </c>
      <c r="J1000" s="343">
        <v>5.32</v>
      </c>
      <c r="K1000" s="351">
        <f t="shared" si="80"/>
        <v>255</v>
      </c>
      <c r="L1000" s="484">
        <v>255</v>
      </c>
      <c r="M1000" s="448" t="str">
        <f>IF(L1000="nio","",VLOOKUP(L1000,'3-Productie normen'!$B$31:$H$45,3,FALSE))</f>
        <v>5 x per week (52 weken)</v>
      </c>
      <c r="N1000" s="353" t="e">
        <f t="shared" si="79"/>
        <v>#DIV/0!</v>
      </c>
      <c r="O1000" s="354">
        <f>IF(L1000="nio",0,IF(L1000&gt;0,VLOOKUP(H1000,'3-Productie normen'!A:P,VLOOKUP(L1000,'3-Productie normen'!$B$31:$C$45,2,FALSE),FALSE)))/VLOOKUP(B1000,'2-Kosten per locatie'!$A$13:$D$36,4,FALSE)</f>
        <v>0</v>
      </c>
      <c r="P1000" s="82" t="str">
        <f>VLOOKUP(H1000,'3-Productie normen'!A:T,20,FALSE)</f>
        <v>V</v>
      </c>
      <c r="Q1000" s="447" t="s">
        <v>792</v>
      </c>
      <c r="S1000" s="356">
        <f t="shared" si="81"/>
        <v>1356.6000000000001</v>
      </c>
    </row>
    <row r="1001" spans="1:19" ht="14.1" customHeight="1">
      <c r="A1001" s="72">
        <f t="shared" si="82"/>
        <v>1001</v>
      </c>
      <c r="B1001" s="50" t="s">
        <v>818</v>
      </c>
      <c r="C1001" s="50" t="s">
        <v>837</v>
      </c>
      <c r="D1001" s="427" t="s">
        <v>1034</v>
      </c>
      <c r="E1001" s="426" t="s">
        <v>612</v>
      </c>
      <c r="F1001" s="349" t="s">
        <v>237</v>
      </c>
      <c r="G1001" s="86" t="s">
        <v>404</v>
      </c>
      <c r="H1001" s="65" t="s">
        <v>731</v>
      </c>
      <c r="I1001" s="86" t="s">
        <v>789</v>
      </c>
      <c r="J1001" s="343">
        <v>5.32</v>
      </c>
      <c r="K1001" s="351">
        <f t="shared" si="80"/>
        <v>255</v>
      </c>
      <c r="L1001" s="484">
        <v>255</v>
      </c>
      <c r="M1001" s="448" t="str">
        <f>IF(L1001="nio","",VLOOKUP(L1001,'3-Productie normen'!$B$31:$H$45,3,FALSE))</f>
        <v>5 x per week (52 weken)</v>
      </c>
      <c r="N1001" s="353" t="e">
        <f t="shared" ref="N1001:N1064" si="83">IF(L1001="nio",0,IF(L1001&gt;0,L1001*J1001/O1001,0))</f>
        <v>#DIV/0!</v>
      </c>
      <c r="O1001" s="354">
        <f>IF(L1001="nio",0,IF(L1001&gt;0,VLOOKUP(H1001,'3-Productie normen'!A:P,VLOOKUP(L1001,'3-Productie normen'!$B$31:$C$45,2,FALSE),FALSE)))/VLOOKUP(B1001,'2-Kosten per locatie'!$A$13:$D$36,4,FALSE)</f>
        <v>0</v>
      </c>
      <c r="P1001" s="82" t="str">
        <f>VLOOKUP(H1001,'3-Productie normen'!A:T,20,FALSE)</f>
        <v>V</v>
      </c>
      <c r="Q1001" s="447" t="s">
        <v>792</v>
      </c>
      <c r="S1001" s="356">
        <f t="shared" si="81"/>
        <v>1356.6000000000001</v>
      </c>
    </row>
    <row r="1002" spans="1:19" ht="14.1" customHeight="1">
      <c r="A1002" s="72">
        <f t="shared" si="82"/>
        <v>1002</v>
      </c>
      <c r="B1002" s="50" t="s">
        <v>818</v>
      </c>
      <c r="C1002" s="50" t="s">
        <v>837</v>
      </c>
      <c r="D1002" s="427" t="s">
        <v>1034</v>
      </c>
      <c r="E1002" s="426" t="s">
        <v>612</v>
      </c>
      <c r="F1002" s="349" t="s">
        <v>240</v>
      </c>
      <c r="G1002" s="86" t="s">
        <v>404</v>
      </c>
      <c r="H1002" s="65" t="s">
        <v>731</v>
      </c>
      <c r="I1002" s="86" t="s">
        <v>789</v>
      </c>
      <c r="J1002" s="343">
        <v>6.61</v>
      </c>
      <c r="K1002" s="351">
        <f t="shared" si="80"/>
        <v>255</v>
      </c>
      <c r="L1002" s="484">
        <v>255</v>
      </c>
      <c r="M1002" s="448" t="str">
        <f>IF(L1002="nio","",VLOOKUP(L1002,'3-Productie normen'!$B$31:$H$45,3,FALSE))</f>
        <v>5 x per week (52 weken)</v>
      </c>
      <c r="N1002" s="353" t="e">
        <f t="shared" si="83"/>
        <v>#DIV/0!</v>
      </c>
      <c r="O1002" s="354">
        <f>IF(L1002="nio",0,IF(L1002&gt;0,VLOOKUP(H1002,'3-Productie normen'!A:P,VLOOKUP(L1002,'3-Productie normen'!$B$31:$C$45,2,FALSE),FALSE)))/VLOOKUP(B1002,'2-Kosten per locatie'!$A$13:$D$36,4,FALSE)</f>
        <v>0</v>
      </c>
      <c r="P1002" s="82" t="str">
        <f>VLOOKUP(H1002,'3-Productie normen'!A:T,20,FALSE)</f>
        <v>V</v>
      </c>
      <c r="Q1002" s="447" t="s">
        <v>792</v>
      </c>
      <c r="S1002" s="356">
        <f t="shared" si="81"/>
        <v>1685.5500000000002</v>
      </c>
    </row>
    <row r="1003" spans="1:19" ht="14.1" customHeight="1">
      <c r="A1003" s="72">
        <f t="shared" si="82"/>
        <v>1003</v>
      </c>
      <c r="B1003" s="50" t="s">
        <v>818</v>
      </c>
      <c r="C1003" s="50" t="s">
        <v>837</v>
      </c>
      <c r="D1003" s="427" t="s">
        <v>1034</v>
      </c>
      <c r="E1003" s="426" t="s">
        <v>612</v>
      </c>
      <c r="F1003" s="349" t="s">
        <v>243</v>
      </c>
      <c r="G1003" s="86" t="s">
        <v>256</v>
      </c>
      <c r="H1003" s="65" t="s">
        <v>731</v>
      </c>
      <c r="I1003" s="86" t="s">
        <v>789</v>
      </c>
      <c r="J1003" s="343">
        <v>37.869999999999997</v>
      </c>
      <c r="K1003" s="351">
        <f t="shared" si="80"/>
        <v>255</v>
      </c>
      <c r="L1003" s="484">
        <v>255</v>
      </c>
      <c r="M1003" s="448" t="str">
        <f>IF(L1003="nio","",VLOOKUP(L1003,'3-Productie normen'!$B$31:$H$45,3,FALSE))</f>
        <v>5 x per week (52 weken)</v>
      </c>
      <c r="N1003" s="353" t="e">
        <f t="shared" si="83"/>
        <v>#DIV/0!</v>
      </c>
      <c r="O1003" s="354">
        <f>IF(L1003="nio",0,IF(L1003&gt;0,VLOOKUP(H1003,'3-Productie normen'!A:P,VLOOKUP(L1003,'3-Productie normen'!$B$31:$C$45,2,FALSE),FALSE)))/VLOOKUP(B1003,'2-Kosten per locatie'!$A$13:$D$36,4,FALSE)</f>
        <v>0</v>
      </c>
      <c r="P1003" s="82" t="str">
        <f>VLOOKUP(H1003,'3-Productie normen'!A:T,20,FALSE)</f>
        <v>V</v>
      </c>
      <c r="Q1003" s="447" t="s">
        <v>792</v>
      </c>
      <c r="S1003" s="356">
        <f t="shared" si="81"/>
        <v>9656.8499999999985</v>
      </c>
    </row>
    <row r="1004" spans="1:19" ht="14.1" customHeight="1">
      <c r="A1004" s="72">
        <f t="shared" si="82"/>
        <v>1004</v>
      </c>
      <c r="B1004" s="50" t="s">
        <v>818</v>
      </c>
      <c r="C1004" s="50" t="s">
        <v>837</v>
      </c>
      <c r="D1004" s="427" t="s">
        <v>1034</v>
      </c>
      <c r="E1004" s="426" t="s">
        <v>612</v>
      </c>
      <c r="F1004" s="349" t="s">
        <v>244</v>
      </c>
      <c r="G1004" s="86" t="s">
        <v>711</v>
      </c>
      <c r="H1004" s="432" t="s">
        <v>198</v>
      </c>
      <c r="I1004" s="86" t="s">
        <v>789</v>
      </c>
      <c r="J1004" s="343">
        <v>9.0399999618530291</v>
      </c>
      <c r="K1004" s="351">
        <f t="shared" si="80"/>
        <v>255</v>
      </c>
      <c r="L1004" s="484">
        <v>255</v>
      </c>
      <c r="M1004" s="448" t="str">
        <f>IF(L1004="nio","",VLOOKUP(L1004,'3-Productie normen'!$B$31:$H$45,3,FALSE))</f>
        <v>5 x per week (52 weken)</v>
      </c>
      <c r="N1004" s="353" t="e">
        <f t="shared" si="83"/>
        <v>#DIV/0!</v>
      </c>
      <c r="O1004" s="354">
        <f>IF(L1004="nio",0,IF(L1004&gt;0,VLOOKUP(H1004,'3-Productie normen'!A:P,VLOOKUP(L1004,'3-Productie normen'!$B$31:$C$45,2,FALSE),FALSE)))/VLOOKUP(B1004,'2-Kosten per locatie'!$A$13:$D$36,4,FALSE)</f>
        <v>0</v>
      </c>
      <c r="P1004" s="82" t="str">
        <f>VLOOKUP(H1004,'3-Productie normen'!A:T,20,FALSE)</f>
        <v>V</v>
      </c>
      <c r="Q1004" s="447" t="s">
        <v>792</v>
      </c>
      <c r="S1004" s="356">
        <f t="shared" si="81"/>
        <v>2305.1999902725224</v>
      </c>
    </row>
    <row r="1005" spans="1:19" ht="14.1" customHeight="1">
      <c r="A1005" s="72">
        <f t="shared" si="82"/>
        <v>1005</v>
      </c>
      <c r="B1005" s="50" t="s">
        <v>818</v>
      </c>
      <c r="C1005" s="50" t="s">
        <v>837</v>
      </c>
      <c r="D1005" s="427" t="s">
        <v>1034</v>
      </c>
      <c r="E1005" s="426" t="s">
        <v>612</v>
      </c>
      <c r="F1005" s="349" t="s">
        <v>245</v>
      </c>
      <c r="G1005" s="86" t="s">
        <v>712</v>
      </c>
      <c r="H1005" s="81" t="s">
        <v>16</v>
      </c>
      <c r="I1005" s="86" t="s">
        <v>789</v>
      </c>
      <c r="J1005" s="343">
        <v>7.2</v>
      </c>
      <c r="K1005" s="351">
        <f t="shared" si="80"/>
        <v>255</v>
      </c>
      <c r="L1005" s="484">
        <v>255</v>
      </c>
      <c r="M1005" s="448" t="str">
        <f>IF(L1005="nio","",VLOOKUP(L1005,'3-Productie normen'!$B$31:$H$45,3,FALSE))</f>
        <v>5 x per week (52 weken)</v>
      </c>
      <c r="N1005" s="353" t="e">
        <f t="shared" si="83"/>
        <v>#DIV/0!</v>
      </c>
      <c r="O1005" s="354">
        <f>IF(L1005="nio",0,IF(L1005&gt;0,VLOOKUP(H1005,'3-Productie normen'!A:P,VLOOKUP(L1005,'3-Productie normen'!$B$31:$C$45,2,FALSE),FALSE)))/VLOOKUP(B1005,'2-Kosten per locatie'!$A$13:$D$36,4,FALSE)</f>
        <v>0</v>
      </c>
      <c r="P1005" s="82" t="str">
        <f>VLOOKUP(H1005,'3-Productie normen'!A:T,20,FALSE)</f>
        <v>S</v>
      </c>
      <c r="Q1005" s="447" t="s">
        <v>973</v>
      </c>
      <c r="S1005" s="356">
        <f t="shared" si="81"/>
        <v>1836</v>
      </c>
    </row>
    <row r="1006" spans="1:19" ht="14.1" customHeight="1">
      <c r="A1006" s="72">
        <f t="shared" si="82"/>
        <v>1006</v>
      </c>
      <c r="B1006" s="50" t="s">
        <v>818</v>
      </c>
      <c r="C1006" s="50" t="s">
        <v>837</v>
      </c>
      <c r="D1006" s="427" t="s">
        <v>1034</v>
      </c>
      <c r="E1006" s="426" t="s">
        <v>612</v>
      </c>
      <c r="F1006" s="349" t="s">
        <v>330</v>
      </c>
      <c r="G1006" s="86" t="s">
        <v>404</v>
      </c>
      <c r="H1006" s="65" t="s">
        <v>731</v>
      </c>
      <c r="I1006" s="86" t="s">
        <v>789</v>
      </c>
      <c r="J1006" s="343">
        <v>8.08</v>
      </c>
      <c r="K1006" s="351">
        <f t="shared" si="80"/>
        <v>255</v>
      </c>
      <c r="L1006" s="484">
        <v>255</v>
      </c>
      <c r="M1006" s="448" t="str">
        <f>IF(L1006="nio","",VLOOKUP(L1006,'3-Productie normen'!$B$31:$H$45,3,FALSE))</f>
        <v>5 x per week (52 weken)</v>
      </c>
      <c r="N1006" s="353" t="e">
        <f t="shared" si="83"/>
        <v>#DIV/0!</v>
      </c>
      <c r="O1006" s="354">
        <f>IF(L1006="nio",0,IF(L1006&gt;0,VLOOKUP(H1006,'3-Productie normen'!A:P,VLOOKUP(L1006,'3-Productie normen'!$B$31:$C$45,2,FALSE),FALSE)))/VLOOKUP(B1006,'2-Kosten per locatie'!$A$13:$D$36,4,FALSE)</f>
        <v>0</v>
      </c>
      <c r="P1006" s="82" t="str">
        <f>VLOOKUP(H1006,'3-Productie normen'!A:T,20,FALSE)</f>
        <v>V</v>
      </c>
      <c r="Q1006" s="447" t="s">
        <v>792</v>
      </c>
      <c r="S1006" s="356">
        <f t="shared" si="81"/>
        <v>2060.4</v>
      </c>
    </row>
    <row r="1007" spans="1:19" ht="14.1" customHeight="1">
      <c r="A1007" s="72">
        <f t="shared" si="82"/>
        <v>1007</v>
      </c>
      <c r="B1007" s="50" t="s">
        <v>818</v>
      </c>
      <c r="C1007" s="50" t="s">
        <v>837</v>
      </c>
      <c r="D1007" s="427" t="s">
        <v>1034</v>
      </c>
      <c r="E1007" s="426" t="s">
        <v>612</v>
      </c>
      <c r="F1007" s="349" t="s">
        <v>331</v>
      </c>
      <c r="G1007" s="86" t="s">
        <v>256</v>
      </c>
      <c r="H1007" s="65" t="s">
        <v>731</v>
      </c>
      <c r="I1007" s="86" t="s">
        <v>789</v>
      </c>
      <c r="J1007" s="343">
        <v>70.739999999999995</v>
      </c>
      <c r="K1007" s="351">
        <f t="shared" ref="K1007:K1070" si="84">L1007</f>
        <v>255</v>
      </c>
      <c r="L1007" s="484">
        <v>255</v>
      </c>
      <c r="M1007" s="448" t="str">
        <f>IF(L1007="nio","",VLOOKUP(L1007,'3-Productie normen'!$B$31:$H$45,3,FALSE))</f>
        <v>5 x per week (52 weken)</v>
      </c>
      <c r="N1007" s="353" t="e">
        <f t="shared" si="83"/>
        <v>#DIV/0!</v>
      </c>
      <c r="O1007" s="354">
        <f>IF(L1007="nio",0,IF(L1007&gt;0,VLOOKUP(H1007,'3-Productie normen'!A:P,VLOOKUP(L1007,'3-Productie normen'!$B$31:$C$45,2,FALSE),FALSE)))/VLOOKUP(B1007,'2-Kosten per locatie'!$A$13:$D$36,4,FALSE)</f>
        <v>0</v>
      </c>
      <c r="P1007" s="82" t="str">
        <f>VLOOKUP(H1007,'3-Productie normen'!A:T,20,FALSE)</f>
        <v>V</v>
      </c>
      <c r="Q1007" s="447" t="s">
        <v>792</v>
      </c>
      <c r="S1007" s="356">
        <f t="shared" si="81"/>
        <v>18038.699999999997</v>
      </c>
    </row>
    <row r="1008" spans="1:19" ht="14.1" customHeight="1">
      <c r="A1008" s="72">
        <f t="shared" si="82"/>
        <v>1008</v>
      </c>
      <c r="B1008" s="50" t="s">
        <v>818</v>
      </c>
      <c r="C1008" s="50" t="s">
        <v>837</v>
      </c>
      <c r="D1008" s="427" t="s">
        <v>1034</v>
      </c>
      <c r="E1008" s="426" t="s">
        <v>612</v>
      </c>
      <c r="F1008" s="349" t="s">
        <v>332</v>
      </c>
      <c r="G1008" s="86" t="s">
        <v>711</v>
      </c>
      <c r="H1008" s="65" t="s">
        <v>1040</v>
      </c>
      <c r="I1008" s="86" t="s">
        <v>789</v>
      </c>
      <c r="J1008" s="343">
        <v>1.98</v>
      </c>
      <c r="K1008" s="351">
        <f t="shared" si="84"/>
        <v>12</v>
      </c>
      <c r="L1008" s="484">
        <v>12</v>
      </c>
      <c r="M1008" s="448" t="str">
        <f>IF(L1008="nio","",VLOOKUP(L1008,'3-Productie normen'!$B$31:$H$45,3,FALSE))</f>
        <v>1 x per maand</v>
      </c>
      <c r="N1008" s="353" t="e">
        <f t="shared" si="83"/>
        <v>#DIV/0!</v>
      </c>
      <c r="O1008" s="354">
        <f>IF(L1008="nio",0,IF(L1008&gt;0,VLOOKUP(H1008,'3-Productie normen'!A:P,VLOOKUP(L1008,'3-Productie normen'!$B$31:$C$45,2,FALSE),FALSE)))/VLOOKUP(B1008,'2-Kosten per locatie'!$A$13:$D$36,4,FALSE)</f>
        <v>0</v>
      </c>
      <c r="P1008" s="82" t="str">
        <f>VLOOKUP(H1008,'3-Productie normen'!A:T,20,FALSE)</f>
        <v>V</v>
      </c>
      <c r="Q1008" s="447" t="s">
        <v>792</v>
      </c>
      <c r="S1008" s="356">
        <f t="shared" si="81"/>
        <v>23.759999999999998</v>
      </c>
    </row>
    <row r="1009" spans="1:19" ht="14.1" customHeight="1">
      <c r="A1009" s="72">
        <f t="shared" si="82"/>
        <v>1009</v>
      </c>
      <c r="B1009" s="50" t="s">
        <v>818</v>
      </c>
      <c r="C1009" s="50" t="s">
        <v>837</v>
      </c>
      <c r="D1009" s="427" t="s">
        <v>1034</v>
      </c>
      <c r="E1009" s="426" t="s">
        <v>612</v>
      </c>
      <c r="F1009" s="349" t="s">
        <v>333</v>
      </c>
      <c r="G1009" s="86" t="s">
        <v>711</v>
      </c>
      <c r="H1009" s="65" t="s">
        <v>1040</v>
      </c>
      <c r="I1009" s="86" t="s">
        <v>789</v>
      </c>
      <c r="J1009" s="343">
        <v>2.1</v>
      </c>
      <c r="K1009" s="351">
        <f t="shared" si="84"/>
        <v>12</v>
      </c>
      <c r="L1009" s="484">
        <v>12</v>
      </c>
      <c r="M1009" s="448" t="str">
        <f>IF(L1009="nio","",VLOOKUP(L1009,'3-Productie normen'!$B$31:$H$45,3,FALSE))</f>
        <v>1 x per maand</v>
      </c>
      <c r="N1009" s="353" t="e">
        <f t="shared" si="83"/>
        <v>#DIV/0!</v>
      </c>
      <c r="O1009" s="354">
        <f>IF(L1009="nio",0,IF(L1009&gt;0,VLOOKUP(H1009,'3-Productie normen'!A:P,VLOOKUP(L1009,'3-Productie normen'!$B$31:$C$45,2,FALSE),FALSE)))/VLOOKUP(B1009,'2-Kosten per locatie'!$A$13:$D$36,4,FALSE)</f>
        <v>0</v>
      </c>
      <c r="P1009" s="82" t="str">
        <f>VLOOKUP(H1009,'3-Productie normen'!A:T,20,FALSE)</f>
        <v>V</v>
      </c>
      <c r="Q1009" s="447" t="s">
        <v>792</v>
      </c>
      <c r="S1009" s="356">
        <f t="shared" si="81"/>
        <v>25.200000000000003</v>
      </c>
    </row>
    <row r="1010" spans="1:19" ht="14.1" customHeight="1">
      <c r="A1010" s="72">
        <f t="shared" si="82"/>
        <v>1010</v>
      </c>
      <c r="B1010" s="50" t="s">
        <v>818</v>
      </c>
      <c r="C1010" s="50" t="s">
        <v>837</v>
      </c>
      <c r="D1010" s="427" t="s">
        <v>1034</v>
      </c>
      <c r="E1010" s="426" t="s">
        <v>612</v>
      </c>
      <c r="F1010" s="349" t="s">
        <v>713</v>
      </c>
      <c r="G1010" s="86" t="s">
        <v>404</v>
      </c>
      <c r="H1010" s="65" t="s">
        <v>731</v>
      </c>
      <c r="I1010" s="86" t="s">
        <v>789</v>
      </c>
      <c r="J1010" s="343">
        <v>7.98</v>
      </c>
      <c r="K1010" s="351">
        <f t="shared" si="84"/>
        <v>208</v>
      </c>
      <c r="L1010" s="484">
        <v>208</v>
      </c>
      <c r="M1010" s="448" t="str">
        <f>IF(L1010="nio","",VLOOKUP(L1010,'3-Productie normen'!$B$31:$H$45,3,FALSE))</f>
        <v>4x per week (52 weken)</v>
      </c>
      <c r="N1010" s="353" t="e">
        <f t="shared" si="83"/>
        <v>#DIV/0!</v>
      </c>
      <c r="O1010" s="354">
        <f>IF(L1010="nio",0,IF(L1010&gt;0,VLOOKUP(H1010,'3-Productie normen'!A:P,VLOOKUP(L1010,'3-Productie normen'!$B$31:$C$45,2,FALSE),FALSE)))/VLOOKUP(B1010,'2-Kosten per locatie'!$A$13:$D$36,4,FALSE)</f>
        <v>0</v>
      </c>
      <c r="P1010" s="82" t="str">
        <f>VLOOKUP(H1010,'3-Productie normen'!A:T,20,FALSE)</f>
        <v>V</v>
      </c>
      <c r="Q1010" s="447"/>
      <c r="S1010" s="356">
        <f t="shared" si="81"/>
        <v>1659.8400000000001</v>
      </c>
    </row>
    <row r="1011" spans="1:19" ht="14.1" customHeight="1">
      <c r="A1011" s="72">
        <f t="shared" si="82"/>
        <v>1011</v>
      </c>
      <c r="B1011" s="50" t="s">
        <v>818</v>
      </c>
      <c r="C1011" s="50" t="s">
        <v>837</v>
      </c>
      <c r="D1011" s="427" t="s">
        <v>1034</v>
      </c>
      <c r="E1011" s="426" t="s">
        <v>612</v>
      </c>
      <c r="F1011" s="349" t="s">
        <v>334</v>
      </c>
      <c r="G1011" s="86" t="s">
        <v>712</v>
      </c>
      <c r="H1011" s="65" t="s">
        <v>16</v>
      </c>
      <c r="I1011" s="86" t="s">
        <v>781</v>
      </c>
      <c r="J1011" s="343">
        <v>12.23</v>
      </c>
      <c r="K1011" s="351">
        <f t="shared" si="84"/>
        <v>255</v>
      </c>
      <c r="L1011" s="484">
        <v>255</v>
      </c>
      <c r="M1011" s="448" t="str">
        <f>IF(L1011="nio","",VLOOKUP(L1011,'3-Productie normen'!$B$31:$H$45,3,FALSE))</f>
        <v>5 x per week (52 weken)</v>
      </c>
      <c r="N1011" s="353" t="e">
        <f t="shared" si="83"/>
        <v>#DIV/0!</v>
      </c>
      <c r="O1011" s="354">
        <f>IF(L1011="nio",0,IF(L1011&gt;0,VLOOKUP(H1011,'3-Productie normen'!A:P,VLOOKUP(L1011,'3-Productie normen'!$B$31:$C$45,2,FALSE),FALSE)))/VLOOKUP(B1011,'2-Kosten per locatie'!$A$13:$D$36,4,FALSE)</f>
        <v>0</v>
      </c>
      <c r="P1011" s="82" t="str">
        <f>VLOOKUP(H1011,'3-Productie normen'!A:T,20,FALSE)</f>
        <v>S</v>
      </c>
      <c r="Q1011" s="447" t="s">
        <v>973</v>
      </c>
      <c r="S1011" s="356">
        <f t="shared" si="81"/>
        <v>3118.65</v>
      </c>
    </row>
    <row r="1012" spans="1:19" ht="14.1" customHeight="1">
      <c r="A1012" s="72">
        <f t="shared" si="82"/>
        <v>1012</v>
      </c>
      <c r="B1012" s="50" t="s">
        <v>818</v>
      </c>
      <c r="C1012" s="50" t="s">
        <v>837</v>
      </c>
      <c r="D1012" s="427" t="s">
        <v>1034</v>
      </c>
      <c r="E1012" s="426" t="s">
        <v>612</v>
      </c>
      <c r="F1012" s="349" t="s">
        <v>336</v>
      </c>
      <c r="G1012" s="86" t="s">
        <v>404</v>
      </c>
      <c r="H1012" s="65" t="s">
        <v>731</v>
      </c>
      <c r="I1012" s="86" t="s">
        <v>789</v>
      </c>
      <c r="J1012" s="343">
        <v>7.1999998092651403</v>
      </c>
      <c r="K1012" s="351">
        <f t="shared" si="84"/>
        <v>255</v>
      </c>
      <c r="L1012" s="484">
        <v>255</v>
      </c>
      <c r="M1012" s="448" t="str">
        <f>IF(L1012="nio","",VLOOKUP(L1012,'3-Productie normen'!$B$31:$H$45,3,FALSE))</f>
        <v>5 x per week (52 weken)</v>
      </c>
      <c r="N1012" s="353" t="e">
        <f t="shared" si="83"/>
        <v>#DIV/0!</v>
      </c>
      <c r="O1012" s="354">
        <f>IF(L1012="nio",0,IF(L1012&gt;0,VLOOKUP(H1012,'3-Productie normen'!A:P,VLOOKUP(L1012,'3-Productie normen'!$B$31:$C$45,2,FALSE),FALSE)))/VLOOKUP(B1012,'2-Kosten per locatie'!$A$13:$D$36,4,FALSE)</f>
        <v>0</v>
      </c>
      <c r="P1012" s="82" t="str">
        <f>VLOOKUP(H1012,'3-Productie normen'!A:T,20,FALSE)</f>
        <v>V</v>
      </c>
      <c r="Q1012" s="447" t="s">
        <v>792</v>
      </c>
      <c r="S1012" s="356">
        <f t="shared" si="81"/>
        <v>1835.9999513626108</v>
      </c>
    </row>
    <row r="1013" spans="1:19" ht="14.1" customHeight="1">
      <c r="A1013" s="72">
        <f t="shared" si="82"/>
        <v>1013</v>
      </c>
      <c r="B1013" s="50" t="s">
        <v>818</v>
      </c>
      <c r="C1013" s="50" t="s">
        <v>837</v>
      </c>
      <c r="D1013" s="427" t="s">
        <v>1034</v>
      </c>
      <c r="E1013" s="426" t="s">
        <v>612</v>
      </c>
      <c r="F1013" s="349" t="s">
        <v>337</v>
      </c>
      <c r="G1013" s="86" t="s">
        <v>711</v>
      </c>
      <c r="H1013" s="65" t="s">
        <v>1040</v>
      </c>
      <c r="I1013" s="86" t="s">
        <v>789</v>
      </c>
      <c r="J1013" s="343">
        <v>2.75</v>
      </c>
      <c r="K1013" s="351">
        <f t="shared" si="84"/>
        <v>12</v>
      </c>
      <c r="L1013" s="484">
        <v>12</v>
      </c>
      <c r="M1013" s="448" t="str">
        <f>IF(L1013="nio","",VLOOKUP(L1013,'3-Productie normen'!$B$31:$H$45,3,FALSE))</f>
        <v>1 x per maand</v>
      </c>
      <c r="N1013" s="353" t="e">
        <f t="shared" si="83"/>
        <v>#DIV/0!</v>
      </c>
      <c r="O1013" s="354">
        <f>IF(L1013="nio",0,IF(L1013&gt;0,VLOOKUP(H1013,'3-Productie normen'!A:P,VLOOKUP(L1013,'3-Productie normen'!$B$31:$C$45,2,FALSE),FALSE)))/VLOOKUP(B1013,'2-Kosten per locatie'!$A$13:$D$36,4,FALSE)</f>
        <v>0</v>
      </c>
      <c r="P1013" s="82" t="str">
        <f>VLOOKUP(H1013,'3-Productie normen'!A:T,20,FALSE)</f>
        <v>V</v>
      </c>
      <c r="Q1013" s="447" t="s">
        <v>792</v>
      </c>
      <c r="S1013" s="356">
        <f t="shared" si="81"/>
        <v>33</v>
      </c>
    </row>
    <row r="1014" spans="1:19" ht="14.1" customHeight="1">
      <c r="A1014" s="72">
        <f t="shared" si="82"/>
        <v>1014</v>
      </c>
      <c r="B1014" s="50" t="s">
        <v>818</v>
      </c>
      <c r="C1014" s="50" t="s">
        <v>837</v>
      </c>
      <c r="D1014" s="427" t="s">
        <v>1034</v>
      </c>
      <c r="E1014" s="426" t="s">
        <v>612</v>
      </c>
      <c r="F1014" s="349" t="s">
        <v>338</v>
      </c>
      <c r="G1014" s="86" t="s">
        <v>256</v>
      </c>
      <c r="H1014" s="65" t="s">
        <v>731</v>
      </c>
      <c r="I1014" s="86" t="s">
        <v>789</v>
      </c>
      <c r="J1014" s="343">
        <v>51.38</v>
      </c>
      <c r="K1014" s="351">
        <f t="shared" si="84"/>
        <v>208</v>
      </c>
      <c r="L1014" s="484">
        <v>208</v>
      </c>
      <c r="M1014" s="448" t="str">
        <f>IF(L1014="nio","",VLOOKUP(L1014,'3-Productie normen'!$B$31:$H$45,3,FALSE))</f>
        <v>4x per week (52 weken)</v>
      </c>
      <c r="N1014" s="353" t="e">
        <f t="shared" si="83"/>
        <v>#DIV/0!</v>
      </c>
      <c r="O1014" s="354">
        <f>IF(L1014="nio",0,IF(L1014&gt;0,VLOOKUP(H1014,'3-Productie normen'!A:P,VLOOKUP(L1014,'3-Productie normen'!$B$31:$C$45,2,FALSE),FALSE)))/VLOOKUP(B1014,'2-Kosten per locatie'!$A$13:$D$36,4,FALSE)</f>
        <v>0</v>
      </c>
      <c r="P1014" s="82" t="str">
        <f>VLOOKUP(H1014,'3-Productie normen'!A:T,20,FALSE)</f>
        <v>V</v>
      </c>
      <c r="Q1014" s="447" t="s">
        <v>792</v>
      </c>
      <c r="S1014" s="356">
        <f t="shared" si="81"/>
        <v>10687.04</v>
      </c>
    </row>
    <row r="1015" spans="1:19" ht="14.1" customHeight="1">
      <c r="A1015" s="72">
        <f t="shared" si="82"/>
        <v>1015</v>
      </c>
      <c r="B1015" s="50" t="s">
        <v>818</v>
      </c>
      <c r="C1015" s="50" t="s">
        <v>837</v>
      </c>
      <c r="D1015" s="427" t="s">
        <v>1034</v>
      </c>
      <c r="E1015" s="426" t="s">
        <v>612</v>
      </c>
      <c r="F1015" s="349" t="s">
        <v>339</v>
      </c>
      <c r="G1015" s="86" t="s">
        <v>714</v>
      </c>
      <c r="H1015" s="65" t="s">
        <v>1040</v>
      </c>
      <c r="I1015" s="86" t="s">
        <v>789</v>
      </c>
      <c r="J1015" s="343">
        <v>2.29</v>
      </c>
      <c r="K1015" s="351">
        <f t="shared" si="84"/>
        <v>12</v>
      </c>
      <c r="L1015" s="484">
        <v>12</v>
      </c>
      <c r="M1015" s="448" t="str">
        <f>IF(L1015="nio","",VLOOKUP(L1015,'3-Productie normen'!$B$31:$H$45,3,FALSE))</f>
        <v>1 x per maand</v>
      </c>
      <c r="N1015" s="353" t="e">
        <f t="shared" si="83"/>
        <v>#DIV/0!</v>
      </c>
      <c r="O1015" s="354">
        <f>IF(L1015="nio",0,IF(L1015&gt;0,VLOOKUP(H1015,'3-Productie normen'!A:P,VLOOKUP(L1015,'3-Productie normen'!$B$31:$C$45,2,FALSE),FALSE)))/VLOOKUP(B1015,'2-Kosten per locatie'!$A$13:$D$36,4,FALSE)</f>
        <v>0</v>
      </c>
      <c r="P1015" s="82" t="str">
        <f>VLOOKUP(H1015,'3-Productie normen'!A:T,20,FALSE)</f>
        <v>V</v>
      </c>
      <c r="Q1015" s="447" t="s">
        <v>792</v>
      </c>
      <c r="S1015" s="356">
        <f t="shared" si="81"/>
        <v>27.48</v>
      </c>
    </row>
    <row r="1016" spans="1:19" ht="14.1" customHeight="1">
      <c r="A1016" s="72">
        <f t="shared" si="82"/>
        <v>1016</v>
      </c>
      <c r="B1016" s="50" t="s">
        <v>818</v>
      </c>
      <c r="C1016" s="50" t="s">
        <v>837</v>
      </c>
      <c r="D1016" s="427" t="s">
        <v>1034</v>
      </c>
      <c r="E1016" s="426" t="s">
        <v>612</v>
      </c>
      <c r="F1016" s="349" t="s">
        <v>340</v>
      </c>
      <c r="G1016" s="86" t="s">
        <v>404</v>
      </c>
      <c r="H1016" s="65" t="s">
        <v>731</v>
      </c>
      <c r="I1016" s="86" t="s">
        <v>789</v>
      </c>
      <c r="J1016" s="343">
        <v>7.07</v>
      </c>
      <c r="K1016" s="351">
        <f t="shared" si="84"/>
        <v>208</v>
      </c>
      <c r="L1016" s="484">
        <v>208</v>
      </c>
      <c r="M1016" s="448" t="str">
        <f>IF(L1016="nio","",VLOOKUP(L1016,'3-Productie normen'!$B$31:$H$45,3,FALSE))</f>
        <v>4x per week (52 weken)</v>
      </c>
      <c r="N1016" s="353" t="e">
        <f t="shared" si="83"/>
        <v>#DIV/0!</v>
      </c>
      <c r="O1016" s="354">
        <f>IF(L1016="nio",0,IF(L1016&gt;0,VLOOKUP(H1016,'3-Productie normen'!A:P,VLOOKUP(L1016,'3-Productie normen'!$B$31:$C$45,2,FALSE),FALSE)))/VLOOKUP(B1016,'2-Kosten per locatie'!$A$13:$D$36,4,FALSE)</f>
        <v>0</v>
      </c>
      <c r="P1016" s="82" t="str">
        <f>VLOOKUP(H1016,'3-Productie normen'!A:T,20,FALSE)</f>
        <v>V</v>
      </c>
      <c r="Q1016" s="447" t="s">
        <v>792</v>
      </c>
      <c r="S1016" s="356">
        <f t="shared" si="81"/>
        <v>1470.56</v>
      </c>
    </row>
    <row r="1017" spans="1:19" ht="14.1" customHeight="1">
      <c r="A1017" s="72">
        <f t="shared" si="82"/>
        <v>1017</v>
      </c>
      <c r="B1017" s="50" t="s">
        <v>818</v>
      </c>
      <c r="C1017" s="50" t="s">
        <v>837</v>
      </c>
      <c r="D1017" s="427" t="s">
        <v>1033</v>
      </c>
      <c r="E1017" s="426" t="s">
        <v>612</v>
      </c>
      <c r="F1017" s="349" t="s">
        <v>341</v>
      </c>
      <c r="G1017" s="86" t="s">
        <v>187</v>
      </c>
      <c r="H1017" s="430" t="s">
        <v>1046</v>
      </c>
      <c r="I1017" s="86" t="s">
        <v>784</v>
      </c>
      <c r="J1017" s="343">
        <v>5.82</v>
      </c>
      <c r="K1017" s="351">
        <f t="shared" si="84"/>
        <v>255</v>
      </c>
      <c r="L1017" s="484">
        <v>255</v>
      </c>
      <c r="M1017" s="448" t="str">
        <f>IF(L1017="nio","",VLOOKUP(L1017,'3-Productie normen'!$B$31:$H$45,3,FALSE))</f>
        <v>5 x per week (52 weken)</v>
      </c>
      <c r="N1017" s="353" t="e">
        <f t="shared" si="83"/>
        <v>#DIV/0!</v>
      </c>
      <c r="O1017" s="354">
        <f>IF(L1017="nio",0,IF(L1017&gt;0,VLOOKUP(H1017,'3-Productie normen'!A:P,VLOOKUP(L1017,'3-Productie normen'!$B$31:$C$45,2,FALSE),FALSE)))/VLOOKUP(B1017,'2-Kosten per locatie'!$A$13:$D$36,4,FALSE)</f>
        <v>0</v>
      </c>
      <c r="P1017" s="82" t="str">
        <f>VLOOKUP(H1017,'3-Productie normen'!A:T,20,FALSE)</f>
        <v>V</v>
      </c>
      <c r="Q1017" s="447" t="s">
        <v>946</v>
      </c>
      <c r="S1017" s="356">
        <f t="shared" si="81"/>
        <v>1484.1000000000001</v>
      </c>
    </row>
    <row r="1018" spans="1:19" ht="14.1" customHeight="1">
      <c r="A1018" s="72">
        <f t="shared" si="82"/>
        <v>1018</v>
      </c>
      <c r="B1018" s="50" t="s">
        <v>818</v>
      </c>
      <c r="C1018" s="50" t="s">
        <v>837</v>
      </c>
      <c r="D1018" s="427" t="s">
        <v>1033</v>
      </c>
      <c r="E1018" s="426" t="s">
        <v>612</v>
      </c>
      <c r="F1018" s="349" t="s">
        <v>188</v>
      </c>
      <c r="G1018" s="86" t="s">
        <v>188</v>
      </c>
      <c r="H1018" s="81" t="s">
        <v>1047</v>
      </c>
      <c r="I1018" s="86" t="s">
        <v>789</v>
      </c>
      <c r="J1018" s="343">
        <v>1.3999999761581401</v>
      </c>
      <c r="K1018" s="351">
        <f t="shared" si="84"/>
        <v>40</v>
      </c>
      <c r="L1018" s="484">
        <v>40</v>
      </c>
      <c r="M1018" s="448" t="str">
        <f>IF(L1018="nio","",VLOOKUP(L1018,'3-Productie normen'!$B$31:$H$45,3,FALSE))</f>
        <v>1 x per week (40 weken)</v>
      </c>
      <c r="N1018" s="353" t="e">
        <f t="shared" si="83"/>
        <v>#DIV/0!</v>
      </c>
      <c r="O1018" s="354">
        <f>IF(L1018="nio",0,IF(L1018&gt;0,VLOOKUP(H1018,'3-Productie normen'!A:P,VLOOKUP(L1018,'3-Productie normen'!$B$31:$C$45,2,FALSE),FALSE)))/VLOOKUP(B1018,'2-Kosten per locatie'!$A$13:$D$36,4,FALSE)</f>
        <v>0</v>
      </c>
      <c r="P1018" s="82" t="str">
        <f>VLOOKUP(H1018,'3-Productie normen'!A:T,20,FALSE)</f>
        <v>V</v>
      </c>
      <c r="Q1018" s="447" t="s">
        <v>792</v>
      </c>
      <c r="S1018" s="356">
        <f t="shared" si="81"/>
        <v>55.999999046325605</v>
      </c>
    </row>
    <row r="1019" spans="1:19" ht="14.1" customHeight="1">
      <c r="A1019" s="72">
        <f t="shared" si="82"/>
        <v>1019</v>
      </c>
      <c r="B1019" s="50" t="s">
        <v>818</v>
      </c>
      <c r="C1019" s="50" t="s">
        <v>837</v>
      </c>
      <c r="D1019" s="427" t="s">
        <v>1033</v>
      </c>
      <c r="E1019" s="426" t="s">
        <v>275</v>
      </c>
      <c r="F1019" s="349" t="s">
        <v>276</v>
      </c>
      <c r="G1019" s="86" t="s">
        <v>201</v>
      </c>
      <c r="H1019" s="432" t="s">
        <v>198</v>
      </c>
      <c r="I1019" s="86" t="s">
        <v>780</v>
      </c>
      <c r="J1019" s="343">
        <v>47.37</v>
      </c>
      <c r="K1019" s="351">
        <f t="shared" si="84"/>
        <v>200</v>
      </c>
      <c r="L1019" s="484">
        <v>200</v>
      </c>
      <c r="M1019" s="448" t="str">
        <f>IF(L1019="nio","",VLOOKUP(L1019,'3-Productie normen'!$B$31:$H$45,3,FALSE))</f>
        <v>5 x per week (40 weken)</v>
      </c>
      <c r="N1019" s="353" t="e">
        <f t="shared" si="83"/>
        <v>#DIV/0!</v>
      </c>
      <c r="O1019" s="354">
        <f>IF(L1019="nio",0,IF(L1019&gt;0,VLOOKUP(H1019,'3-Productie normen'!A:P,VLOOKUP(L1019,'3-Productie normen'!$B$31:$C$45,2,FALSE),FALSE)))/VLOOKUP(B1019,'2-Kosten per locatie'!$A$13:$D$36,4,FALSE)</f>
        <v>0</v>
      </c>
      <c r="P1019" s="82" t="str">
        <f>VLOOKUP(H1019,'3-Productie normen'!A:T,20,FALSE)</f>
        <v>V</v>
      </c>
      <c r="Q1019" s="447" t="s">
        <v>792</v>
      </c>
      <c r="S1019" s="356">
        <f t="shared" si="81"/>
        <v>9474</v>
      </c>
    </row>
    <row r="1020" spans="1:19" ht="14.1" customHeight="1">
      <c r="A1020" s="72">
        <f t="shared" si="82"/>
        <v>1020</v>
      </c>
      <c r="B1020" s="50" t="s">
        <v>818</v>
      </c>
      <c r="C1020" s="50" t="s">
        <v>837</v>
      </c>
      <c r="D1020" s="427" t="s">
        <v>1033</v>
      </c>
      <c r="E1020" s="426" t="s">
        <v>612</v>
      </c>
      <c r="F1020" s="349" t="s">
        <v>277</v>
      </c>
      <c r="G1020" s="86" t="s">
        <v>232</v>
      </c>
      <c r="H1020" s="430" t="s">
        <v>1046</v>
      </c>
      <c r="I1020" s="86" t="s">
        <v>797</v>
      </c>
      <c r="J1020" s="343">
        <v>4.16</v>
      </c>
      <c r="K1020" s="351">
        <f t="shared" si="84"/>
        <v>200</v>
      </c>
      <c r="L1020" s="484">
        <v>200</v>
      </c>
      <c r="M1020" s="448" t="str">
        <f>IF(L1020="nio","",VLOOKUP(L1020,'3-Productie normen'!$B$31:$H$45,3,FALSE))</f>
        <v>5 x per week (40 weken)</v>
      </c>
      <c r="N1020" s="353" t="e">
        <f t="shared" si="83"/>
        <v>#DIV/0!</v>
      </c>
      <c r="O1020" s="354">
        <f>IF(L1020="nio",0,IF(L1020&gt;0,VLOOKUP(H1020,'3-Productie normen'!A:P,VLOOKUP(L1020,'3-Productie normen'!$B$31:$C$45,2,FALSE),FALSE)))/VLOOKUP(B1020,'2-Kosten per locatie'!$A$13:$D$36,4,FALSE)</f>
        <v>0</v>
      </c>
      <c r="P1020" s="82" t="str">
        <f>VLOOKUP(H1020,'3-Productie normen'!A:T,20,FALSE)</f>
        <v>V</v>
      </c>
      <c r="Q1020" s="447" t="s">
        <v>1010</v>
      </c>
      <c r="S1020" s="356">
        <f t="shared" si="81"/>
        <v>832</v>
      </c>
    </row>
    <row r="1021" spans="1:19" ht="14.1" customHeight="1">
      <c r="A1021" s="72">
        <f t="shared" si="82"/>
        <v>1021</v>
      </c>
      <c r="B1021" s="50" t="s">
        <v>818</v>
      </c>
      <c r="C1021" s="50" t="s">
        <v>837</v>
      </c>
      <c r="D1021" s="427" t="s">
        <v>1033</v>
      </c>
      <c r="E1021" s="426" t="s">
        <v>612</v>
      </c>
      <c r="F1021" s="349" t="s">
        <v>715</v>
      </c>
      <c r="G1021" s="86" t="s">
        <v>232</v>
      </c>
      <c r="H1021" s="430" t="s">
        <v>1046</v>
      </c>
      <c r="I1021" s="86" t="s">
        <v>797</v>
      </c>
      <c r="J1021" s="343">
        <v>3.88</v>
      </c>
      <c r="K1021" s="351">
        <f t="shared" si="84"/>
        <v>200</v>
      </c>
      <c r="L1021" s="484">
        <v>200</v>
      </c>
      <c r="M1021" s="448" t="str">
        <f>IF(L1021="nio","",VLOOKUP(L1021,'3-Productie normen'!$B$31:$H$45,3,FALSE))</f>
        <v>5 x per week (40 weken)</v>
      </c>
      <c r="N1021" s="353" t="e">
        <f t="shared" si="83"/>
        <v>#DIV/0!</v>
      </c>
      <c r="O1021" s="354">
        <f>IF(L1021="nio",0,IF(L1021&gt;0,VLOOKUP(H1021,'3-Productie normen'!A:P,VLOOKUP(L1021,'3-Productie normen'!$B$31:$C$45,2,FALSE),FALSE)))/VLOOKUP(B1021,'2-Kosten per locatie'!$A$13:$D$36,4,FALSE)</f>
        <v>0</v>
      </c>
      <c r="P1021" s="82" t="str">
        <f>VLOOKUP(H1021,'3-Productie normen'!A:T,20,FALSE)</f>
        <v>V</v>
      </c>
      <c r="Q1021" s="447" t="s">
        <v>1010</v>
      </c>
      <c r="S1021" s="356">
        <f t="shared" si="81"/>
        <v>776</v>
      </c>
    </row>
    <row r="1022" spans="1:19" ht="14.1" customHeight="1">
      <c r="A1022" s="72">
        <f t="shared" si="82"/>
        <v>1022</v>
      </c>
      <c r="B1022" s="50" t="s">
        <v>818</v>
      </c>
      <c r="C1022" s="50" t="s">
        <v>837</v>
      </c>
      <c r="D1022" s="427" t="s">
        <v>1033</v>
      </c>
      <c r="E1022" s="426" t="s">
        <v>275</v>
      </c>
      <c r="F1022" s="349" t="s">
        <v>278</v>
      </c>
      <c r="G1022" s="86" t="s">
        <v>201</v>
      </c>
      <c r="H1022" s="432" t="s">
        <v>198</v>
      </c>
      <c r="I1022" s="86" t="s">
        <v>780</v>
      </c>
      <c r="J1022" s="343">
        <v>36.619999999999997</v>
      </c>
      <c r="K1022" s="351">
        <f t="shared" si="84"/>
        <v>200</v>
      </c>
      <c r="L1022" s="484">
        <v>200</v>
      </c>
      <c r="M1022" s="448" t="str">
        <f>IF(L1022="nio","",VLOOKUP(L1022,'3-Productie normen'!$B$31:$H$45,3,FALSE))</f>
        <v>5 x per week (40 weken)</v>
      </c>
      <c r="N1022" s="353" t="e">
        <f t="shared" si="83"/>
        <v>#DIV/0!</v>
      </c>
      <c r="O1022" s="354">
        <f>IF(L1022="nio",0,IF(L1022&gt;0,VLOOKUP(H1022,'3-Productie normen'!A:P,VLOOKUP(L1022,'3-Productie normen'!$B$31:$C$45,2,FALSE),FALSE)))/VLOOKUP(B1022,'2-Kosten per locatie'!$A$13:$D$36,4,FALSE)</f>
        <v>0</v>
      </c>
      <c r="P1022" s="82" t="str">
        <f>VLOOKUP(H1022,'3-Productie normen'!A:T,20,FALSE)</f>
        <v>V</v>
      </c>
      <c r="Q1022" s="447" t="s">
        <v>792</v>
      </c>
      <c r="S1022" s="356">
        <f t="shared" si="81"/>
        <v>7323.9999999999991</v>
      </c>
    </row>
    <row r="1023" spans="1:19" ht="14.1" customHeight="1">
      <c r="A1023" s="72">
        <f t="shared" si="82"/>
        <v>1023</v>
      </c>
      <c r="B1023" s="50" t="s">
        <v>818</v>
      </c>
      <c r="C1023" s="50" t="s">
        <v>837</v>
      </c>
      <c r="D1023" s="427" t="s">
        <v>1033</v>
      </c>
      <c r="E1023" s="426" t="s">
        <v>275</v>
      </c>
      <c r="F1023" s="349" t="s">
        <v>280</v>
      </c>
      <c r="G1023" s="86" t="s">
        <v>716</v>
      </c>
      <c r="H1023" s="86" t="s">
        <v>203</v>
      </c>
      <c r="I1023" s="86" t="s">
        <v>780</v>
      </c>
      <c r="J1023" s="343">
        <v>11.3</v>
      </c>
      <c r="K1023" s="351">
        <f t="shared" si="84"/>
        <v>120</v>
      </c>
      <c r="L1023" s="484">
        <v>120</v>
      </c>
      <c r="M1023" s="448" t="str">
        <f>IF(L1023="nio","",VLOOKUP(L1023,'3-Productie normen'!$B$31:$H$45,3,FALSE))</f>
        <v>3 x per week (40 weken)</v>
      </c>
      <c r="N1023" s="353" t="e">
        <f t="shared" si="83"/>
        <v>#DIV/0!</v>
      </c>
      <c r="O1023" s="354">
        <f>IF(L1023="nio",0,IF(L1023&gt;0,VLOOKUP(H1023,'3-Productie normen'!A:P,VLOOKUP(L1023,'3-Productie normen'!$B$31:$C$45,2,FALSE),FALSE)))/VLOOKUP(B1023,'2-Kosten per locatie'!$A$13:$D$36,4,FALSE)</f>
        <v>0</v>
      </c>
      <c r="P1023" s="82" t="str">
        <f>VLOOKUP(H1023,'3-Productie normen'!A:T,20,FALSE)</f>
        <v>B</v>
      </c>
      <c r="Q1023" s="447" t="s">
        <v>792</v>
      </c>
      <c r="S1023" s="356">
        <f t="shared" si="81"/>
        <v>1356</v>
      </c>
    </row>
    <row r="1024" spans="1:19" ht="14.1" customHeight="1">
      <c r="A1024" s="72">
        <f t="shared" si="82"/>
        <v>1024</v>
      </c>
      <c r="B1024" s="50" t="s">
        <v>818</v>
      </c>
      <c r="C1024" s="50" t="s">
        <v>837</v>
      </c>
      <c r="D1024" s="427" t="s">
        <v>1033</v>
      </c>
      <c r="E1024" s="426" t="s">
        <v>275</v>
      </c>
      <c r="F1024" s="349" t="s">
        <v>282</v>
      </c>
      <c r="G1024" s="86" t="s">
        <v>298</v>
      </c>
      <c r="H1024" s="50" t="s">
        <v>241</v>
      </c>
      <c r="I1024" s="86" t="s">
        <v>780</v>
      </c>
      <c r="J1024" s="343">
        <v>49.25</v>
      </c>
      <c r="K1024" s="351">
        <f t="shared" si="84"/>
        <v>201</v>
      </c>
      <c r="L1024" s="484">
        <v>201</v>
      </c>
      <c r="M1024" s="448" t="str">
        <f>IF(L1024="nio","",VLOOKUP(L1024,'3-Productie normen'!$B$31:$H$45,3,FALSE))</f>
        <v>5 x per week (40 weken + 1 Zomer refreshbeurt)</v>
      </c>
      <c r="N1024" s="353" t="e">
        <f t="shared" si="83"/>
        <v>#DIV/0!</v>
      </c>
      <c r="O1024" s="354">
        <f>IF(L1024="nio",0,IF(L1024&gt;0,VLOOKUP(H1024,'3-Productie normen'!A:P,VLOOKUP(L1024,'3-Productie normen'!$B$31:$C$45,2,FALSE),FALSE)))/VLOOKUP(B1024,'2-Kosten per locatie'!$A$13:$D$36,4,FALSE)</f>
        <v>0</v>
      </c>
      <c r="P1024" s="82" t="str">
        <f>VLOOKUP(H1024,'3-Productie normen'!A:T,20,FALSE)</f>
        <v>L</v>
      </c>
      <c r="Q1024" s="447" t="s">
        <v>881</v>
      </c>
      <c r="S1024" s="356">
        <f t="shared" si="81"/>
        <v>9899.25</v>
      </c>
    </row>
    <row r="1025" spans="1:19" ht="14.1" customHeight="1">
      <c r="A1025" s="72">
        <f t="shared" si="82"/>
        <v>1025</v>
      </c>
      <c r="B1025" s="50" t="s">
        <v>818</v>
      </c>
      <c r="C1025" s="50" t="s">
        <v>837</v>
      </c>
      <c r="D1025" s="427" t="s">
        <v>1033</v>
      </c>
      <c r="E1025" s="426" t="s">
        <v>275</v>
      </c>
      <c r="F1025" s="349" t="s">
        <v>663</v>
      </c>
      <c r="G1025" s="86" t="s">
        <v>209</v>
      </c>
      <c r="H1025" s="63" t="s">
        <v>1040</v>
      </c>
      <c r="I1025" s="86" t="s">
        <v>780</v>
      </c>
      <c r="J1025" s="343">
        <v>2</v>
      </c>
      <c r="K1025" s="351">
        <f t="shared" si="84"/>
        <v>12</v>
      </c>
      <c r="L1025" s="484">
        <v>12</v>
      </c>
      <c r="M1025" s="448" t="str">
        <f>IF(L1025="nio","",VLOOKUP(L1025,'3-Productie normen'!$B$31:$H$45,3,FALSE))</f>
        <v>1 x per maand</v>
      </c>
      <c r="N1025" s="353" t="e">
        <f t="shared" si="83"/>
        <v>#DIV/0!</v>
      </c>
      <c r="O1025" s="354">
        <f>IF(L1025="nio",0,IF(L1025&gt;0,VLOOKUP(H1025,'3-Productie normen'!A:P,VLOOKUP(L1025,'3-Productie normen'!$B$31:$C$45,2,FALSE),FALSE)))/VLOOKUP(B1025,'2-Kosten per locatie'!$A$13:$D$36,4,FALSE)</f>
        <v>0</v>
      </c>
      <c r="P1025" s="82" t="str">
        <f>VLOOKUP(H1025,'3-Productie normen'!A:T,20,FALSE)</f>
        <v>V</v>
      </c>
      <c r="Q1025" s="447" t="s">
        <v>792</v>
      </c>
      <c r="S1025" s="356">
        <f t="shared" ref="S1025:S1088" si="85">IF(L1025="nio",0,K1025*J1025)</f>
        <v>24</v>
      </c>
    </row>
    <row r="1026" spans="1:19" ht="14.1" customHeight="1">
      <c r="A1026" s="72">
        <f t="shared" si="82"/>
        <v>1026</v>
      </c>
      <c r="B1026" s="50" t="s">
        <v>818</v>
      </c>
      <c r="C1026" s="50" t="s">
        <v>837</v>
      </c>
      <c r="D1026" s="427" t="s">
        <v>1033</v>
      </c>
      <c r="E1026" s="426" t="s">
        <v>275</v>
      </c>
      <c r="F1026" s="349" t="s">
        <v>284</v>
      </c>
      <c r="G1026" s="86" t="s">
        <v>226</v>
      </c>
      <c r="H1026" s="86" t="s">
        <v>16</v>
      </c>
      <c r="I1026" s="86" t="s">
        <v>785</v>
      </c>
      <c r="J1026" s="343">
        <v>6.15</v>
      </c>
      <c r="K1026" s="351">
        <f t="shared" si="84"/>
        <v>201</v>
      </c>
      <c r="L1026" s="484">
        <v>201</v>
      </c>
      <c r="M1026" s="448" t="str">
        <f>IF(L1026="nio","",VLOOKUP(L1026,'3-Productie normen'!$B$31:$H$45,3,FALSE))</f>
        <v>5 x per week (40 weken + 1 Zomer refreshbeurt)</v>
      </c>
      <c r="N1026" s="353" t="e">
        <f t="shared" si="83"/>
        <v>#DIV/0!</v>
      </c>
      <c r="O1026" s="354">
        <f>IF(L1026="nio",0,IF(L1026&gt;0,VLOOKUP(H1026,'3-Productie normen'!A:P,VLOOKUP(L1026,'3-Productie normen'!$B$31:$C$45,2,FALSE),FALSE)))/VLOOKUP(B1026,'2-Kosten per locatie'!$A$13:$D$36,4,FALSE)</f>
        <v>0</v>
      </c>
      <c r="P1026" s="82" t="str">
        <f>VLOOKUP(H1026,'3-Productie normen'!A:T,20,FALSE)</f>
        <v>S</v>
      </c>
      <c r="Q1026" s="447" t="s">
        <v>855</v>
      </c>
      <c r="S1026" s="356">
        <f t="shared" si="85"/>
        <v>1236.1500000000001</v>
      </c>
    </row>
    <row r="1027" spans="1:19" ht="14.1" customHeight="1">
      <c r="A1027" s="72">
        <f t="shared" si="82"/>
        <v>1027</v>
      </c>
      <c r="B1027" s="50" t="s">
        <v>818</v>
      </c>
      <c r="C1027" s="50" t="s">
        <v>837</v>
      </c>
      <c r="D1027" s="427" t="s">
        <v>1033</v>
      </c>
      <c r="E1027" s="426" t="s">
        <v>275</v>
      </c>
      <c r="F1027" s="349" t="s">
        <v>285</v>
      </c>
      <c r="G1027" s="86" t="s">
        <v>215</v>
      </c>
      <c r="H1027" s="63" t="s">
        <v>1040</v>
      </c>
      <c r="I1027" s="86" t="s">
        <v>780</v>
      </c>
      <c r="J1027" s="343">
        <v>3.16</v>
      </c>
      <c r="K1027" s="351">
        <f t="shared" si="84"/>
        <v>12</v>
      </c>
      <c r="L1027" s="484">
        <v>12</v>
      </c>
      <c r="M1027" s="448" t="str">
        <f>IF(L1027="nio","",VLOOKUP(L1027,'3-Productie normen'!$B$31:$H$45,3,FALSE))</f>
        <v>1 x per maand</v>
      </c>
      <c r="N1027" s="353" t="e">
        <f t="shared" si="83"/>
        <v>#DIV/0!</v>
      </c>
      <c r="O1027" s="354">
        <f>IF(L1027="nio",0,IF(L1027&gt;0,VLOOKUP(H1027,'3-Productie normen'!A:P,VLOOKUP(L1027,'3-Productie normen'!$B$31:$C$45,2,FALSE),FALSE)))/VLOOKUP(B1027,'2-Kosten per locatie'!$A$13:$D$36,4,FALSE)</f>
        <v>0</v>
      </c>
      <c r="P1027" s="82" t="str">
        <f>VLOOKUP(H1027,'3-Productie normen'!A:T,20,FALSE)</f>
        <v>V</v>
      </c>
      <c r="Q1027" s="447" t="s">
        <v>853</v>
      </c>
      <c r="S1027" s="356">
        <f t="shared" si="85"/>
        <v>37.92</v>
      </c>
    </row>
    <row r="1028" spans="1:19" ht="14.1" customHeight="1">
      <c r="A1028" s="72">
        <f t="shared" si="82"/>
        <v>1028</v>
      </c>
      <c r="B1028" s="50" t="s">
        <v>818</v>
      </c>
      <c r="C1028" s="50" t="s">
        <v>837</v>
      </c>
      <c r="D1028" s="427" t="s">
        <v>1033</v>
      </c>
      <c r="E1028" s="426" t="s">
        <v>275</v>
      </c>
      <c r="F1028" s="349" t="s">
        <v>286</v>
      </c>
      <c r="G1028" s="86" t="s">
        <v>226</v>
      </c>
      <c r="H1028" s="86" t="s">
        <v>16</v>
      </c>
      <c r="I1028" s="86" t="s">
        <v>785</v>
      </c>
      <c r="J1028" s="343">
        <v>2.65</v>
      </c>
      <c r="K1028" s="351">
        <f t="shared" si="84"/>
        <v>201</v>
      </c>
      <c r="L1028" s="484">
        <v>201</v>
      </c>
      <c r="M1028" s="448" t="str">
        <f>IF(L1028="nio","",VLOOKUP(L1028,'3-Productie normen'!$B$31:$H$45,3,FALSE))</f>
        <v>5 x per week (40 weken + 1 Zomer refreshbeurt)</v>
      </c>
      <c r="N1028" s="353" t="e">
        <f t="shared" si="83"/>
        <v>#DIV/0!</v>
      </c>
      <c r="O1028" s="354">
        <f>IF(L1028="nio",0,IF(L1028&gt;0,VLOOKUP(H1028,'3-Productie normen'!A:P,VLOOKUP(L1028,'3-Productie normen'!$B$31:$C$45,2,FALSE),FALSE)))/VLOOKUP(B1028,'2-Kosten per locatie'!$A$13:$D$36,4,FALSE)</f>
        <v>0</v>
      </c>
      <c r="P1028" s="82" t="str">
        <f>VLOOKUP(H1028,'3-Productie normen'!A:T,20,FALSE)</f>
        <v>S</v>
      </c>
      <c r="Q1028" s="447" t="s">
        <v>857</v>
      </c>
      <c r="S1028" s="356">
        <f t="shared" si="85"/>
        <v>532.65</v>
      </c>
    </row>
    <row r="1029" spans="1:19" ht="14.1" customHeight="1">
      <c r="A1029" s="72">
        <f t="shared" si="82"/>
        <v>1029</v>
      </c>
      <c r="B1029" s="50" t="s">
        <v>818</v>
      </c>
      <c r="C1029" s="50" t="s">
        <v>837</v>
      </c>
      <c r="D1029" s="427" t="s">
        <v>1033</v>
      </c>
      <c r="E1029" s="426" t="s">
        <v>275</v>
      </c>
      <c r="F1029" s="349" t="s">
        <v>287</v>
      </c>
      <c r="G1029" s="86" t="s">
        <v>311</v>
      </c>
      <c r="H1029" s="81" t="s">
        <v>203</v>
      </c>
      <c r="I1029" s="86" t="s">
        <v>780</v>
      </c>
      <c r="J1029" s="343">
        <v>13.9</v>
      </c>
      <c r="K1029" s="351">
        <f t="shared" si="84"/>
        <v>120</v>
      </c>
      <c r="L1029" s="484">
        <v>120</v>
      </c>
      <c r="M1029" s="448" t="str">
        <f>IF(L1029="nio","",VLOOKUP(L1029,'3-Productie normen'!$B$31:$H$45,3,FALSE))</f>
        <v>3 x per week (40 weken)</v>
      </c>
      <c r="N1029" s="353" t="e">
        <f t="shared" si="83"/>
        <v>#DIV/0!</v>
      </c>
      <c r="O1029" s="354">
        <f>IF(L1029="nio",0,IF(L1029&gt;0,VLOOKUP(H1029,'3-Productie normen'!A:P,VLOOKUP(L1029,'3-Productie normen'!$B$31:$C$45,2,FALSE),FALSE)))/VLOOKUP(B1029,'2-Kosten per locatie'!$A$13:$D$36,4,FALSE)</f>
        <v>0</v>
      </c>
      <c r="P1029" s="82" t="str">
        <f>VLOOKUP(H1029,'3-Productie normen'!A:T,20,FALSE)</f>
        <v>B</v>
      </c>
      <c r="Q1029" s="447" t="s">
        <v>792</v>
      </c>
      <c r="S1029" s="356">
        <f t="shared" si="85"/>
        <v>1668</v>
      </c>
    </row>
    <row r="1030" spans="1:19" ht="14.1" customHeight="1">
      <c r="A1030" s="72">
        <f t="shared" si="82"/>
        <v>1030</v>
      </c>
      <c r="B1030" s="50" t="s">
        <v>818</v>
      </c>
      <c r="C1030" s="50" t="s">
        <v>837</v>
      </c>
      <c r="D1030" s="427" t="s">
        <v>1033</v>
      </c>
      <c r="E1030" s="426" t="s">
        <v>275</v>
      </c>
      <c r="F1030" s="349" t="s">
        <v>288</v>
      </c>
      <c r="G1030" s="86" t="s">
        <v>279</v>
      </c>
      <c r="H1030" s="50" t="s">
        <v>203</v>
      </c>
      <c r="I1030" s="86" t="s">
        <v>780</v>
      </c>
      <c r="J1030" s="343">
        <v>40.93</v>
      </c>
      <c r="K1030" s="351">
        <f t="shared" si="84"/>
        <v>201</v>
      </c>
      <c r="L1030" s="484">
        <v>201</v>
      </c>
      <c r="M1030" s="448" t="str">
        <f>IF(L1030="nio","",VLOOKUP(L1030,'3-Productie normen'!$B$31:$H$45,3,FALSE))</f>
        <v>5 x per week (40 weken + 1 Zomer refreshbeurt)</v>
      </c>
      <c r="N1030" s="353" t="e">
        <f t="shared" si="83"/>
        <v>#DIV/0!</v>
      </c>
      <c r="O1030" s="354">
        <f>IF(L1030="nio",0,IF(L1030&gt;0,VLOOKUP(H1030,'3-Productie normen'!A:P,VLOOKUP(L1030,'3-Productie normen'!$B$31:$C$45,2,FALSE),FALSE)))/VLOOKUP(B1030,'2-Kosten per locatie'!$A$13:$D$36,4,FALSE)</f>
        <v>0</v>
      </c>
      <c r="P1030" s="82" t="str">
        <f>VLOOKUP(H1030,'3-Productie normen'!A:T,20,FALSE)</f>
        <v>B</v>
      </c>
      <c r="Q1030" s="447" t="s">
        <v>792</v>
      </c>
      <c r="S1030" s="356">
        <f t="shared" si="85"/>
        <v>8226.93</v>
      </c>
    </row>
    <row r="1031" spans="1:19" ht="14.1" customHeight="1">
      <c r="A1031" s="72">
        <f t="shared" si="82"/>
        <v>1031</v>
      </c>
      <c r="B1031" s="50" t="s">
        <v>818</v>
      </c>
      <c r="C1031" s="50" t="s">
        <v>837</v>
      </c>
      <c r="D1031" s="427" t="s">
        <v>1033</v>
      </c>
      <c r="E1031" s="426" t="s">
        <v>275</v>
      </c>
      <c r="F1031" s="349" t="s">
        <v>289</v>
      </c>
      <c r="G1031" s="86" t="s">
        <v>209</v>
      </c>
      <c r="H1031" s="63" t="s">
        <v>1040</v>
      </c>
      <c r="I1031" s="86" t="s">
        <v>780</v>
      </c>
      <c r="J1031" s="343">
        <v>4.76</v>
      </c>
      <c r="K1031" s="351">
        <f t="shared" si="84"/>
        <v>12</v>
      </c>
      <c r="L1031" s="484">
        <v>12</v>
      </c>
      <c r="M1031" s="448" t="str">
        <f>IF(L1031="nio","",VLOOKUP(L1031,'3-Productie normen'!$B$31:$H$45,3,FALSE))</f>
        <v>1 x per maand</v>
      </c>
      <c r="N1031" s="353" t="e">
        <f t="shared" si="83"/>
        <v>#DIV/0!</v>
      </c>
      <c r="O1031" s="354">
        <f>IF(L1031="nio",0,IF(L1031&gt;0,VLOOKUP(H1031,'3-Productie normen'!A:P,VLOOKUP(L1031,'3-Productie normen'!$B$31:$C$45,2,FALSE),FALSE)))/VLOOKUP(B1031,'2-Kosten per locatie'!$A$13:$D$36,4,FALSE)</f>
        <v>0</v>
      </c>
      <c r="P1031" s="82" t="str">
        <f>VLOOKUP(H1031,'3-Productie normen'!A:T,20,FALSE)</f>
        <v>V</v>
      </c>
      <c r="Q1031" s="447" t="s">
        <v>792</v>
      </c>
      <c r="S1031" s="356">
        <f t="shared" si="85"/>
        <v>57.12</v>
      </c>
    </row>
    <row r="1032" spans="1:19" ht="14.1" customHeight="1">
      <c r="A1032" s="72">
        <f t="shared" si="82"/>
        <v>1032</v>
      </c>
      <c r="B1032" s="50" t="s">
        <v>818</v>
      </c>
      <c r="C1032" s="50" t="s">
        <v>837</v>
      </c>
      <c r="D1032" s="427" t="s">
        <v>1033</v>
      </c>
      <c r="E1032" s="426" t="s">
        <v>275</v>
      </c>
      <c r="F1032" s="349" t="s">
        <v>290</v>
      </c>
      <c r="G1032" s="86" t="s">
        <v>201</v>
      </c>
      <c r="H1032" s="432" t="s">
        <v>198</v>
      </c>
      <c r="I1032" s="86" t="s">
        <v>780</v>
      </c>
      <c r="J1032" s="343">
        <v>13.02</v>
      </c>
      <c r="K1032" s="351">
        <f t="shared" si="84"/>
        <v>200</v>
      </c>
      <c r="L1032" s="484">
        <v>200</v>
      </c>
      <c r="M1032" s="448" t="str">
        <f>IF(L1032="nio","",VLOOKUP(L1032,'3-Productie normen'!$B$31:$H$45,3,FALSE))</f>
        <v>5 x per week (40 weken)</v>
      </c>
      <c r="N1032" s="353" t="e">
        <f t="shared" si="83"/>
        <v>#DIV/0!</v>
      </c>
      <c r="O1032" s="354">
        <f>IF(L1032="nio",0,IF(L1032&gt;0,VLOOKUP(H1032,'3-Productie normen'!A:P,VLOOKUP(L1032,'3-Productie normen'!$B$31:$C$45,2,FALSE),FALSE)))/VLOOKUP(B1032,'2-Kosten per locatie'!$A$13:$D$36,4,FALSE)</f>
        <v>0</v>
      </c>
      <c r="P1032" s="82" t="str">
        <f>VLOOKUP(H1032,'3-Productie normen'!A:T,20,FALSE)</f>
        <v>V</v>
      </c>
      <c r="Q1032" s="447" t="s">
        <v>792</v>
      </c>
      <c r="S1032" s="356">
        <f t="shared" si="85"/>
        <v>2604</v>
      </c>
    </row>
    <row r="1033" spans="1:19" ht="14.1" customHeight="1">
      <c r="A1033" s="72">
        <f t="shared" si="82"/>
        <v>1033</v>
      </c>
      <c r="B1033" s="50" t="s">
        <v>818</v>
      </c>
      <c r="C1033" s="50" t="s">
        <v>837</v>
      </c>
      <c r="D1033" s="427" t="s">
        <v>1033</v>
      </c>
      <c r="E1033" s="426" t="s">
        <v>275</v>
      </c>
      <c r="F1033" s="349" t="s">
        <v>717</v>
      </c>
      <c r="G1033" s="86" t="s">
        <v>204</v>
      </c>
      <c r="H1033" s="86" t="s">
        <v>203</v>
      </c>
      <c r="I1033" s="86" t="s">
        <v>780</v>
      </c>
      <c r="J1033" s="343">
        <v>22.19</v>
      </c>
      <c r="K1033" s="351">
        <f t="shared" si="84"/>
        <v>120</v>
      </c>
      <c r="L1033" s="484">
        <v>120</v>
      </c>
      <c r="M1033" s="448" t="str">
        <f>IF(L1033="nio","",VLOOKUP(L1033,'3-Productie normen'!$B$31:$H$45,3,FALSE))</f>
        <v>3 x per week (40 weken)</v>
      </c>
      <c r="N1033" s="353" t="e">
        <f t="shared" si="83"/>
        <v>#DIV/0!</v>
      </c>
      <c r="O1033" s="354">
        <f>IF(L1033="nio",0,IF(L1033&gt;0,VLOOKUP(H1033,'3-Productie normen'!A:P,VLOOKUP(L1033,'3-Productie normen'!$B$31:$C$45,2,FALSE),FALSE)))/VLOOKUP(B1033,'2-Kosten per locatie'!$A$13:$D$36,4,FALSE)</f>
        <v>0</v>
      </c>
      <c r="P1033" s="82" t="str">
        <f>VLOOKUP(H1033,'3-Productie normen'!A:T,20,FALSE)</f>
        <v>B</v>
      </c>
      <c r="Q1033" s="447" t="s">
        <v>792</v>
      </c>
      <c r="S1033" s="356">
        <f t="shared" si="85"/>
        <v>2662.8</v>
      </c>
    </row>
    <row r="1034" spans="1:19" ht="14.1" customHeight="1">
      <c r="A1034" s="72">
        <f t="shared" si="82"/>
        <v>1034</v>
      </c>
      <c r="B1034" s="50" t="s">
        <v>818</v>
      </c>
      <c r="C1034" s="50" t="s">
        <v>837</v>
      </c>
      <c r="D1034" s="427" t="s">
        <v>1033</v>
      </c>
      <c r="E1034" s="426" t="s">
        <v>275</v>
      </c>
      <c r="F1034" s="349" t="s">
        <v>291</v>
      </c>
      <c r="G1034" s="86" t="s">
        <v>281</v>
      </c>
      <c r="H1034" s="86" t="s">
        <v>203</v>
      </c>
      <c r="I1034" s="86" t="s">
        <v>780</v>
      </c>
      <c r="J1034" s="343">
        <v>17.05</v>
      </c>
      <c r="K1034" s="351">
        <f t="shared" si="84"/>
        <v>120</v>
      </c>
      <c r="L1034" s="484">
        <v>120</v>
      </c>
      <c r="M1034" s="448" t="str">
        <f>IF(L1034="nio","",VLOOKUP(L1034,'3-Productie normen'!$B$31:$H$45,3,FALSE))</f>
        <v>3 x per week (40 weken)</v>
      </c>
      <c r="N1034" s="353" t="e">
        <f t="shared" si="83"/>
        <v>#DIV/0!</v>
      </c>
      <c r="O1034" s="354">
        <f>IF(L1034="nio",0,IF(L1034&gt;0,VLOOKUP(H1034,'3-Productie normen'!A:P,VLOOKUP(L1034,'3-Productie normen'!$B$31:$C$45,2,FALSE),FALSE)))/VLOOKUP(B1034,'2-Kosten per locatie'!$A$13:$D$36,4,FALSE)</f>
        <v>0</v>
      </c>
      <c r="P1034" s="82" t="str">
        <f>VLOOKUP(H1034,'3-Productie normen'!A:T,20,FALSE)</f>
        <v>B</v>
      </c>
      <c r="Q1034" s="447" t="s">
        <v>792</v>
      </c>
      <c r="S1034" s="356">
        <f t="shared" si="85"/>
        <v>2046</v>
      </c>
    </row>
    <row r="1035" spans="1:19" ht="14.1" customHeight="1">
      <c r="A1035" s="72">
        <f t="shared" ref="A1035:A1098" si="86">A1034+1</f>
        <v>1035</v>
      </c>
      <c r="B1035" s="50" t="s">
        <v>818</v>
      </c>
      <c r="C1035" s="50" t="s">
        <v>837</v>
      </c>
      <c r="D1035" s="427" t="s">
        <v>1034</v>
      </c>
      <c r="E1035" s="426" t="s">
        <v>275</v>
      </c>
      <c r="F1035" s="349" t="s">
        <v>292</v>
      </c>
      <c r="G1035" s="86" t="s">
        <v>403</v>
      </c>
      <c r="H1035" s="86" t="s">
        <v>16</v>
      </c>
      <c r="I1035" s="86" t="s">
        <v>785</v>
      </c>
      <c r="J1035" s="343">
        <v>6.21</v>
      </c>
      <c r="K1035" s="351">
        <f t="shared" si="84"/>
        <v>156</v>
      </c>
      <c r="L1035" s="484">
        <v>156</v>
      </c>
      <c r="M1035" s="448" t="str">
        <f>IF(L1035="nio","",VLOOKUP(L1035,'3-Productie normen'!$B$31:$H$45,3,FALSE))</f>
        <v>3 x per week( 52 weken; ma di en do)</v>
      </c>
      <c r="N1035" s="353" t="e">
        <f t="shared" si="83"/>
        <v>#DIV/0!</v>
      </c>
      <c r="O1035" s="354">
        <f>IF(L1035="nio",0,IF(L1035&gt;0,VLOOKUP(H1035,'3-Productie normen'!A:P,VLOOKUP(L1035,'3-Productie normen'!$B$31:$C$45,2,FALSE),FALSE)))/VLOOKUP(B1035,'2-Kosten per locatie'!$A$13:$D$36,4,FALSE)</f>
        <v>0</v>
      </c>
      <c r="P1035" s="82" t="str">
        <f>VLOOKUP(H1035,'3-Productie normen'!A:T,20,FALSE)</f>
        <v>S</v>
      </c>
      <c r="Q1035" s="447" t="s">
        <v>855</v>
      </c>
      <c r="S1035" s="356">
        <f t="shared" si="85"/>
        <v>968.76</v>
      </c>
    </row>
    <row r="1036" spans="1:19" ht="14.1" customHeight="1">
      <c r="A1036" s="72">
        <f t="shared" si="86"/>
        <v>1036</v>
      </c>
      <c r="B1036" s="50" t="s">
        <v>818</v>
      </c>
      <c r="C1036" s="50" t="s">
        <v>837</v>
      </c>
      <c r="D1036" s="427" t="s">
        <v>1033</v>
      </c>
      <c r="E1036" s="426" t="s">
        <v>275</v>
      </c>
      <c r="F1036" s="349" t="s">
        <v>293</v>
      </c>
      <c r="G1036" s="86" t="s">
        <v>226</v>
      </c>
      <c r="H1036" s="86" t="s">
        <v>16</v>
      </c>
      <c r="I1036" s="86" t="s">
        <v>785</v>
      </c>
      <c r="J1036" s="343">
        <v>2.5299999999999998</v>
      </c>
      <c r="K1036" s="351">
        <f t="shared" si="84"/>
        <v>201</v>
      </c>
      <c r="L1036" s="484">
        <v>201</v>
      </c>
      <c r="M1036" s="448" t="str">
        <f>IF(L1036="nio","",VLOOKUP(L1036,'3-Productie normen'!$B$31:$H$45,3,FALSE))</f>
        <v>5 x per week (40 weken + 1 Zomer refreshbeurt)</v>
      </c>
      <c r="N1036" s="353" t="e">
        <f t="shared" si="83"/>
        <v>#DIV/0!</v>
      </c>
      <c r="O1036" s="354">
        <f>IF(L1036="nio",0,IF(L1036&gt;0,VLOOKUP(H1036,'3-Productie normen'!A:P,VLOOKUP(L1036,'3-Productie normen'!$B$31:$C$45,2,FALSE),FALSE)))/VLOOKUP(B1036,'2-Kosten per locatie'!$A$13:$D$36,4,FALSE)</f>
        <v>0</v>
      </c>
      <c r="P1036" s="82" t="str">
        <f>VLOOKUP(H1036,'3-Productie normen'!A:T,20,FALSE)</f>
        <v>S</v>
      </c>
      <c r="Q1036" s="447" t="s">
        <v>857</v>
      </c>
      <c r="S1036" s="356">
        <f t="shared" si="85"/>
        <v>508.53</v>
      </c>
    </row>
    <row r="1037" spans="1:19" ht="14.1" customHeight="1">
      <c r="A1037" s="72">
        <f t="shared" si="86"/>
        <v>1037</v>
      </c>
      <c r="B1037" s="50" t="s">
        <v>818</v>
      </c>
      <c r="C1037" s="50" t="s">
        <v>837</v>
      </c>
      <c r="D1037" s="427" t="s">
        <v>1034</v>
      </c>
      <c r="E1037" s="426" t="s">
        <v>275</v>
      </c>
      <c r="F1037" s="349" t="s">
        <v>295</v>
      </c>
      <c r="G1037" s="86" t="s">
        <v>374</v>
      </c>
      <c r="H1037" s="63" t="s">
        <v>1040</v>
      </c>
      <c r="I1037" s="86" t="s">
        <v>780</v>
      </c>
      <c r="J1037" s="343">
        <v>4.76</v>
      </c>
      <c r="K1037" s="351">
        <f t="shared" si="84"/>
        <v>12</v>
      </c>
      <c r="L1037" s="484">
        <v>12</v>
      </c>
      <c r="M1037" s="448" t="str">
        <f>IF(L1037="nio","",VLOOKUP(L1037,'3-Productie normen'!$B$31:$H$45,3,FALSE))</f>
        <v>1 x per maand</v>
      </c>
      <c r="N1037" s="353" t="e">
        <f t="shared" si="83"/>
        <v>#DIV/0!</v>
      </c>
      <c r="O1037" s="354">
        <f>IF(L1037="nio",0,IF(L1037&gt;0,VLOOKUP(H1037,'3-Productie normen'!A:P,VLOOKUP(L1037,'3-Productie normen'!$B$31:$C$45,2,FALSE),FALSE)))/VLOOKUP(B1037,'2-Kosten per locatie'!$A$13:$D$36,4,FALSE)</f>
        <v>0</v>
      </c>
      <c r="P1037" s="82" t="str">
        <f>VLOOKUP(H1037,'3-Productie normen'!A:T,20,FALSE)</f>
        <v>V</v>
      </c>
      <c r="Q1037" s="447" t="s">
        <v>792</v>
      </c>
      <c r="S1037" s="356">
        <f t="shared" si="85"/>
        <v>57.12</v>
      </c>
    </row>
    <row r="1038" spans="1:19" ht="13.8" customHeight="1">
      <c r="A1038" s="72">
        <f t="shared" si="86"/>
        <v>1038</v>
      </c>
      <c r="B1038" s="50" t="s">
        <v>818</v>
      </c>
      <c r="C1038" s="50" t="s">
        <v>837</v>
      </c>
      <c r="D1038" s="427" t="s">
        <v>1034</v>
      </c>
      <c r="E1038" s="426" t="s">
        <v>275</v>
      </c>
      <c r="F1038" s="349" t="s">
        <v>296</v>
      </c>
      <c r="G1038" s="86" t="s">
        <v>239</v>
      </c>
      <c r="H1038" s="65" t="s">
        <v>731</v>
      </c>
      <c r="I1038" s="86" t="s">
        <v>780</v>
      </c>
      <c r="J1038" s="343">
        <v>52.28</v>
      </c>
      <c r="K1038" s="351">
        <f t="shared" si="84"/>
        <v>156</v>
      </c>
      <c r="L1038" s="484">
        <v>156</v>
      </c>
      <c r="M1038" s="448" t="str">
        <f>IF(L1038="nio","",VLOOKUP(L1038,'3-Productie normen'!$B$31:$H$45,3,FALSE))</f>
        <v>3 x per week( 52 weken; ma di en do)</v>
      </c>
      <c r="N1038" s="353" t="e">
        <f t="shared" si="83"/>
        <v>#DIV/0!</v>
      </c>
      <c r="O1038" s="354">
        <f>IF(L1038="nio",0,IF(L1038&gt;0,VLOOKUP(H1038,'3-Productie normen'!A:P,VLOOKUP(L1038,'3-Productie normen'!$B$31:$C$45,2,FALSE),FALSE)))/VLOOKUP(B1038,'2-Kosten per locatie'!$A$13:$D$36,4,FALSE)</f>
        <v>0</v>
      </c>
      <c r="P1038" s="82" t="str">
        <f>VLOOKUP(H1038,'3-Productie normen'!A:T,20,FALSE)</f>
        <v>V</v>
      </c>
      <c r="Q1038" s="447" t="s">
        <v>792</v>
      </c>
      <c r="S1038" s="356">
        <f t="shared" si="85"/>
        <v>8155.68</v>
      </c>
    </row>
    <row r="1039" spans="1:19" ht="14.1" customHeight="1">
      <c r="A1039" s="72">
        <f t="shared" si="86"/>
        <v>1039</v>
      </c>
      <c r="B1039" s="50" t="s">
        <v>818</v>
      </c>
      <c r="C1039" s="50" t="s">
        <v>837</v>
      </c>
      <c r="D1039" s="427" t="s">
        <v>1034</v>
      </c>
      <c r="E1039" s="426" t="s">
        <v>275</v>
      </c>
      <c r="F1039" s="349" t="s">
        <v>297</v>
      </c>
      <c r="G1039" s="86" t="s">
        <v>377</v>
      </c>
      <c r="H1039" s="81" t="s">
        <v>1039</v>
      </c>
      <c r="I1039" s="86" t="s">
        <v>780</v>
      </c>
      <c r="J1039" s="343">
        <v>5.8</v>
      </c>
      <c r="K1039" s="351">
        <f t="shared" si="84"/>
        <v>156</v>
      </c>
      <c r="L1039" s="484">
        <v>156</v>
      </c>
      <c r="M1039" s="448" t="str">
        <f>IF(L1039="nio","",VLOOKUP(L1039,'3-Productie normen'!$B$31:$H$45,3,FALSE))</f>
        <v>3 x per week( 52 weken; ma di en do)</v>
      </c>
      <c r="N1039" s="353" t="e">
        <f t="shared" si="83"/>
        <v>#DIV/0!</v>
      </c>
      <c r="O1039" s="354">
        <f>IF(L1039="nio",0,IF(L1039&gt;0,VLOOKUP(H1039,'3-Productie normen'!A:P,VLOOKUP(L1039,'3-Productie normen'!$B$31:$C$45,2,FALSE),FALSE)))/VLOOKUP(B1039,'2-Kosten per locatie'!$A$13:$D$36,4,FALSE)</f>
        <v>0</v>
      </c>
      <c r="P1039" s="82" t="str">
        <f>VLOOKUP(H1039,'3-Productie normen'!A:T,20,FALSE)</f>
        <v>V</v>
      </c>
      <c r="Q1039" s="447" t="s">
        <v>792</v>
      </c>
      <c r="S1039" s="356">
        <f t="shared" si="85"/>
        <v>904.8</v>
      </c>
    </row>
    <row r="1040" spans="1:19" ht="14.1" customHeight="1">
      <c r="A1040" s="72">
        <f t="shared" si="86"/>
        <v>1040</v>
      </c>
      <c r="B1040" s="50" t="s">
        <v>818</v>
      </c>
      <c r="C1040" s="50" t="s">
        <v>837</v>
      </c>
      <c r="D1040" s="427" t="s">
        <v>1034</v>
      </c>
      <c r="E1040" s="426" t="s">
        <v>275</v>
      </c>
      <c r="F1040" s="349" t="s">
        <v>299</v>
      </c>
      <c r="G1040" s="86" t="s">
        <v>377</v>
      </c>
      <c r="H1040" s="81" t="s">
        <v>1039</v>
      </c>
      <c r="I1040" s="86" t="s">
        <v>780</v>
      </c>
      <c r="J1040" s="343">
        <v>5.8</v>
      </c>
      <c r="K1040" s="351">
        <f t="shared" si="84"/>
        <v>156</v>
      </c>
      <c r="L1040" s="484">
        <v>156</v>
      </c>
      <c r="M1040" s="448" t="str">
        <f>IF(L1040="nio","",VLOOKUP(L1040,'3-Productie normen'!$B$31:$H$45,3,FALSE))</f>
        <v>3 x per week( 52 weken; ma di en do)</v>
      </c>
      <c r="N1040" s="353" t="e">
        <f t="shared" si="83"/>
        <v>#DIV/0!</v>
      </c>
      <c r="O1040" s="354">
        <f>IF(L1040="nio",0,IF(L1040&gt;0,VLOOKUP(H1040,'3-Productie normen'!A:P,VLOOKUP(L1040,'3-Productie normen'!$B$31:$C$45,2,FALSE),FALSE)))/VLOOKUP(B1040,'2-Kosten per locatie'!$A$13:$D$36,4,FALSE)</f>
        <v>0</v>
      </c>
      <c r="P1040" s="82" t="str">
        <f>VLOOKUP(H1040,'3-Productie normen'!A:T,20,FALSE)</f>
        <v>V</v>
      </c>
      <c r="Q1040" s="447" t="s">
        <v>792</v>
      </c>
      <c r="S1040" s="356">
        <f t="shared" si="85"/>
        <v>904.8</v>
      </c>
    </row>
    <row r="1041" spans="1:19" ht="14.1" customHeight="1">
      <c r="A1041" s="72">
        <f t="shared" si="86"/>
        <v>1041</v>
      </c>
      <c r="B1041" s="50" t="s">
        <v>818</v>
      </c>
      <c r="C1041" s="50" t="s">
        <v>837</v>
      </c>
      <c r="D1041" s="427" t="s">
        <v>1033</v>
      </c>
      <c r="E1041" s="426" t="s">
        <v>275</v>
      </c>
      <c r="F1041" s="349" t="s">
        <v>300</v>
      </c>
      <c r="G1041" s="86" t="s">
        <v>201</v>
      </c>
      <c r="H1041" s="432" t="s">
        <v>198</v>
      </c>
      <c r="I1041" s="86" t="s">
        <v>780</v>
      </c>
      <c r="J1041" s="343">
        <v>3.38</v>
      </c>
      <c r="K1041" s="351">
        <f t="shared" si="84"/>
        <v>200</v>
      </c>
      <c r="L1041" s="484">
        <v>200</v>
      </c>
      <c r="M1041" s="448" t="str">
        <f>IF(L1041="nio","",VLOOKUP(L1041,'3-Productie normen'!$B$31:$H$45,3,FALSE))</f>
        <v>5 x per week (40 weken)</v>
      </c>
      <c r="N1041" s="353" t="e">
        <f t="shared" si="83"/>
        <v>#DIV/0!</v>
      </c>
      <c r="O1041" s="354">
        <f>IF(L1041="nio",0,IF(L1041&gt;0,VLOOKUP(H1041,'3-Productie normen'!A:P,VLOOKUP(L1041,'3-Productie normen'!$B$31:$C$45,2,FALSE),FALSE)))/VLOOKUP(B1041,'2-Kosten per locatie'!$A$13:$D$36,4,FALSE)</f>
        <v>0</v>
      </c>
      <c r="P1041" s="82" t="str">
        <f>VLOOKUP(H1041,'3-Productie normen'!A:T,20,FALSE)</f>
        <v>V</v>
      </c>
      <c r="Q1041" s="447" t="s">
        <v>1011</v>
      </c>
      <c r="S1041" s="356">
        <f t="shared" si="85"/>
        <v>676</v>
      </c>
    </row>
    <row r="1042" spans="1:19" ht="14.1" customHeight="1">
      <c r="A1042" s="72">
        <f t="shared" si="86"/>
        <v>1042</v>
      </c>
      <c r="B1042" s="50" t="s">
        <v>818</v>
      </c>
      <c r="C1042" s="50" t="s">
        <v>837</v>
      </c>
      <c r="D1042" s="427" t="s">
        <v>1033</v>
      </c>
      <c r="E1042" s="426" t="s">
        <v>612</v>
      </c>
      <c r="F1042" s="349" t="s">
        <v>718</v>
      </c>
      <c r="G1042" s="86" t="s">
        <v>232</v>
      </c>
      <c r="H1042" s="430" t="s">
        <v>1046</v>
      </c>
      <c r="I1042" s="86" t="s">
        <v>798</v>
      </c>
      <c r="J1042" s="343">
        <v>6.67</v>
      </c>
      <c r="K1042" s="351">
        <f t="shared" si="84"/>
        <v>12</v>
      </c>
      <c r="L1042" s="484">
        <v>12</v>
      </c>
      <c r="M1042" s="448" t="str">
        <f>IF(L1042="nio","",VLOOKUP(L1042,'3-Productie normen'!$B$31:$H$45,3,FALSE))</f>
        <v>1 x per maand</v>
      </c>
      <c r="N1042" s="353" t="e">
        <f t="shared" si="83"/>
        <v>#DIV/0!</v>
      </c>
      <c r="O1042" s="354">
        <f>IF(L1042="nio",0,IF(L1042&gt;0,VLOOKUP(H1042,'3-Productie normen'!A:P,VLOOKUP(L1042,'3-Productie normen'!$B$31:$C$45,2,FALSE),FALSE)))/VLOOKUP(B1042,'2-Kosten per locatie'!$A$13:$D$36,4,FALSE)</f>
        <v>0</v>
      </c>
      <c r="P1042" s="82" t="str">
        <f>VLOOKUP(H1042,'3-Productie normen'!A:T,20,FALSE)</f>
        <v>V</v>
      </c>
      <c r="Q1042" s="447" t="s">
        <v>960</v>
      </c>
      <c r="S1042" s="356">
        <f t="shared" si="85"/>
        <v>80.039999999999992</v>
      </c>
    </row>
    <row r="1043" spans="1:19" ht="14.1" customHeight="1">
      <c r="A1043" s="72">
        <f t="shared" si="86"/>
        <v>1043</v>
      </c>
      <c r="B1043" s="50" t="s">
        <v>818</v>
      </c>
      <c r="C1043" s="50" t="s">
        <v>837</v>
      </c>
      <c r="D1043" s="427" t="s">
        <v>1033</v>
      </c>
      <c r="E1043" s="426" t="s">
        <v>275</v>
      </c>
      <c r="F1043" s="349" t="s">
        <v>301</v>
      </c>
      <c r="G1043" s="86" t="s">
        <v>201</v>
      </c>
      <c r="H1043" s="432" t="s">
        <v>198</v>
      </c>
      <c r="I1043" s="86" t="s">
        <v>790</v>
      </c>
      <c r="J1043" s="343">
        <v>8.06</v>
      </c>
      <c r="K1043" s="351">
        <f t="shared" si="84"/>
        <v>200</v>
      </c>
      <c r="L1043" s="484">
        <v>200</v>
      </c>
      <c r="M1043" s="448" t="str">
        <f>IF(L1043="nio","",VLOOKUP(L1043,'3-Productie normen'!$B$31:$H$45,3,FALSE))</f>
        <v>5 x per week (40 weken)</v>
      </c>
      <c r="N1043" s="353" t="e">
        <f t="shared" si="83"/>
        <v>#DIV/0!</v>
      </c>
      <c r="O1043" s="354">
        <f>IF(L1043="nio",0,IF(L1043&gt;0,VLOOKUP(H1043,'3-Productie normen'!A:P,VLOOKUP(L1043,'3-Productie normen'!$B$31:$C$45,2,FALSE),FALSE)))/VLOOKUP(B1043,'2-Kosten per locatie'!$A$13:$D$36,4,FALSE)</f>
        <v>0</v>
      </c>
      <c r="P1043" s="82" t="str">
        <f>VLOOKUP(H1043,'3-Productie normen'!A:T,20,FALSE)</f>
        <v>V</v>
      </c>
      <c r="Q1043" s="447" t="s">
        <v>792</v>
      </c>
      <c r="S1043" s="356">
        <f t="shared" si="85"/>
        <v>1612</v>
      </c>
    </row>
    <row r="1044" spans="1:19" ht="14.1" customHeight="1">
      <c r="A1044" s="72">
        <f t="shared" si="86"/>
        <v>1044</v>
      </c>
      <c r="B1044" s="50" t="s">
        <v>818</v>
      </c>
      <c r="C1044" s="50" t="s">
        <v>837</v>
      </c>
      <c r="D1044" s="427" t="s">
        <v>1033</v>
      </c>
      <c r="E1044" s="426" t="s">
        <v>275</v>
      </c>
      <c r="F1044" s="349" t="s">
        <v>302</v>
      </c>
      <c r="G1044" s="86" t="s">
        <v>201</v>
      </c>
      <c r="H1044" s="432" t="s">
        <v>198</v>
      </c>
      <c r="I1044" s="86" t="s">
        <v>780</v>
      </c>
      <c r="J1044" s="343">
        <v>14.87</v>
      </c>
      <c r="K1044" s="351">
        <f t="shared" si="84"/>
        <v>200</v>
      </c>
      <c r="L1044" s="484">
        <v>200</v>
      </c>
      <c r="M1044" s="448" t="str">
        <f>IF(L1044="nio","",VLOOKUP(L1044,'3-Productie normen'!$B$31:$H$45,3,FALSE))</f>
        <v>5 x per week (40 weken)</v>
      </c>
      <c r="N1044" s="353" t="e">
        <f t="shared" si="83"/>
        <v>#DIV/0!</v>
      </c>
      <c r="O1044" s="354">
        <f>IF(L1044="nio",0,IF(L1044&gt;0,VLOOKUP(H1044,'3-Productie normen'!A:P,VLOOKUP(L1044,'3-Productie normen'!$B$31:$C$45,2,FALSE),FALSE)))/VLOOKUP(B1044,'2-Kosten per locatie'!$A$13:$D$36,4,FALSE)</f>
        <v>0</v>
      </c>
      <c r="P1044" s="82" t="str">
        <f>VLOOKUP(H1044,'3-Productie normen'!A:T,20,FALSE)</f>
        <v>V</v>
      </c>
      <c r="Q1044" s="447" t="s">
        <v>792</v>
      </c>
      <c r="S1044" s="356">
        <f t="shared" si="85"/>
        <v>2974</v>
      </c>
    </row>
    <row r="1045" spans="1:19" ht="14.1" customHeight="1">
      <c r="A1045" s="72">
        <f t="shared" si="86"/>
        <v>1045</v>
      </c>
      <c r="B1045" s="50" t="s">
        <v>818</v>
      </c>
      <c r="C1045" s="50" t="s">
        <v>837</v>
      </c>
      <c r="D1045" s="427" t="s">
        <v>1033</v>
      </c>
      <c r="E1045" s="426" t="s">
        <v>275</v>
      </c>
      <c r="F1045" s="349" t="s">
        <v>303</v>
      </c>
      <c r="G1045" s="431" t="s">
        <v>229</v>
      </c>
      <c r="H1045" s="432" t="s">
        <v>198</v>
      </c>
      <c r="I1045" s="86" t="s">
        <v>780</v>
      </c>
      <c r="J1045" s="343">
        <v>37.54</v>
      </c>
      <c r="K1045" s="351">
        <f t="shared" si="84"/>
        <v>200</v>
      </c>
      <c r="L1045" s="484">
        <v>200</v>
      </c>
      <c r="M1045" s="448" t="str">
        <f>IF(L1045="nio","",VLOOKUP(L1045,'3-Productie normen'!$B$31:$H$45,3,FALSE))</f>
        <v>5 x per week (40 weken)</v>
      </c>
      <c r="N1045" s="353" t="e">
        <f t="shared" si="83"/>
        <v>#DIV/0!</v>
      </c>
      <c r="O1045" s="354">
        <f>IF(L1045="nio",0,IF(L1045&gt;0,VLOOKUP(H1045,'3-Productie normen'!A:P,VLOOKUP(L1045,'3-Productie normen'!$B$31:$C$45,2,FALSE),FALSE)))/VLOOKUP(B1045,'2-Kosten per locatie'!$A$13:$D$36,4,FALSE)</f>
        <v>0</v>
      </c>
      <c r="P1045" s="82" t="str">
        <f>VLOOKUP(H1045,'3-Productie normen'!A:T,20,FALSE)</f>
        <v>V</v>
      </c>
      <c r="Q1045" s="447" t="s">
        <v>792</v>
      </c>
      <c r="S1045" s="356">
        <f t="shared" si="85"/>
        <v>7508</v>
      </c>
    </row>
    <row r="1046" spans="1:19" ht="14.1" customHeight="1">
      <c r="A1046" s="72">
        <f t="shared" si="86"/>
        <v>1046</v>
      </c>
      <c r="B1046" s="50" t="s">
        <v>818</v>
      </c>
      <c r="C1046" s="50" t="s">
        <v>837</v>
      </c>
      <c r="D1046" s="427" t="s">
        <v>1033</v>
      </c>
      <c r="E1046" s="426" t="s">
        <v>275</v>
      </c>
      <c r="F1046" s="349" t="s">
        <v>421</v>
      </c>
      <c r="G1046" s="86" t="s">
        <v>242</v>
      </c>
      <c r="H1046" s="50" t="s">
        <v>241</v>
      </c>
      <c r="I1046" s="86" t="s">
        <v>780</v>
      </c>
      <c r="J1046" s="343">
        <v>50.2</v>
      </c>
      <c r="K1046" s="351">
        <f t="shared" si="84"/>
        <v>201</v>
      </c>
      <c r="L1046" s="484">
        <v>201</v>
      </c>
      <c r="M1046" s="448" t="str">
        <f>IF(L1046="nio","",VLOOKUP(L1046,'3-Productie normen'!$B$31:$H$45,3,FALSE))</f>
        <v>5 x per week (40 weken + 1 Zomer refreshbeurt)</v>
      </c>
      <c r="N1046" s="353" t="e">
        <f t="shared" si="83"/>
        <v>#DIV/0!</v>
      </c>
      <c r="O1046" s="354">
        <f>IF(L1046="nio",0,IF(L1046&gt;0,VLOOKUP(H1046,'3-Productie normen'!A:P,VLOOKUP(L1046,'3-Productie normen'!$B$31:$C$45,2,FALSE),FALSE)))/VLOOKUP(B1046,'2-Kosten per locatie'!$A$13:$D$36,4,FALSE)</f>
        <v>0</v>
      </c>
      <c r="P1046" s="82" t="str">
        <f>VLOOKUP(H1046,'3-Productie normen'!A:T,20,FALSE)</f>
        <v>L</v>
      </c>
      <c r="Q1046" s="447" t="s">
        <v>874</v>
      </c>
      <c r="S1046" s="356">
        <f t="shared" si="85"/>
        <v>10090.200000000001</v>
      </c>
    </row>
    <row r="1047" spans="1:19" ht="14.1" customHeight="1">
      <c r="A1047" s="72">
        <f t="shared" si="86"/>
        <v>1047</v>
      </c>
      <c r="B1047" s="50" t="s">
        <v>818</v>
      </c>
      <c r="C1047" s="50" t="s">
        <v>837</v>
      </c>
      <c r="D1047" s="427" t="s">
        <v>1033</v>
      </c>
      <c r="E1047" s="426" t="s">
        <v>275</v>
      </c>
      <c r="F1047" s="349" t="s">
        <v>719</v>
      </c>
      <c r="G1047" s="86" t="s">
        <v>209</v>
      </c>
      <c r="H1047" s="63" t="s">
        <v>1040</v>
      </c>
      <c r="I1047" s="86" t="s">
        <v>780</v>
      </c>
      <c r="J1047" s="343">
        <v>2.15</v>
      </c>
      <c r="K1047" s="351">
        <f t="shared" si="84"/>
        <v>12</v>
      </c>
      <c r="L1047" s="484">
        <v>12</v>
      </c>
      <c r="M1047" s="448" t="str">
        <f>IF(L1047="nio","",VLOOKUP(L1047,'3-Productie normen'!$B$31:$H$45,3,FALSE))</f>
        <v>1 x per maand</v>
      </c>
      <c r="N1047" s="353" t="e">
        <f t="shared" si="83"/>
        <v>#DIV/0!</v>
      </c>
      <c r="O1047" s="354">
        <f>IF(L1047="nio",0,IF(L1047&gt;0,VLOOKUP(H1047,'3-Productie normen'!A:P,VLOOKUP(L1047,'3-Productie normen'!$B$31:$C$45,2,FALSE),FALSE)))/VLOOKUP(B1047,'2-Kosten per locatie'!$A$13:$D$36,4,FALSE)</f>
        <v>0</v>
      </c>
      <c r="P1047" s="82" t="str">
        <f>VLOOKUP(H1047,'3-Productie normen'!A:T,20,FALSE)</f>
        <v>V</v>
      </c>
      <c r="Q1047" s="447" t="s">
        <v>792</v>
      </c>
      <c r="S1047" s="356">
        <f t="shared" si="85"/>
        <v>25.799999999999997</v>
      </c>
    </row>
    <row r="1048" spans="1:19" ht="14.1" customHeight="1">
      <c r="A1048" s="72">
        <f t="shared" si="86"/>
        <v>1048</v>
      </c>
      <c r="B1048" s="50" t="s">
        <v>818</v>
      </c>
      <c r="C1048" s="50" t="s">
        <v>837</v>
      </c>
      <c r="D1048" s="427" t="s">
        <v>1033</v>
      </c>
      <c r="E1048" s="426" t="s">
        <v>275</v>
      </c>
      <c r="F1048" s="349" t="s">
        <v>422</v>
      </c>
      <c r="G1048" s="86" t="s">
        <v>226</v>
      </c>
      <c r="H1048" s="86" t="s">
        <v>16</v>
      </c>
      <c r="I1048" s="86" t="s">
        <v>785</v>
      </c>
      <c r="J1048" s="343">
        <v>8.6300000000000008</v>
      </c>
      <c r="K1048" s="351">
        <f t="shared" si="84"/>
        <v>201</v>
      </c>
      <c r="L1048" s="484">
        <v>201</v>
      </c>
      <c r="M1048" s="448" t="str">
        <f>IF(L1048="nio","",VLOOKUP(L1048,'3-Productie normen'!$B$31:$H$45,3,FALSE))</f>
        <v>5 x per week (40 weken + 1 Zomer refreshbeurt)</v>
      </c>
      <c r="N1048" s="353" t="e">
        <f t="shared" si="83"/>
        <v>#DIV/0!</v>
      </c>
      <c r="O1048" s="354">
        <f>IF(L1048="nio",0,IF(L1048&gt;0,VLOOKUP(H1048,'3-Productie normen'!A:P,VLOOKUP(L1048,'3-Productie normen'!$B$31:$C$45,2,FALSE),FALSE)))/VLOOKUP(B1048,'2-Kosten per locatie'!$A$13:$D$36,4,FALSE)</f>
        <v>0</v>
      </c>
      <c r="P1048" s="82" t="str">
        <f>VLOOKUP(H1048,'3-Productie normen'!A:T,20,FALSE)</f>
        <v>S</v>
      </c>
      <c r="Q1048" s="447" t="s">
        <v>894</v>
      </c>
      <c r="S1048" s="356">
        <f t="shared" si="85"/>
        <v>1734.63</v>
      </c>
    </row>
    <row r="1049" spans="1:19" ht="14.1" customHeight="1">
      <c r="A1049" s="72">
        <f t="shared" si="86"/>
        <v>1049</v>
      </c>
      <c r="B1049" s="50" t="s">
        <v>818</v>
      </c>
      <c r="C1049" s="50" t="s">
        <v>837</v>
      </c>
      <c r="D1049" s="427" t="s">
        <v>1033</v>
      </c>
      <c r="E1049" s="426" t="s">
        <v>275</v>
      </c>
      <c r="F1049" s="349" t="s">
        <v>423</v>
      </c>
      <c r="G1049" s="86" t="s">
        <v>242</v>
      </c>
      <c r="H1049" s="50" t="s">
        <v>241</v>
      </c>
      <c r="I1049" s="86" t="s">
        <v>780</v>
      </c>
      <c r="J1049" s="343">
        <v>53.3</v>
      </c>
      <c r="K1049" s="351">
        <f t="shared" si="84"/>
        <v>201</v>
      </c>
      <c r="L1049" s="484">
        <v>201</v>
      </c>
      <c r="M1049" s="448" t="str">
        <f>IF(L1049="nio","",VLOOKUP(L1049,'3-Productie normen'!$B$31:$H$45,3,FALSE))</f>
        <v>5 x per week (40 weken + 1 Zomer refreshbeurt)</v>
      </c>
      <c r="N1049" s="353" t="e">
        <f t="shared" si="83"/>
        <v>#DIV/0!</v>
      </c>
      <c r="O1049" s="354">
        <f>IF(L1049="nio",0,IF(L1049&gt;0,VLOOKUP(H1049,'3-Productie normen'!A:P,VLOOKUP(L1049,'3-Productie normen'!$B$31:$C$45,2,FALSE),FALSE)))/VLOOKUP(B1049,'2-Kosten per locatie'!$A$13:$D$36,4,FALSE)</f>
        <v>0</v>
      </c>
      <c r="P1049" s="82" t="str">
        <f>VLOOKUP(H1049,'3-Productie normen'!A:T,20,FALSE)</f>
        <v>L</v>
      </c>
      <c r="Q1049" s="447" t="s">
        <v>874</v>
      </c>
      <c r="S1049" s="356">
        <f t="shared" si="85"/>
        <v>10713.3</v>
      </c>
    </row>
    <row r="1050" spans="1:19" ht="14.1" customHeight="1">
      <c r="A1050" s="72">
        <f t="shared" si="86"/>
        <v>1050</v>
      </c>
      <c r="B1050" s="50" t="s">
        <v>818</v>
      </c>
      <c r="C1050" s="50" t="s">
        <v>837</v>
      </c>
      <c r="D1050" s="427" t="s">
        <v>1033</v>
      </c>
      <c r="E1050" s="426" t="s">
        <v>275</v>
      </c>
      <c r="F1050" s="349" t="s">
        <v>720</v>
      </c>
      <c r="G1050" s="86" t="s">
        <v>209</v>
      </c>
      <c r="H1050" s="63" t="s">
        <v>1040</v>
      </c>
      <c r="I1050" s="86" t="s">
        <v>780</v>
      </c>
      <c r="J1050" s="343">
        <v>2.15</v>
      </c>
      <c r="K1050" s="351">
        <f t="shared" si="84"/>
        <v>12</v>
      </c>
      <c r="L1050" s="484">
        <v>12</v>
      </c>
      <c r="M1050" s="448" t="str">
        <f>IF(L1050="nio","",VLOOKUP(L1050,'3-Productie normen'!$B$31:$H$45,3,FALSE))</f>
        <v>1 x per maand</v>
      </c>
      <c r="N1050" s="353" t="e">
        <f t="shared" si="83"/>
        <v>#DIV/0!</v>
      </c>
      <c r="O1050" s="354">
        <f>IF(L1050="nio",0,IF(L1050&gt;0,VLOOKUP(H1050,'3-Productie normen'!A:P,VLOOKUP(L1050,'3-Productie normen'!$B$31:$C$45,2,FALSE),FALSE)))/VLOOKUP(B1050,'2-Kosten per locatie'!$A$13:$D$36,4,FALSE)</f>
        <v>0</v>
      </c>
      <c r="P1050" s="82" t="str">
        <f>VLOOKUP(H1050,'3-Productie normen'!A:T,20,FALSE)</f>
        <v>V</v>
      </c>
      <c r="Q1050" s="447" t="s">
        <v>792</v>
      </c>
      <c r="S1050" s="356">
        <f t="shared" si="85"/>
        <v>25.799999999999997</v>
      </c>
    </row>
    <row r="1051" spans="1:19" ht="14.1" customHeight="1">
      <c r="A1051" s="72">
        <f t="shared" si="86"/>
        <v>1051</v>
      </c>
      <c r="B1051" s="50" t="s">
        <v>818</v>
      </c>
      <c r="C1051" s="50" t="s">
        <v>837</v>
      </c>
      <c r="D1051" s="427" t="s">
        <v>1033</v>
      </c>
      <c r="E1051" s="426" t="s">
        <v>275</v>
      </c>
      <c r="F1051" s="349" t="s">
        <v>424</v>
      </c>
      <c r="G1051" s="86" t="s">
        <v>232</v>
      </c>
      <c r="H1051" s="430" t="s">
        <v>1046</v>
      </c>
      <c r="I1051" s="86" t="s">
        <v>798</v>
      </c>
      <c r="J1051" s="343">
        <v>8.2200000000000006</v>
      </c>
      <c r="K1051" s="351">
        <f t="shared" si="84"/>
        <v>200</v>
      </c>
      <c r="L1051" s="484">
        <v>200</v>
      </c>
      <c r="M1051" s="448" t="str">
        <f>IF(L1051="nio","",VLOOKUP(L1051,'3-Productie normen'!$B$31:$H$45,3,FALSE))</f>
        <v>5 x per week (40 weken)</v>
      </c>
      <c r="N1051" s="353" t="e">
        <f t="shared" si="83"/>
        <v>#DIV/0!</v>
      </c>
      <c r="O1051" s="354">
        <f>IF(L1051="nio",0,IF(L1051&gt;0,VLOOKUP(H1051,'3-Productie normen'!A:P,VLOOKUP(L1051,'3-Productie normen'!$B$31:$C$45,2,FALSE),FALSE)))/VLOOKUP(B1051,'2-Kosten per locatie'!$A$13:$D$36,4,FALSE)</f>
        <v>0</v>
      </c>
      <c r="P1051" s="82" t="str">
        <f>VLOOKUP(H1051,'3-Productie normen'!A:T,20,FALSE)</f>
        <v>V</v>
      </c>
      <c r="Q1051" s="447" t="s">
        <v>960</v>
      </c>
      <c r="S1051" s="356">
        <f t="shared" si="85"/>
        <v>1644.0000000000002</v>
      </c>
    </row>
    <row r="1052" spans="1:19" ht="14.1" customHeight="1">
      <c r="A1052" s="72">
        <f t="shared" si="86"/>
        <v>1052</v>
      </c>
      <c r="B1052" s="50" t="s">
        <v>818</v>
      </c>
      <c r="C1052" s="50" t="s">
        <v>837</v>
      </c>
      <c r="D1052" s="427" t="s">
        <v>1033</v>
      </c>
      <c r="E1052" s="426" t="s">
        <v>275</v>
      </c>
      <c r="F1052" s="349" t="s">
        <v>425</v>
      </c>
      <c r="G1052" s="86" t="s">
        <v>242</v>
      </c>
      <c r="H1052" s="50" t="s">
        <v>241</v>
      </c>
      <c r="I1052" s="86" t="s">
        <v>780</v>
      </c>
      <c r="J1052" s="343">
        <v>53.3</v>
      </c>
      <c r="K1052" s="351">
        <f t="shared" si="84"/>
        <v>201</v>
      </c>
      <c r="L1052" s="484">
        <v>201</v>
      </c>
      <c r="M1052" s="448" t="str">
        <f>IF(L1052="nio","",VLOOKUP(L1052,'3-Productie normen'!$B$31:$H$45,3,FALSE))</f>
        <v>5 x per week (40 weken + 1 Zomer refreshbeurt)</v>
      </c>
      <c r="N1052" s="353" t="e">
        <f t="shared" si="83"/>
        <v>#DIV/0!</v>
      </c>
      <c r="O1052" s="354">
        <f>IF(L1052="nio",0,IF(L1052&gt;0,VLOOKUP(H1052,'3-Productie normen'!A:P,VLOOKUP(L1052,'3-Productie normen'!$B$31:$C$45,2,FALSE),FALSE)))/VLOOKUP(B1052,'2-Kosten per locatie'!$A$13:$D$36,4,FALSE)</f>
        <v>0</v>
      </c>
      <c r="P1052" s="82" t="str">
        <f>VLOOKUP(H1052,'3-Productie normen'!A:T,20,FALSE)</f>
        <v>L</v>
      </c>
      <c r="Q1052" s="447" t="s">
        <v>874</v>
      </c>
      <c r="S1052" s="356">
        <f t="shared" si="85"/>
        <v>10713.3</v>
      </c>
    </row>
    <row r="1053" spans="1:19" ht="14.1" customHeight="1">
      <c r="A1053" s="72">
        <f t="shared" si="86"/>
        <v>1053</v>
      </c>
      <c r="B1053" s="50" t="s">
        <v>818</v>
      </c>
      <c r="C1053" s="50" t="s">
        <v>837</v>
      </c>
      <c r="D1053" s="427" t="s">
        <v>1033</v>
      </c>
      <c r="E1053" s="426" t="s">
        <v>275</v>
      </c>
      <c r="F1053" s="349" t="s">
        <v>721</v>
      </c>
      <c r="G1053" s="86" t="s">
        <v>209</v>
      </c>
      <c r="H1053" s="63" t="s">
        <v>1040</v>
      </c>
      <c r="I1053" s="86" t="s">
        <v>780</v>
      </c>
      <c r="J1053" s="343">
        <v>2.1500000953674299</v>
      </c>
      <c r="K1053" s="351">
        <f t="shared" si="84"/>
        <v>12</v>
      </c>
      <c r="L1053" s="484">
        <v>12</v>
      </c>
      <c r="M1053" s="448" t="str">
        <f>IF(L1053="nio","",VLOOKUP(L1053,'3-Productie normen'!$B$31:$H$45,3,FALSE))</f>
        <v>1 x per maand</v>
      </c>
      <c r="N1053" s="353" t="e">
        <f t="shared" si="83"/>
        <v>#DIV/0!</v>
      </c>
      <c r="O1053" s="354">
        <f>IF(L1053="nio",0,IF(L1053&gt;0,VLOOKUP(H1053,'3-Productie normen'!A:P,VLOOKUP(L1053,'3-Productie normen'!$B$31:$C$45,2,FALSE),FALSE)))/VLOOKUP(B1053,'2-Kosten per locatie'!$A$13:$D$36,4,FALSE)</f>
        <v>0</v>
      </c>
      <c r="P1053" s="82" t="str">
        <f>VLOOKUP(H1053,'3-Productie normen'!A:T,20,FALSE)</f>
        <v>V</v>
      </c>
      <c r="Q1053" s="447" t="s">
        <v>792</v>
      </c>
      <c r="S1053" s="356">
        <f t="shared" si="85"/>
        <v>25.800001144409158</v>
      </c>
    </row>
    <row r="1054" spans="1:19" ht="14.1" customHeight="1">
      <c r="A1054" s="72">
        <f t="shared" si="86"/>
        <v>1054</v>
      </c>
      <c r="B1054" s="50" t="s">
        <v>818</v>
      </c>
      <c r="C1054" s="50" t="s">
        <v>837</v>
      </c>
      <c r="D1054" s="427" t="s">
        <v>1033</v>
      </c>
      <c r="E1054" s="426" t="s">
        <v>275</v>
      </c>
      <c r="F1054" s="349" t="s">
        <v>426</v>
      </c>
      <c r="G1054" s="86" t="s">
        <v>226</v>
      </c>
      <c r="H1054" s="86" t="s">
        <v>16</v>
      </c>
      <c r="I1054" s="86" t="s">
        <v>785</v>
      </c>
      <c r="J1054" s="343">
        <v>8.6300000000000008</v>
      </c>
      <c r="K1054" s="351">
        <f t="shared" si="84"/>
        <v>201</v>
      </c>
      <c r="L1054" s="484">
        <v>201</v>
      </c>
      <c r="M1054" s="448" t="str">
        <f>IF(L1054="nio","",VLOOKUP(L1054,'3-Productie normen'!$B$31:$H$45,3,FALSE))</f>
        <v>5 x per week (40 weken + 1 Zomer refreshbeurt)</v>
      </c>
      <c r="N1054" s="353" t="e">
        <f t="shared" si="83"/>
        <v>#DIV/0!</v>
      </c>
      <c r="O1054" s="354">
        <f>IF(L1054="nio",0,IF(L1054&gt;0,VLOOKUP(H1054,'3-Productie normen'!A:P,VLOOKUP(L1054,'3-Productie normen'!$B$31:$C$45,2,FALSE),FALSE)))/VLOOKUP(B1054,'2-Kosten per locatie'!$A$13:$D$36,4,FALSE)</f>
        <v>0</v>
      </c>
      <c r="P1054" s="82" t="str">
        <f>VLOOKUP(H1054,'3-Productie normen'!A:T,20,FALSE)</f>
        <v>S</v>
      </c>
      <c r="Q1054" s="447" t="s">
        <v>894</v>
      </c>
      <c r="S1054" s="356">
        <f t="shared" si="85"/>
        <v>1734.63</v>
      </c>
    </row>
    <row r="1055" spans="1:19" ht="14.1" customHeight="1">
      <c r="A1055" s="72">
        <f t="shared" si="86"/>
        <v>1055</v>
      </c>
      <c r="B1055" s="50" t="s">
        <v>818</v>
      </c>
      <c r="C1055" s="50" t="s">
        <v>837</v>
      </c>
      <c r="D1055" s="427" t="s">
        <v>1033</v>
      </c>
      <c r="E1055" s="426" t="s">
        <v>275</v>
      </c>
      <c r="F1055" s="349" t="s">
        <v>427</v>
      </c>
      <c r="G1055" s="86" t="s">
        <v>242</v>
      </c>
      <c r="H1055" s="50" t="s">
        <v>241</v>
      </c>
      <c r="I1055" s="86" t="s">
        <v>780</v>
      </c>
      <c r="J1055" s="343">
        <v>50.21</v>
      </c>
      <c r="K1055" s="351">
        <f t="shared" si="84"/>
        <v>201</v>
      </c>
      <c r="L1055" s="484">
        <v>201</v>
      </c>
      <c r="M1055" s="448" t="str">
        <f>IF(L1055="nio","",VLOOKUP(L1055,'3-Productie normen'!$B$31:$H$45,3,FALSE))</f>
        <v>5 x per week (40 weken + 1 Zomer refreshbeurt)</v>
      </c>
      <c r="N1055" s="353" t="e">
        <f t="shared" si="83"/>
        <v>#DIV/0!</v>
      </c>
      <c r="O1055" s="354">
        <f>IF(L1055="nio",0,IF(L1055&gt;0,VLOOKUP(H1055,'3-Productie normen'!A:P,VLOOKUP(L1055,'3-Productie normen'!$B$31:$C$45,2,FALSE),FALSE)))/VLOOKUP(B1055,'2-Kosten per locatie'!$A$13:$D$36,4,FALSE)</f>
        <v>0</v>
      </c>
      <c r="P1055" s="82" t="str">
        <f>VLOOKUP(H1055,'3-Productie normen'!A:T,20,FALSE)</f>
        <v>L</v>
      </c>
      <c r="Q1055" s="447" t="s">
        <v>874</v>
      </c>
      <c r="S1055" s="356">
        <f t="shared" si="85"/>
        <v>10092.210000000001</v>
      </c>
    </row>
    <row r="1056" spans="1:19" ht="14.1" customHeight="1">
      <c r="A1056" s="72">
        <f t="shared" si="86"/>
        <v>1056</v>
      </c>
      <c r="B1056" s="50" t="s">
        <v>818</v>
      </c>
      <c r="C1056" s="50" t="s">
        <v>837</v>
      </c>
      <c r="D1056" s="427" t="s">
        <v>1033</v>
      </c>
      <c r="E1056" s="426" t="s">
        <v>275</v>
      </c>
      <c r="F1056" s="349" t="s">
        <v>722</v>
      </c>
      <c r="G1056" s="86" t="s">
        <v>209</v>
      </c>
      <c r="H1056" s="63" t="s">
        <v>1040</v>
      </c>
      <c r="I1056" s="86" t="s">
        <v>780</v>
      </c>
      <c r="J1056" s="343">
        <v>2.1500000953674299</v>
      </c>
      <c r="K1056" s="351">
        <f t="shared" si="84"/>
        <v>12</v>
      </c>
      <c r="L1056" s="484">
        <v>12</v>
      </c>
      <c r="M1056" s="448" t="str">
        <f>IF(L1056="nio","",VLOOKUP(L1056,'3-Productie normen'!$B$31:$H$45,3,FALSE))</f>
        <v>1 x per maand</v>
      </c>
      <c r="N1056" s="353" t="e">
        <f t="shared" si="83"/>
        <v>#DIV/0!</v>
      </c>
      <c r="O1056" s="354">
        <f>IF(L1056="nio",0,IF(L1056&gt;0,VLOOKUP(H1056,'3-Productie normen'!A:P,VLOOKUP(L1056,'3-Productie normen'!$B$31:$C$45,2,FALSE),FALSE)))/VLOOKUP(B1056,'2-Kosten per locatie'!$A$13:$D$36,4,FALSE)</f>
        <v>0</v>
      </c>
      <c r="P1056" s="82" t="str">
        <f>VLOOKUP(H1056,'3-Productie normen'!A:T,20,FALSE)</f>
        <v>V</v>
      </c>
      <c r="Q1056" s="447" t="s">
        <v>792</v>
      </c>
      <c r="S1056" s="356">
        <f t="shared" si="85"/>
        <v>25.800001144409158</v>
      </c>
    </row>
    <row r="1057" spans="1:19" ht="14.1" customHeight="1">
      <c r="A1057" s="72">
        <f t="shared" si="86"/>
        <v>1057</v>
      </c>
      <c r="B1057" s="50" t="s">
        <v>818</v>
      </c>
      <c r="C1057" s="50" t="s">
        <v>837</v>
      </c>
      <c r="D1057" s="427" t="s">
        <v>1033</v>
      </c>
      <c r="E1057" s="426" t="s">
        <v>304</v>
      </c>
      <c r="F1057" s="349" t="s">
        <v>305</v>
      </c>
      <c r="G1057" s="86" t="s">
        <v>201</v>
      </c>
      <c r="H1057" s="432" t="s">
        <v>198</v>
      </c>
      <c r="I1057" s="86" t="s">
        <v>780</v>
      </c>
      <c r="J1057" s="343">
        <v>49.1</v>
      </c>
      <c r="K1057" s="351">
        <f t="shared" si="84"/>
        <v>200</v>
      </c>
      <c r="L1057" s="484">
        <v>200</v>
      </c>
      <c r="M1057" s="448" t="str">
        <f>IF(L1057="nio","",VLOOKUP(L1057,'3-Productie normen'!$B$31:$H$45,3,FALSE))</f>
        <v>5 x per week (40 weken)</v>
      </c>
      <c r="N1057" s="353" t="e">
        <f t="shared" si="83"/>
        <v>#DIV/0!</v>
      </c>
      <c r="O1057" s="354">
        <f>IF(L1057="nio",0,IF(L1057&gt;0,VLOOKUP(H1057,'3-Productie normen'!A:P,VLOOKUP(L1057,'3-Productie normen'!$B$31:$C$45,2,FALSE),FALSE)))/VLOOKUP(B1057,'2-Kosten per locatie'!$A$13:$D$36,4,FALSE)</f>
        <v>0</v>
      </c>
      <c r="P1057" s="82" t="str">
        <f>VLOOKUP(H1057,'3-Productie normen'!A:T,20,FALSE)</f>
        <v>V</v>
      </c>
      <c r="Q1057" s="447" t="s">
        <v>792</v>
      </c>
      <c r="S1057" s="356">
        <f t="shared" si="85"/>
        <v>9820</v>
      </c>
    </row>
    <row r="1058" spans="1:19" ht="14.1" customHeight="1">
      <c r="A1058" s="72">
        <f t="shared" si="86"/>
        <v>1058</v>
      </c>
      <c r="B1058" s="50" t="s">
        <v>818</v>
      </c>
      <c r="C1058" s="50" t="s">
        <v>837</v>
      </c>
      <c r="D1058" s="427" t="s">
        <v>1033</v>
      </c>
      <c r="E1058" s="426" t="s">
        <v>275</v>
      </c>
      <c r="F1058" s="349" t="s">
        <v>306</v>
      </c>
      <c r="G1058" s="86" t="s">
        <v>232</v>
      </c>
      <c r="H1058" s="430" t="s">
        <v>1046</v>
      </c>
      <c r="I1058" s="86" t="s">
        <v>797</v>
      </c>
      <c r="J1058" s="343">
        <v>9.6300001144409197</v>
      </c>
      <c r="K1058" s="351">
        <f t="shared" si="84"/>
        <v>200</v>
      </c>
      <c r="L1058" s="484">
        <v>200</v>
      </c>
      <c r="M1058" s="448" t="str">
        <f>IF(L1058="nio","",VLOOKUP(L1058,'3-Productie normen'!$B$31:$H$45,3,FALSE))</f>
        <v>5 x per week (40 weken)</v>
      </c>
      <c r="N1058" s="353" t="e">
        <f t="shared" si="83"/>
        <v>#DIV/0!</v>
      </c>
      <c r="O1058" s="354">
        <f>IF(L1058="nio",0,IF(L1058&gt;0,VLOOKUP(H1058,'3-Productie normen'!A:P,VLOOKUP(L1058,'3-Productie normen'!$B$31:$C$45,2,FALSE),FALSE)))/VLOOKUP(B1058,'2-Kosten per locatie'!$A$13:$D$36,4,FALSE)</f>
        <v>0</v>
      </c>
      <c r="P1058" s="82" t="str">
        <f>VLOOKUP(H1058,'3-Productie normen'!A:T,20,FALSE)</f>
        <v>V</v>
      </c>
      <c r="Q1058" s="447" t="s">
        <v>1010</v>
      </c>
      <c r="S1058" s="356">
        <f t="shared" si="85"/>
        <v>1926.000022888184</v>
      </c>
    </row>
    <row r="1059" spans="1:19" ht="14.1" customHeight="1">
      <c r="A1059" s="72">
        <f t="shared" si="86"/>
        <v>1059</v>
      </c>
      <c r="B1059" s="50" t="s">
        <v>818</v>
      </c>
      <c r="C1059" s="50" t="s">
        <v>837</v>
      </c>
      <c r="D1059" s="427" t="s">
        <v>1033</v>
      </c>
      <c r="E1059" s="426" t="s">
        <v>304</v>
      </c>
      <c r="F1059" s="349" t="s">
        <v>307</v>
      </c>
      <c r="G1059" s="86" t="s">
        <v>201</v>
      </c>
      <c r="H1059" s="432" t="s">
        <v>198</v>
      </c>
      <c r="I1059" s="86" t="s">
        <v>780</v>
      </c>
      <c r="J1059" s="343">
        <v>51.1</v>
      </c>
      <c r="K1059" s="351">
        <f t="shared" si="84"/>
        <v>200</v>
      </c>
      <c r="L1059" s="484">
        <v>200</v>
      </c>
      <c r="M1059" s="448" t="str">
        <f>IF(L1059="nio","",VLOOKUP(L1059,'3-Productie normen'!$B$31:$H$45,3,FALSE))</f>
        <v>5 x per week (40 weken)</v>
      </c>
      <c r="N1059" s="353" t="e">
        <f t="shared" si="83"/>
        <v>#DIV/0!</v>
      </c>
      <c r="O1059" s="354">
        <f>IF(L1059="nio",0,IF(L1059&gt;0,VLOOKUP(H1059,'3-Productie normen'!A:P,VLOOKUP(L1059,'3-Productie normen'!$B$31:$C$45,2,FALSE),FALSE)))/VLOOKUP(B1059,'2-Kosten per locatie'!$A$13:$D$36,4,FALSE)</f>
        <v>0</v>
      </c>
      <c r="P1059" s="82" t="str">
        <f>VLOOKUP(H1059,'3-Productie normen'!A:T,20,FALSE)</f>
        <v>V</v>
      </c>
      <c r="Q1059" s="447" t="s">
        <v>792</v>
      </c>
      <c r="S1059" s="356">
        <f t="shared" si="85"/>
        <v>10220</v>
      </c>
    </row>
    <row r="1060" spans="1:19" ht="14.1" customHeight="1">
      <c r="A1060" s="72">
        <f t="shared" si="86"/>
        <v>1060</v>
      </c>
      <c r="B1060" s="50" t="s">
        <v>818</v>
      </c>
      <c r="C1060" s="50" t="s">
        <v>837</v>
      </c>
      <c r="D1060" s="427" t="s">
        <v>1033</v>
      </c>
      <c r="E1060" s="426" t="s">
        <v>304</v>
      </c>
      <c r="F1060" s="349" t="s">
        <v>308</v>
      </c>
      <c r="G1060" s="86" t="s">
        <v>206</v>
      </c>
      <c r="H1060" s="65" t="s">
        <v>1053</v>
      </c>
      <c r="I1060" s="86" t="s">
        <v>780</v>
      </c>
      <c r="J1060" s="343">
        <v>11.31</v>
      </c>
      <c r="K1060" s="351" t="str">
        <f t="shared" si="84"/>
        <v>nio</v>
      </c>
      <c r="L1060" s="484" t="s">
        <v>804</v>
      </c>
      <c r="M1060" s="448" t="str">
        <f>IF(L1060="nio","",VLOOKUP(L1060,'3-Productie normen'!$B$31:$H$45,3,FALSE))</f>
        <v/>
      </c>
      <c r="N1060" s="353">
        <f t="shared" si="83"/>
        <v>0</v>
      </c>
      <c r="O1060" s="354">
        <f>IF(L1060="nio",0,IF(L1060&gt;0,VLOOKUP(H1060,'3-Productie normen'!A:P,VLOOKUP(L1060,'3-Productie normen'!$B$31:$C$45,2,FALSE),FALSE)))/VLOOKUP(B1060,'2-Kosten per locatie'!$A$13:$D$36,4,FALSE)</f>
        <v>0</v>
      </c>
      <c r="P1060" s="82">
        <f>VLOOKUP(H1060,'3-Productie normen'!A:T,20,FALSE)</f>
        <v>0</v>
      </c>
      <c r="Q1060" s="447" t="s">
        <v>871</v>
      </c>
      <c r="S1060" s="356">
        <f t="shared" si="85"/>
        <v>0</v>
      </c>
    </row>
    <row r="1061" spans="1:19" ht="14.1" customHeight="1">
      <c r="A1061" s="72">
        <f t="shared" si="86"/>
        <v>1061</v>
      </c>
      <c r="B1061" s="50" t="s">
        <v>818</v>
      </c>
      <c r="C1061" s="50" t="s">
        <v>837</v>
      </c>
      <c r="D1061" s="427" t="s">
        <v>1033</v>
      </c>
      <c r="E1061" s="426" t="s">
        <v>304</v>
      </c>
      <c r="F1061" s="349" t="s">
        <v>310</v>
      </c>
      <c r="G1061" s="86" t="s">
        <v>298</v>
      </c>
      <c r="H1061" s="50" t="s">
        <v>241</v>
      </c>
      <c r="I1061" s="86" t="s">
        <v>780</v>
      </c>
      <c r="J1061" s="343">
        <v>49.28</v>
      </c>
      <c r="K1061" s="351">
        <f t="shared" si="84"/>
        <v>201</v>
      </c>
      <c r="L1061" s="484">
        <v>201</v>
      </c>
      <c r="M1061" s="448" t="str">
        <f>IF(L1061="nio","",VLOOKUP(L1061,'3-Productie normen'!$B$31:$H$45,3,FALSE))</f>
        <v>5 x per week (40 weken + 1 Zomer refreshbeurt)</v>
      </c>
      <c r="N1061" s="353" t="e">
        <f t="shared" si="83"/>
        <v>#DIV/0!</v>
      </c>
      <c r="O1061" s="354">
        <f>IF(L1061="nio",0,IF(L1061&gt;0,VLOOKUP(H1061,'3-Productie normen'!A:P,VLOOKUP(L1061,'3-Productie normen'!$B$31:$C$45,2,FALSE),FALSE)))/VLOOKUP(B1061,'2-Kosten per locatie'!$A$13:$D$36,4,FALSE)</f>
        <v>0</v>
      </c>
      <c r="P1061" s="82" t="str">
        <f>VLOOKUP(H1061,'3-Productie normen'!A:T,20,FALSE)</f>
        <v>L</v>
      </c>
      <c r="Q1061" s="447" t="s">
        <v>902</v>
      </c>
      <c r="S1061" s="356">
        <f t="shared" si="85"/>
        <v>9905.2800000000007</v>
      </c>
    </row>
    <row r="1062" spans="1:19" ht="14.1" customHeight="1">
      <c r="A1062" s="72">
        <f t="shared" si="86"/>
        <v>1062</v>
      </c>
      <c r="B1062" s="50" t="s">
        <v>818</v>
      </c>
      <c r="C1062" s="50" t="s">
        <v>837</v>
      </c>
      <c r="D1062" s="427" t="s">
        <v>1033</v>
      </c>
      <c r="E1062" s="426" t="s">
        <v>304</v>
      </c>
      <c r="F1062" s="349" t="s">
        <v>723</v>
      </c>
      <c r="G1062" s="86" t="s">
        <v>209</v>
      </c>
      <c r="H1062" s="63" t="s">
        <v>1040</v>
      </c>
      <c r="I1062" s="86" t="s">
        <v>780</v>
      </c>
      <c r="J1062" s="343">
        <v>2.0099999999999998</v>
      </c>
      <c r="K1062" s="351">
        <f t="shared" si="84"/>
        <v>12</v>
      </c>
      <c r="L1062" s="484">
        <v>12</v>
      </c>
      <c r="M1062" s="448" t="str">
        <f>IF(L1062="nio","",VLOOKUP(L1062,'3-Productie normen'!$B$31:$H$45,3,FALSE))</f>
        <v>1 x per maand</v>
      </c>
      <c r="N1062" s="353" t="e">
        <f t="shared" si="83"/>
        <v>#DIV/0!</v>
      </c>
      <c r="O1062" s="354">
        <f>IF(L1062="nio",0,IF(L1062&gt;0,VLOOKUP(H1062,'3-Productie normen'!A:P,VLOOKUP(L1062,'3-Productie normen'!$B$31:$C$45,2,FALSE),FALSE)))/VLOOKUP(B1062,'2-Kosten per locatie'!$A$13:$D$36,4,FALSE)</f>
        <v>0</v>
      </c>
      <c r="P1062" s="82" t="str">
        <f>VLOOKUP(H1062,'3-Productie normen'!A:T,20,FALSE)</f>
        <v>V</v>
      </c>
      <c r="Q1062" s="447" t="s">
        <v>792</v>
      </c>
      <c r="S1062" s="356">
        <f t="shared" si="85"/>
        <v>24.119999999999997</v>
      </c>
    </row>
    <row r="1063" spans="1:19" ht="14.1" customHeight="1">
      <c r="A1063" s="72">
        <f t="shared" si="86"/>
        <v>1063</v>
      </c>
      <c r="B1063" s="50" t="s">
        <v>818</v>
      </c>
      <c r="C1063" s="50" t="s">
        <v>837</v>
      </c>
      <c r="D1063" s="427" t="s">
        <v>1033</v>
      </c>
      <c r="E1063" s="426" t="s">
        <v>304</v>
      </c>
      <c r="F1063" s="349" t="s">
        <v>312</v>
      </c>
      <c r="G1063" s="86" t="s">
        <v>226</v>
      </c>
      <c r="H1063" s="86" t="s">
        <v>16</v>
      </c>
      <c r="I1063" s="86" t="s">
        <v>785</v>
      </c>
      <c r="J1063" s="343">
        <v>9.39</v>
      </c>
      <c r="K1063" s="351">
        <f t="shared" si="84"/>
        <v>201</v>
      </c>
      <c r="L1063" s="484">
        <v>201</v>
      </c>
      <c r="M1063" s="448" t="str">
        <f>IF(L1063="nio","",VLOOKUP(L1063,'3-Productie normen'!$B$31:$H$45,3,FALSE))</f>
        <v>5 x per week (40 weken + 1 Zomer refreshbeurt)</v>
      </c>
      <c r="N1063" s="353" t="e">
        <f t="shared" si="83"/>
        <v>#DIV/0!</v>
      </c>
      <c r="O1063" s="354">
        <f>IF(L1063="nio",0,IF(L1063&gt;0,VLOOKUP(H1063,'3-Productie normen'!A:P,VLOOKUP(L1063,'3-Productie normen'!$B$31:$C$45,2,FALSE),FALSE)))/VLOOKUP(B1063,'2-Kosten per locatie'!$A$13:$D$36,4,FALSE)</f>
        <v>0</v>
      </c>
      <c r="P1063" s="82" t="str">
        <f>VLOOKUP(H1063,'3-Productie normen'!A:T,20,FALSE)</f>
        <v>S</v>
      </c>
      <c r="Q1063" s="447" t="s">
        <v>945</v>
      </c>
      <c r="S1063" s="356">
        <f t="shared" si="85"/>
        <v>1887.39</v>
      </c>
    </row>
    <row r="1064" spans="1:19" ht="14.1" customHeight="1">
      <c r="A1064" s="72">
        <f t="shared" si="86"/>
        <v>1064</v>
      </c>
      <c r="B1064" s="50" t="s">
        <v>818</v>
      </c>
      <c r="C1064" s="50" t="s">
        <v>837</v>
      </c>
      <c r="D1064" s="427" t="s">
        <v>1033</v>
      </c>
      <c r="E1064" s="426" t="s">
        <v>304</v>
      </c>
      <c r="F1064" s="349" t="s">
        <v>313</v>
      </c>
      <c r="G1064" s="86" t="s">
        <v>298</v>
      </c>
      <c r="H1064" s="50" t="s">
        <v>241</v>
      </c>
      <c r="I1064" s="86" t="s">
        <v>780</v>
      </c>
      <c r="J1064" s="343">
        <v>49.51</v>
      </c>
      <c r="K1064" s="351">
        <f t="shared" si="84"/>
        <v>201</v>
      </c>
      <c r="L1064" s="484">
        <v>201</v>
      </c>
      <c r="M1064" s="448" t="str">
        <f>IF(L1064="nio","",VLOOKUP(L1064,'3-Productie normen'!$B$31:$H$45,3,FALSE))</f>
        <v>5 x per week (40 weken + 1 Zomer refreshbeurt)</v>
      </c>
      <c r="N1064" s="353" t="e">
        <f t="shared" si="83"/>
        <v>#DIV/0!</v>
      </c>
      <c r="O1064" s="354">
        <f>IF(L1064="nio",0,IF(L1064&gt;0,VLOOKUP(H1064,'3-Productie normen'!A:P,VLOOKUP(L1064,'3-Productie normen'!$B$31:$C$45,2,FALSE),FALSE)))/VLOOKUP(B1064,'2-Kosten per locatie'!$A$13:$D$36,4,FALSE)</f>
        <v>0</v>
      </c>
      <c r="P1064" s="82" t="str">
        <f>VLOOKUP(H1064,'3-Productie normen'!A:T,20,FALSE)</f>
        <v>L</v>
      </c>
      <c r="Q1064" s="447" t="s">
        <v>880</v>
      </c>
      <c r="S1064" s="356">
        <f t="shared" si="85"/>
        <v>9951.51</v>
      </c>
    </row>
    <row r="1065" spans="1:19" ht="14.1" customHeight="1">
      <c r="A1065" s="72">
        <f t="shared" si="86"/>
        <v>1065</v>
      </c>
      <c r="B1065" s="50" t="s">
        <v>818</v>
      </c>
      <c r="C1065" s="50" t="s">
        <v>837</v>
      </c>
      <c r="D1065" s="427" t="s">
        <v>1033</v>
      </c>
      <c r="E1065" s="426" t="s">
        <v>304</v>
      </c>
      <c r="F1065" s="349" t="s">
        <v>724</v>
      </c>
      <c r="G1065" s="86" t="s">
        <v>209</v>
      </c>
      <c r="H1065" s="63" t="s">
        <v>1040</v>
      </c>
      <c r="I1065" s="86" t="s">
        <v>780</v>
      </c>
      <c r="J1065" s="343">
        <v>2.0099999999999998</v>
      </c>
      <c r="K1065" s="351">
        <f t="shared" si="84"/>
        <v>12</v>
      </c>
      <c r="L1065" s="484">
        <v>12</v>
      </c>
      <c r="M1065" s="448" t="str">
        <f>IF(L1065="nio","",VLOOKUP(L1065,'3-Productie normen'!$B$31:$H$45,3,FALSE))</f>
        <v>1 x per maand</v>
      </c>
      <c r="N1065" s="353" t="e">
        <f t="shared" ref="N1065:N1128" si="87">IF(L1065="nio",0,IF(L1065&gt;0,L1065*J1065/O1065,0))</f>
        <v>#DIV/0!</v>
      </c>
      <c r="O1065" s="354">
        <f>IF(L1065="nio",0,IF(L1065&gt;0,VLOOKUP(H1065,'3-Productie normen'!A:P,VLOOKUP(L1065,'3-Productie normen'!$B$31:$C$45,2,FALSE),FALSE)))/VLOOKUP(B1065,'2-Kosten per locatie'!$A$13:$D$36,4,FALSE)</f>
        <v>0</v>
      </c>
      <c r="P1065" s="82" t="str">
        <f>VLOOKUP(H1065,'3-Productie normen'!A:T,20,FALSE)</f>
        <v>V</v>
      </c>
      <c r="Q1065" s="447" t="s">
        <v>792</v>
      </c>
      <c r="S1065" s="356">
        <f t="shared" si="85"/>
        <v>24.119999999999997</v>
      </c>
    </row>
    <row r="1066" spans="1:19" ht="14.1" customHeight="1">
      <c r="A1066" s="72">
        <f t="shared" si="86"/>
        <v>1066</v>
      </c>
      <c r="B1066" s="50" t="s">
        <v>818</v>
      </c>
      <c r="C1066" s="50" t="s">
        <v>837</v>
      </c>
      <c r="D1066" s="427" t="s">
        <v>1033</v>
      </c>
      <c r="E1066" s="426" t="s">
        <v>304</v>
      </c>
      <c r="F1066" s="349" t="s">
        <v>314</v>
      </c>
      <c r="G1066" s="86" t="s">
        <v>215</v>
      </c>
      <c r="H1066" s="63" t="s">
        <v>1040</v>
      </c>
      <c r="I1066" s="86" t="s">
        <v>780</v>
      </c>
      <c r="J1066" s="343">
        <v>5.15</v>
      </c>
      <c r="K1066" s="351">
        <f t="shared" si="84"/>
        <v>12</v>
      </c>
      <c r="L1066" s="484">
        <v>12</v>
      </c>
      <c r="M1066" s="448" t="str">
        <f>IF(L1066="nio","",VLOOKUP(L1066,'3-Productie normen'!$B$31:$H$45,3,FALSE))</f>
        <v>1 x per maand</v>
      </c>
      <c r="N1066" s="353" t="e">
        <f t="shared" si="87"/>
        <v>#DIV/0!</v>
      </c>
      <c r="O1066" s="354">
        <f>IF(L1066="nio",0,IF(L1066&gt;0,VLOOKUP(H1066,'3-Productie normen'!A:P,VLOOKUP(L1066,'3-Productie normen'!$B$31:$C$45,2,FALSE),FALSE)))/VLOOKUP(B1066,'2-Kosten per locatie'!$A$13:$D$36,4,FALSE)</f>
        <v>0</v>
      </c>
      <c r="P1066" s="82" t="str">
        <f>VLOOKUP(H1066,'3-Productie normen'!A:T,20,FALSE)</f>
        <v>V</v>
      </c>
      <c r="Q1066" s="447" t="s">
        <v>853</v>
      </c>
      <c r="S1066" s="356">
        <f t="shared" si="85"/>
        <v>61.800000000000004</v>
      </c>
    </row>
    <row r="1067" spans="1:19" ht="14.1" customHeight="1">
      <c r="A1067" s="72">
        <f t="shared" si="86"/>
        <v>1067</v>
      </c>
      <c r="B1067" s="50" t="s">
        <v>818</v>
      </c>
      <c r="C1067" s="50" t="s">
        <v>837</v>
      </c>
      <c r="D1067" s="427" t="s">
        <v>1033</v>
      </c>
      <c r="E1067" s="426" t="s">
        <v>304</v>
      </c>
      <c r="F1067" s="349" t="s">
        <v>315</v>
      </c>
      <c r="G1067" s="86" t="s">
        <v>209</v>
      </c>
      <c r="H1067" s="63" t="s">
        <v>1040</v>
      </c>
      <c r="I1067" s="86" t="s">
        <v>780</v>
      </c>
      <c r="J1067" s="343">
        <v>5.15</v>
      </c>
      <c r="K1067" s="351">
        <f t="shared" si="84"/>
        <v>12</v>
      </c>
      <c r="L1067" s="484">
        <v>12</v>
      </c>
      <c r="M1067" s="448" t="str">
        <f>IF(L1067="nio","",VLOOKUP(L1067,'3-Productie normen'!$B$31:$H$45,3,FALSE))</f>
        <v>1 x per maand</v>
      </c>
      <c r="N1067" s="353" t="e">
        <f t="shared" si="87"/>
        <v>#DIV/0!</v>
      </c>
      <c r="O1067" s="354">
        <f>IF(L1067="nio",0,IF(L1067&gt;0,VLOOKUP(H1067,'3-Productie normen'!A:P,VLOOKUP(L1067,'3-Productie normen'!$B$31:$C$45,2,FALSE),FALSE)))/VLOOKUP(B1067,'2-Kosten per locatie'!$A$13:$D$36,4,FALSE)</f>
        <v>0</v>
      </c>
      <c r="P1067" s="82" t="str">
        <f>VLOOKUP(H1067,'3-Productie normen'!A:T,20,FALSE)</f>
        <v>V</v>
      </c>
      <c r="Q1067" s="447" t="s">
        <v>792</v>
      </c>
      <c r="S1067" s="356">
        <f t="shared" si="85"/>
        <v>61.800000000000004</v>
      </c>
    </row>
    <row r="1068" spans="1:19" ht="14.1" customHeight="1">
      <c r="A1068" s="72">
        <f t="shared" si="86"/>
        <v>1068</v>
      </c>
      <c r="B1068" s="50" t="s">
        <v>818</v>
      </c>
      <c r="C1068" s="50" t="s">
        <v>837</v>
      </c>
      <c r="D1068" s="427" t="s">
        <v>1033</v>
      </c>
      <c r="E1068" s="426" t="s">
        <v>304</v>
      </c>
      <c r="F1068" s="349" t="s">
        <v>316</v>
      </c>
      <c r="G1068" s="86" t="s">
        <v>298</v>
      </c>
      <c r="H1068" s="50" t="s">
        <v>241</v>
      </c>
      <c r="I1068" s="86" t="s">
        <v>780</v>
      </c>
      <c r="J1068" s="343">
        <v>49.51</v>
      </c>
      <c r="K1068" s="351">
        <f t="shared" si="84"/>
        <v>201</v>
      </c>
      <c r="L1068" s="484">
        <v>201</v>
      </c>
      <c r="M1068" s="448" t="str">
        <f>IF(L1068="nio","",VLOOKUP(L1068,'3-Productie normen'!$B$31:$H$45,3,FALSE))</f>
        <v>5 x per week (40 weken + 1 Zomer refreshbeurt)</v>
      </c>
      <c r="N1068" s="353" t="e">
        <f t="shared" si="87"/>
        <v>#DIV/0!</v>
      </c>
      <c r="O1068" s="354">
        <f>IF(L1068="nio",0,IF(L1068&gt;0,VLOOKUP(H1068,'3-Productie normen'!A:P,VLOOKUP(L1068,'3-Productie normen'!$B$31:$C$45,2,FALSE),FALSE)))/VLOOKUP(B1068,'2-Kosten per locatie'!$A$13:$D$36,4,FALSE)</f>
        <v>0</v>
      </c>
      <c r="P1068" s="82" t="str">
        <f>VLOOKUP(H1068,'3-Productie normen'!A:T,20,FALSE)</f>
        <v>L</v>
      </c>
      <c r="Q1068" s="447" t="s">
        <v>879</v>
      </c>
      <c r="S1068" s="356">
        <f t="shared" si="85"/>
        <v>9951.51</v>
      </c>
    </row>
    <row r="1069" spans="1:19" ht="14.1" customHeight="1">
      <c r="A1069" s="72">
        <f t="shared" si="86"/>
        <v>1069</v>
      </c>
      <c r="B1069" s="50" t="s">
        <v>818</v>
      </c>
      <c r="C1069" s="50" t="s">
        <v>837</v>
      </c>
      <c r="D1069" s="427" t="s">
        <v>1033</v>
      </c>
      <c r="E1069" s="426" t="s">
        <v>304</v>
      </c>
      <c r="F1069" s="349" t="s">
        <v>725</v>
      </c>
      <c r="G1069" s="86" t="s">
        <v>209</v>
      </c>
      <c r="H1069" s="63" t="s">
        <v>1040</v>
      </c>
      <c r="I1069" s="86" t="s">
        <v>780</v>
      </c>
      <c r="J1069" s="343">
        <v>2.0099999999999998</v>
      </c>
      <c r="K1069" s="351">
        <f t="shared" si="84"/>
        <v>12</v>
      </c>
      <c r="L1069" s="484">
        <v>12</v>
      </c>
      <c r="M1069" s="448" t="str">
        <f>IF(L1069="nio","",VLOOKUP(L1069,'3-Productie normen'!$B$31:$H$45,3,FALSE))</f>
        <v>1 x per maand</v>
      </c>
      <c r="N1069" s="353" t="e">
        <f t="shared" si="87"/>
        <v>#DIV/0!</v>
      </c>
      <c r="O1069" s="354">
        <f>IF(L1069="nio",0,IF(L1069&gt;0,VLOOKUP(H1069,'3-Productie normen'!A:P,VLOOKUP(L1069,'3-Productie normen'!$B$31:$C$45,2,FALSE),FALSE)))/VLOOKUP(B1069,'2-Kosten per locatie'!$A$13:$D$36,4,FALSE)</f>
        <v>0</v>
      </c>
      <c r="P1069" s="82" t="str">
        <f>VLOOKUP(H1069,'3-Productie normen'!A:T,20,FALSE)</f>
        <v>V</v>
      </c>
      <c r="Q1069" s="447" t="s">
        <v>792</v>
      </c>
      <c r="S1069" s="356">
        <f t="shared" si="85"/>
        <v>24.119999999999997</v>
      </c>
    </row>
    <row r="1070" spans="1:19" ht="14.1" customHeight="1">
      <c r="A1070" s="72">
        <f t="shared" si="86"/>
        <v>1070</v>
      </c>
      <c r="B1070" s="50" t="s">
        <v>818</v>
      </c>
      <c r="C1070" s="50" t="s">
        <v>837</v>
      </c>
      <c r="D1070" s="427" t="s">
        <v>1033</v>
      </c>
      <c r="E1070" s="426" t="s">
        <v>304</v>
      </c>
      <c r="F1070" s="349" t="s">
        <v>317</v>
      </c>
      <c r="G1070" s="86" t="s">
        <v>226</v>
      </c>
      <c r="H1070" s="86" t="s">
        <v>16</v>
      </c>
      <c r="I1070" s="86" t="s">
        <v>785</v>
      </c>
      <c r="J1070" s="343">
        <v>9.36</v>
      </c>
      <c r="K1070" s="351">
        <f t="shared" si="84"/>
        <v>201</v>
      </c>
      <c r="L1070" s="484">
        <v>201</v>
      </c>
      <c r="M1070" s="448" t="str">
        <f>IF(L1070="nio","",VLOOKUP(L1070,'3-Productie normen'!$B$31:$H$45,3,FALSE))</f>
        <v>5 x per week (40 weken + 1 Zomer refreshbeurt)</v>
      </c>
      <c r="N1070" s="353" t="e">
        <f t="shared" si="87"/>
        <v>#DIV/0!</v>
      </c>
      <c r="O1070" s="354">
        <f>IF(L1070="nio",0,IF(L1070&gt;0,VLOOKUP(H1070,'3-Productie normen'!A:P,VLOOKUP(L1070,'3-Productie normen'!$B$31:$C$45,2,FALSE),FALSE)))/VLOOKUP(B1070,'2-Kosten per locatie'!$A$13:$D$36,4,FALSE)</f>
        <v>0</v>
      </c>
      <c r="P1070" s="82" t="str">
        <f>VLOOKUP(H1070,'3-Productie normen'!A:T,20,FALSE)</f>
        <v>S</v>
      </c>
      <c r="Q1070" s="447" t="s">
        <v>945</v>
      </c>
      <c r="S1070" s="356">
        <f t="shared" si="85"/>
        <v>1881.36</v>
      </c>
    </row>
    <row r="1071" spans="1:19" ht="14.1" customHeight="1">
      <c r="A1071" s="72">
        <f t="shared" si="86"/>
        <v>1071</v>
      </c>
      <c r="B1071" s="50" t="s">
        <v>818</v>
      </c>
      <c r="C1071" s="50" t="s">
        <v>837</v>
      </c>
      <c r="D1071" s="427" t="s">
        <v>1033</v>
      </c>
      <c r="E1071" s="426" t="s">
        <v>304</v>
      </c>
      <c r="F1071" s="349" t="s">
        <v>318</v>
      </c>
      <c r="G1071" s="86" t="s">
        <v>298</v>
      </c>
      <c r="H1071" s="50" t="s">
        <v>241</v>
      </c>
      <c r="I1071" s="86" t="s">
        <v>780</v>
      </c>
      <c r="J1071" s="343">
        <v>54.14</v>
      </c>
      <c r="K1071" s="351">
        <f t="shared" ref="K1071:K1134" si="88">L1071</f>
        <v>201</v>
      </c>
      <c r="L1071" s="484">
        <v>201</v>
      </c>
      <c r="M1071" s="448" t="str">
        <f>IF(L1071="nio","",VLOOKUP(L1071,'3-Productie normen'!$B$31:$H$45,3,FALSE))</f>
        <v>5 x per week (40 weken + 1 Zomer refreshbeurt)</v>
      </c>
      <c r="N1071" s="353" t="e">
        <f t="shared" si="87"/>
        <v>#DIV/0!</v>
      </c>
      <c r="O1071" s="354">
        <f>IF(L1071="nio",0,IF(L1071&gt;0,VLOOKUP(H1071,'3-Productie normen'!A:P,VLOOKUP(L1071,'3-Productie normen'!$B$31:$C$45,2,FALSE),FALSE)))/VLOOKUP(B1071,'2-Kosten per locatie'!$A$13:$D$36,4,FALSE)</f>
        <v>0</v>
      </c>
      <c r="P1071" s="82" t="str">
        <f>VLOOKUP(H1071,'3-Productie normen'!A:T,20,FALSE)</f>
        <v>L</v>
      </c>
      <c r="Q1071" s="447" t="s">
        <v>881</v>
      </c>
      <c r="S1071" s="356">
        <f t="shared" si="85"/>
        <v>10882.14</v>
      </c>
    </row>
    <row r="1072" spans="1:19" ht="14.1" customHeight="1">
      <c r="A1072" s="72">
        <f t="shared" si="86"/>
        <v>1072</v>
      </c>
      <c r="B1072" s="50" t="s">
        <v>818</v>
      </c>
      <c r="C1072" s="50" t="s">
        <v>837</v>
      </c>
      <c r="D1072" s="427" t="s">
        <v>1033</v>
      </c>
      <c r="E1072" s="426" t="s">
        <v>304</v>
      </c>
      <c r="F1072" s="349" t="s">
        <v>726</v>
      </c>
      <c r="G1072" s="86" t="s">
        <v>209</v>
      </c>
      <c r="H1072" s="63" t="s">
        <v>1040</v>
      </c>
      <c r="I1072" s="86" t="s">
        <v>780</v>
      </c>
      <c r="J1072" s="343">
        <v>2.0099999999999998</v>
      </c>
      <c r="K1072" s="351">
        <f t="shared" si="88"/>
        <v>12</v>
      </c>
      <c r="L1072" s="484">
        <v>12</v>
      </c>
      <c r="M1072" s="448" t="str">
        <f>IF(L1072="nio","",VLOOKUP(L1072,'3-Productie normen'!$B$31:$H$45,3,FALSE))</f>
        <v>1 x per maand</v>
      </c>
      <c r="N1072" s="353" t="e">
        <f t="shared" si="87"/>
        <v>#DIV/0!</v>
      </c>
      <c r="O1072" s="354">
        <f>IF(L1072="nio",0,IF(L1072&gt;0,VLOOKUP(H1072,'3-Productie normen'!A:P,VLOOKUP(L1072,'3-Productie normen'!$B$31:$C$45,2,FALSE),FALSE)))/VLOOKUP(B1072,'2-Kosten per locatie'!$A$13:$D$36,4,FALSE)</f>
        <v>0</v>
      </c>
      <c r="P1072" s="82" t="str">
        <f>VLOOKUP(H1072,'3-Productie normen'!A:T,20,FALSE)</f>
        <v>V</v>
      </c>
      <c r="Q1072" s="447" t="s">
        <v>792</v>
      </c>
      <c r="S1072" s="356">
        <f t="shared" si="85"/>
        <v>24.119999999999997</v>
      </c>
    </row>
    <row r="1073" spans="1:19" ht="14.1" customHeight="1">
      <c r="A1073" s="72">
        <f t="shared" si="86"/>
        <v>1073</v>
      </c>
      <c r="B1073" s="50" t="s">
        <v>818</v>
      </c>
      <c r="C1073" s="50" t="s">
        <v>837</v>
      </c>
      <c r="D1073" s="427" t="s">
        <v>1033</v>
      </c>
      <c r="E1073" s="426" t="s">
        <v>304</v>
      </c>
      <c r="F1073" s="349" t="s">
        <v>319</v>
      </c>
      <c r="G1073" s="86" t="s">
        <v>201</v>
      </c>
      <c r="H1073" s="432" t="s">
        <v>198</v>
      </c>
      <c r="I1073" s="86" t="s">
        <v>780</v>
      </c>
      <c r="J1073" s="343">
        <v>3.0699999332428001</v>
      </c>
      <c r="K1073" s="351">
        <f t="shared" si="88"/>
        <v>200</v>
      </c>
      <c r="L1073" s="484">
        <v>200</v>
      </c>
      <c r="M1073" s="448" t="str">
        <f>IF(L1073="nio","",VLOOKUP(L1073,'3-Productie normen'!$B$31:$H$45,3,FALSE))</f>
        <v>5 x per week (40 weken)</v>
      </c>
      <c r="N1073" s="353" t="e">
        <f t="shared" si="87"/>
        <v>#DIV/0!</v>
      </c>
      <c r="O1073" s="354">
        <f>IF(L1073="nio",0,IF(L1073&gt;0,VLOOKUP(H1073,'3-Productie normen'!A:P,VLOOKUP(L1073,'3-Productie normen'!$B$31:$C$45,2,FALSE),FALSE)))/VLOOKUP(B1073,'2-Kosten per locatie'!$A$13:$D$36,4,FALSE)</f>
        <v>0</v>
      </c>
      <c r="P1073" s="82" t="str">
        <f>VLOOKUP(H1073,'3-Productie normen'!A:T,20,FALSE)</f>
        <v>V</v>
      </c>
      <c r="Q1073" s="447" t="s">
        <v>1011</v>
      </c>
      <c r="S1073" s="356">
        <f t="shared" si="85"/>
        <v>613.99998664856003</v>
      </c>
    </row>
    <row r="1074" spans="1:19" ht="14.1" customHeight="1">
      <c r="A1074" s="72">
        <f t="shared" si="86"/>
        <v>1074</v>
      </c>
      <c r="B1074" s="50" t="s">
        <v>818</v>
      </c>
      <c r="C1074" s="50" t="s">
        <v>837</v>
      </c>
      <c r="D1074" s="427" t="s">
        <v>1033</v>
      </c>
      <c r="E1074" s="426" t="s">
        <v>275</v>
      </c>
      <c r="F1074" s="349" t="s">
        <v>595</v>
      </c>
      <c r="G1074" s="86" t="s">
        <v>232</v>
      </c>
      <c r="H1074" s="430" t="s">
        <v>1046</v>
      </c>
      <c r="I1074" s="86" t="s">
        <v>798</v>
      </c>
      <c r="J1074" s="343">
        <v>6.34</v>
      </c>
      <c r="K1074" s="351">
        <f t="shared" si="88"/>
        <v>200</v>
      </c>
      <c r="L1074" s="484">
        <v>200</v>
      </c>
      <c r="M1074" s="448" t="str">
        <f>IF(L1074="nio","",VLOOKUP(L1074,'3-Productie normen'!$B$31:$H$45,3,FALSE))</f>
        <v>5 x per week (40 weken)</v>
      </c>
      <c r="N1074" s="353" t="e">
        <f t="shared" si="87"/>
        <v>#DIV/0!</v>
      </c>
      <c r="O1074" s="354">
        <f>IF(L1074="nio",0,IF(L1074&gt;0,VLOOKUP(H1074,'3-Productie normen'!A:P,VLOOKUP(L1074,'3-Productie normen'!$B$31:$C$45,2,FALSE),FALSE)))/VLOOKUP(B1074,'2-Kosten per locatie'!$A$13:$D$36,4,FALSE)</f>
        <v>0</v>
      </c>
      <c r="P1074" s="82" t="str">
        <f>VLOOKUP(H1074,'3-Productie normen'!A:T,20,FALSE)</f>
        <v>V</v>
      </c>
      <c r="Q1074" s="447" t="s">
        <v>960</v>
      </c>
      <c r="S1074" s="356">
        <f t="shared" si="85"/>
        <v>1268</v>
      </c>
    </row>
    <row r="1075" spans="1:19" ht="14.1" customHeight="1">
      <c r="A1075" s="72">
        <f t="shared" si="86"/>
        <v>1075</v>
      </c>
      <c r="B1075" s="50" t="s">
        <v>818</v>
      </c>
      <c r="C1075" s="50" t="s">
        <v>837</v>
      </c>
      <c r="D1075" s="427" t="s">
        <v>1033</v>
      </c>
      <c r="E1075" s="426" t="s">
        <v>304</v>
      </c>
      <c r="F1075" s="349" t="s">
        <v>320</v>
      </c>
      <c r="G1075" s="86" t="s">
        <v>201</v>
      </c>
      <c r="H1075" s="432" t="s">
        <v>198</v>
      </c>
      <c r="I1075" s="86" t="s">
        <v>790</v>
      </c>
      <c r="J1075" s="343">
        <v>4.0799999237060502</v>
      </c>
      <c r="K1075" s="351">
        <f t="shared" si="88"/>
        <v>200</v>
      </c>
      <c r="L1075" s="484">
        <v>200</v>
      </c>
      <c r="M1075" s="448" t="str">
        <f>IF(L1075="nio","",VLOOKUP(L1075,'3-Productie normen'!$B$31:$H$45,3,FALSE))</f>
        <v>5 x per week (40 weken)</v>
      </c>
      <c r="N1075" s="353" t="e">
        <f t="shared" si="87"/>
        <v>#DIV/0!</v>
      </c>
      <c r="O1075" s="354">
        <f>IF(L1075="nio",0,IF(L1075&gt;0,VLOOKUP(H1075,'3-Productie normen'!A:P,VLOOKUP(L1075,'3-Productie normen'!$B$31:$C$45,2,FALSE),FALSE)))/VLOOKUP(B1075,'2-Kosten per locatie'!$A$13:$D$36,4,FALSE)</f>
        <v>0</v>
      </c>
      <c r="P1075" s="82" t="str">
        <f>VLOOKUP(H1075,'3-Productie normen'!A:T,20,FALSE)</f>
        <v>V</v>
      </c>
      <c r="Q1075" s="447" t="s">
        <v>792</v>
      </c>
      <c r="S1075" s="356">
        <f t="shared" si="85"/>
        <v>815.99998474121003</v>
      </c>
    </row>
    <row r="1076" spans="1:19" ht="14.1" customHeight="1">
      <c r="A1076" s="72">
        <f t="shared" si="86"/>
        <v>1076</v>
      </c>
      <c r="B1076" s="50" t="s">
        <v>818</v>
      </c>
      <c r="C1076" s="50" t="s">
        <v>837</v>
      </c>
      <c r="D1076" s="427" t="s">
        <v>1033</v>
      </c>
      <c r="E1076" s="426" t="s">
        <v>304</v>
      </c>
      <c r="F1076" s="349" t="s">
        <v>321</v>
      </c>
      <c r="G1076" s="86" t="s">
        <v>201</v>
      </c>
      <c r="H1076" s="432" t="s">
        <v>198</v>
      </c>
      <c r="I1076" s="86" t="s">
        <v>780</v>
      </c>
      <c r="J1076" s="343">
        <v>14.86</v>
      </c>
      <c r="K1076" s="351">
        <f t="shared" si="88"/>
        <v>200</v>
      </c>
      <c r="L1076" s="484">
        <v>200</v>
      </c>
      <c r="M1076" s="448" t="str">
        <f>IF(L1076="nio","",VLOOKUP(L1076,'3-Productie normen'!$B$31:$H$45,3,FALSE))</f>
        <v>5 x per week (40 weken)</v>
      </c>
      <c r="N1076" s="353" t="e">
        <f t="shared" si="87"/>
        <v>#DIV/0!</v>
      </c>
      <c r="O1076" s="354">
        <f>IF(L1076="nio",0,IF(L1076&gt;0,VLOOKUP(H1076,'3-Productie normen'!A:P,VLOOKUP(L1076,'3-Productie normen'!$B$31:$C$45,2,FALSE),FALSE)))/VLOOKUP(B1076,'2-Kosten per locatie'!$A$13:$D$36,4,FALSE)</f>
        <v>0</v>
      </c>
      <c r="P1076" s="82" t="str">
        <f>VLOOKUP(H1076,'3-Productie normen'!A:T,20,FALSE)</f>
        <v>V</v>
      </c>
      <c r="Q1076" s="447" t="s">
        <v>792</v>
      </c>
      <c r="S1076" s="356">
        <f t="shared" si="85"/>
        <v>2972</v>
      </c>
    </row>
    <row r="1077" spans="1:19" ht="14.1" customHeight="1">
      <c r="A1077" s="72">
        <f t="shared" si="86"/>
        <v>1077</v>
      </c>
      <c r="B1077" s="50" t="s">
        <v>818</v>
      </c>
      <c r="C1077" s="50" t="s">
        <v>837</v>
      </c>
      <c r="D1077" s="427" t="s">
        <v>1033</v>
      </c>
      <c r="E1077" s="426" t="s">
        <v>304</v>
      </c>
      <c r="F1077" s="349" t="s">
        <v>322</v>
      </c>
      <c r="G1077" s="431" t="s">
        <v>229</v>
      </c>
      <c r="H1077" s="432" t="s">
        <v>198</v>
      </c>
      <c r="I1077" s="86" t="s">
        <v>780</v>
      </c>
      <c r="J1077" s="343">
        <v>37.54</v>
      </c>
      <c r="K1077" s="351">
        <f t="shared" si="88"/>
        <v>200</v>
      </c>
      <c r="L1077" s="484">
        <v>200</v>
      </c>
      <c r="M1077" s="448" t="str">
        <f>IF(L1077="nio","",VLOOKUP(L1077,'3-Productie normen'!$B$31:$H$45,3,FALSE))</f>
        <v>5 x per week (40 weken)</v>
      </c>
      <c r="N1077" s="353" t="e">
        <f t="shared" si="87"/>
        <v>#DIV/0!</v>
      </c>
      <c r="O1077" s="354">
        <f>IF(L1077="nio",0,IF(L1077&gt;0,VLOOKUP(H1077,'3-Productie normen'!A:P,VLOOKUP(L1077,'3-Productie normen'!$B$31:$C$45,2,FALSE),FALSE)))/VLOOKUP(B1077,'2-Kosten per locatie'!$A$13:$D$36,4,FALSE)</f>
        <v>0</v>
      </c>
      <c r="P1077" s="82" t="str">
        <f>VLOOKUP(H1077,'3-Productie normen'!A:T,20,FALSE)</f>
        <v>V</v>
      </c>
      <c r="Q1077" s="447" t="s">
        <v>792</v>
      </c>
      <c r="S1077" s="356">
        <f t="shared" si="85"/>
        <v>7508</v>
      </c>
    </row>
    <row r="1078" spans="1:19" ht="14.1" customHeight="1">
      <c r="A1078" s="72">
        <f t="shared" si="86"/>
        <v>1078</v>
      </c>
      <c r="B1078" s="50" t="s">
        <v>818</v>
      </c>
      <c r="C1078" s="50" t="s">
        <v>837</v>
      </c>
      <c r="D1078" s="427" t="s">
        <v>1033</v>
      </c>
      <c r="E1078" s="426" t="s">
        <v>304</v>
      </c>
      <c r="F1078" s="349" t="s">
        <v>323</v>
      </c>
      <c r="G1078" s="86" t="s">
        <v>298</v>
      </c>
      <c r="H1078" s="50" t="s">
        <v>241</v>
      </c>
      <c r="I1078" s="86" t="s">
        <v>780</v>
      </c>
      <c r="J1078" s="343">
        <v>50.2</v>
      </c>
      <c r="K1078" s="351">
        <f t="shared" si="88"/>
        <v>201</v>
      </c>
      <c r="L1078" s="484">
        <v>201</v>
      </c>
      <c r="M1078" s="448" t="str">
        <f>IF(L1078="nio","",VLOOKUP(L1078,'3-Productie normen'!$B$31:$H$45,3,FALSE))</f>
        <v>5 x per week (40 weken + 1 Zomer refreshbeurt)</v>
      </c>
      <c r="N1078" s="353" t="e">
        <f t="shared" si="87"/>
        <v>#DIV/0!</v>
      </c>
      <c r="O1078" s="354">
        <f>IF(L1078="nio",0,IF(L1078&gt;0,VLOOKUP(H1078,'3-Productie normen'!A:P,VLOOKUP(L1078,'3-Productie normen'!$B$31:$C$45,2,FALSE),FALSE)))/VLOOKUP(B1078,'2-Kosten per locatie'!$A$13:$D$36,4,FALSE)</f>
        <v>0</v>
      </c>
      <c r="P1078" s="82" t="str">
        <f>VLOOKUP(H1078,'3-Productie normen'!A:T,20,FALSE)</f>
        <v>L</v>
      </c>
      <c r="Q1078" s="447" t="s">
        <v>875</v>
      </c>
      <c r="S1078" s="356">
        <f t="shared" si="85"/>
        <v>10090.200000000001</v>
      </c>
    </row>
    <row r="1079" spans="1:19" ht="14.1" customHeight="1">
      <c r="A1079" s="72">
        <f t="shared" si="86"/>
        <v>1079</v>
      </c>
      <c r="B1079" s="50" t="s">
        <v>818</v>
      </c>
      <c r="C1079" s="50" t="s">
        <v>837</v>
      </c>
      <c r="D1079" s="427" t="s">
        <v>1033</v>
      </c>
      <c r="E1079" s="426" t="s">
        <v>304</v>
      </c>
      <c r="F1079" s="349" t="s">
        <v>727</v>
      </c>
      <c r="G1079" s="86" t="s">
        <v>209</v>
      </c>
      <c r="H1079" s="63" t="s">
        <v>1040</v>
      </c>
      <c r="I1079" s="86" t="s">
        <v>780</v>
      </c>
      <c r="J1079" s="343">
        <v>2.1500000953674299</v>
      </c>
      <c r="K1079" s="351">
        <f t="shared" si="88"/>
        <v>12</v>
      </c>
      <c r="L1079" s="484">
        <v>12</v>
      </c>
      <c r="M1079" s="448" t="str">
        <f>IF(L1079="nio","",VLOOKUP(L1079,'3-Productie normen'!$B$31:$H$45,3,FALSE))</f>
        <v>1 x per maand</v>
      </c>
      <c r="N1079" s="353" t="e">
        <f t="shared" si="87"/>
        <v>#DIV/0!</v>
      </c>
      <c r="O1079" s="354">
        <f>IF(L1079="nio",0,IF(L1079&gt;0,VLOOKUP(H1079,'3-Productie normen'!A:P,VLOOKUP(L1079,'3-Productie normen'!$B$31:$C$45,2,FALSE),FALSE)))/VLOOKUP(B1079,'2-Kosten per locatie'!$A$13:$D$36,4,FALSE)</f>
        <v>0</v>
      </c>
      <c r="P1079" s="82" t="str">
        <f>VLOOKUP(H1079,'3-Productie normen'!A:T,20,FALSE)</f>
        <v>V</v>
      </c>
      <c r="Q1079" s="447" t="s">
        <v>792</v>
      </c>
      <c r="S1079" s="356">
        <f t="shared" si="85"/>
        <v>25.800001144409158</v>
      </c>
    </row>
    <row r="1080" spans="1:19" ht="14.1" customHeight="1">
      <c r="A1080" s="72">
        <f t="shared" si="86"/>
        <v>1080</v>
      </c>
      <c r="B1080" s="50" t="s">
        <v>818</v>
      </c>
      <c r="C1080" s="50" t="s">
        <v>837</v>
      </c>
      <c r="D1080" s="427" t="s">
        <v>1033</v>
      </c>
      <c r="E1080" s="426" t="s">
        <v>304</v>
      </c>
      <c r="F1080" s="349" t="s">
        <v>324</v>
      </c>
      <c r="G1080" s="86" t="s">
        <v>226</v>
      </c>
      <c r="H1080" s="86" t="s">
        <v>16</v>
      </c>
      <c r="I1080" s="86" t="s">
        <v>785</v>
      </c>
      <c r="J1080" s="343">
        <v>8.6300000000000008</v>
      </c>
      <c r="K1080" s="351">
        <f t="shared" si="88"/>
        <v>201</v>
      </c>
      <c r="L1080" s="484">
        <v>201</v>
      </c>
      <c r="M1080" s="448" t="str">
        <f>IF(L1080="nio","",VLOOKUP(L1080,'3-Productie normen'!$B$31:$H$45,3,FALSE))</f>
        <v>5 x per week (40 weken + 1 Zomer refreshbeurt)</v>
      </c>
      <c r="N1080" s="353" t="e">
        <f t="shared" si="87"/>
        <v>#DIV/0!</v>
      </c>
      <c r="O1080" s="354">
        <f>IF(L1080="nio",0,IF(L1080&gt;0,VLOOKUP(H1080,'3-Productie normen'!A:P,VLOOKUP(L1080,'3-Productie normen'!$B$31:$C$45,2,FALSE),FALSE)))/VLOOKUP(B1080,'2-Kosten per locatie'!$A$13:$D$36,4,FALSE)</f>
        <v>0</v>
      </c>
      <c r="P1080" s="82" t="str">
        <f>VLOOKUP(H1080,'3-Productie normen'!A:T,20,FALSE)</f>
        <v>S</v>
      </c>
      <c r="Q1080" s="447" t="s">
        <v>894</v>
      </c>
      <c r="S1080" s="356">
        <f t="shared" si="85"/>
        <v>1734.63</v>
      </c>
    </row>
    <row r="1081" spans="1:19" ht="14.1" customHeight="1">
      <c r="A1081" s="72">
        <f t="shared" si="86"/>
        <v>1081</v>
      </c>
      <c r="B1081" s="50" t="s">
        <v>818</v>
      </c>
      <c r="C1081" s="50" t="s">
        <v>837</v>
      </c>
      <c r="D1081" s="427" t="s">
        <v>1033</v>
      </c>
      <c r="E1081" s="426" t="s">
        <v>304</v>
      </c>
      <c r="F1081" s="349" t="s">
        <v>325</v>
      </c>
      <c r="G1081" s="86" t="s">
        <v>242</v>
      </c>
      <c r="H1081" s="50" t="s">
        <v>241</v>
      </c>
      <c r="I1081" s="86" t="s">
        <v>780</v>
      </c>
      <c r="J1081" s="343">
        <v>53.31</v>
      </c>
      <c r="K1081" s="351">
        <f t="shared" si="88"/>
        <v>201</v>
      </c>
      <c r="L1081" s="484">
        <v>201</v>
      </c>
      <c r="M1081" s="448" t="str">
        <f>IF(L1081="nio","",VLOOKUP(L1081,'3-Productie normen'!$B$31:$H$45,3,FALSE))</f>
        <v>5 x per week (40 weken + 1 Zomer refreshbeurt)</v>
      </c>
      <c r="N1081" s="353" t="e">
        <f t="shared" si="87"/>
        <v>#DIV/0!</v>
      </c>
      <c r="O1081" s="354">
        <f>IF(L1081="nio",0,IF(L1081&gt;0,VLOOKUP(H1081,'3-Productie normen'!A:P,VLOOKUP(L1081,'3-Productie normen'!$B$31:$C$45,2,FALSE),FALSE)))/VLOOKUP(B1081,'2-Kosten per locatie'!$A$13:$D$36,4,FALSE)</f>
        <v>0</v>
      </c>
      <c r="P1081" s="82" t="str">
        <f>VLOOKUP(H1081,'3-Productie normen'!A:T,20,FALSE)</f>
        <v>L</v>
      </c>
      <c r="Q1081" s="447" t="s">
        <v>996</v>
      </c>
      <c r="S1081" s="356">
        <f t="shared" si="85"/>
        <v>10715.310000000001</v>
      </c>
    </row>
    <row r="1082" spans="1:19" ht="14.1" customHeight="1">
      <c r="A1082" s="72">
        <f t="shared" si="86"/>
        <v>1082</v>
      </c>
      <c r="B1082" s="50" t="s">
        <v>818</v>
      </c>
      <c r="C1082" s="50" t="s">
        <v>837</v>
      </c>
      <c r="D1082" s="427" t="s">
        <v>1033</v>
      </c>
      <c r="E1082" s="426" t="s">
        <v>304</v>
      </c>
      <c r="F1082" s="349" t="s">
        <v>728</v>
      </c>
      <c r="G1082" s="86" t="s">
        <v>209</v>
      </c>
      <c r="H1082" s="63" t="s">
        <v>1040</v>
      </c>
      <c r="I1082" s="86" t="s">
        <v>780</v>
      </c>
      <c r="J1082" s="343">
        <v>2.15</v>
      </c>
      <c r="K1082" s="351">
        <f t="shared" si="88"/>
        <v>12</v>
      </c>
      <c r="L1082" s="484">
        <v>12</v>
      </c>
      <c r="M1082" s="448" t="str">
        <f>IF(L1082="nio","",VLOOKUP(L1082,'3-Productie normen'!$B$31:$H$45,3,FALSE))</f>
        <v>1 x per maand</v>
      </c>
      <c r="N1082" s="353" t="e">
        <f t="shared" si="87"/>
        <v>#DIV/0!</v>
      </c>
      <c r="O1082" s="354">
        <f>IF(L1082="nio",0,IF(L1082&gt;0,VLOOKUP(H1082,'3-Productie normen'!A:P,VLOOKUP(L1082,'3-Productie normen'!$B$31:$C$45,2,FALSE),FALSE)))/VLOOKUP(B1082,'2-Kosten per locatie'!$A$13:$D$36,4,FALSE)</f>
        <v>0</v>
      </c>
      <c r="P1082" s="82" t="str">
        <f>VLOOKUP(H1082,'3-Productie normen'!A:T,20,FALSE)</f>
        <v>V</v>
      </c>
      <c r="Q1082" s="447" t="s">
        <v>792</v>
      </c>
      <c r="S1082" s="356">
        <f t="shared" si="85"/>
        <v>25.799999999999997</v>
      </c>
    </row>
    <row r="1083" spans="1:19" ht="14.1" customHeight="1">
      <c r="A1083" s="72">
        <f t="shared" si="86"/>
        <v>1083</v>
      </c>
      <c r="B1083" s="50" t="s">
        <v>818</v>
      </c>
      <c r="C1083" s="50" t="s">
        <v>837</v>
      </c>
      <c r="D1083" s="427" t="s">
        <v>1033</v>
      </c>
      <c r="E1083" s="426" t="s">
        <v>304</v>
      </c>
      <c r="F1083" s="349" t="s">
        <v>597</v>
      </c>
      <c r="G1083" s="86" t="s">
        <v>232</v>
      </c>
      <c r="H1083" s="430" t="s">
        <v>1046</v>
      </c>
      <c r="I1083" s="86" t="s">
        <v>798</v>
      </c>
      <c r="J1083" s="343">
        <v>8.23</v>
      </c>
      <c r="K1083" s="351">
        <f t="shared" si="88"/>
        <v>200</v>
      </c>
      <c r="L1083" s="484">
        <v>200</v>
      </c>
      <c r="M1083" s="448" t="str">
        <f>IF(L1083="nio","",VLOOKUP(L1083,'3-Productie normen'!$B$31:$H$45,3,FALSE))</f>
        <v>5 x per week (40 weken)</v>
      </c>
      <c r="N1083" s="353" t="e">
        <f t="shared" si="87"/>
        <v>#DIV/0!</v>
      </c>
      <c r="O1083" s="354">
        <f>IF(L1083="nio",0,IF(L1083&gt;0,VLOOKUP(H1083,'3-Productie normen'!A:P,VLOOKUP(L1083,'3-Productie normen'!$B$31:$C$45,2,FALSE),FALSE)))/VLOOKUP(B1083,'2-Kosten per locatie'!$A$13:$D$36,4,FALSE)</f>
        <v>0</v>
      </c>
      <c r="P1083" s="82" t="str">
        <f>VLOOKUP(H1083,'3-Productie normen'!A:T,20,FALSE)</f>
        <v>V</v>
      </c>
      <c r="Q1083" s="447" t="s">
        <v>960</v>
      </c>
      <c r="S1083" s="356">
        <f t="shared" si="85"/>
        <v>1646</v>
      </c>
    </row>
    <row r="1084" spans="1:19" ht="14.1" customHeight="1">
      <c r="A1084" s="72">
        <f t="shared" si="86"/>
        <v>1084</v>
      </c>
      <c r="B1084" s="50" t="s">
        <v>818</v>
      </c>
      <c r="C1084" s="50" t="s">
        <v>837</v>
      </c>
      <c r="D1084" s="427" t="s">
        <v>1033</v>
      </c>
      <c r="E1084" s="426" t="s">
        <v>304</v>
      </c>
      <c r="F1084" s="349" t="s">
        <v>598</v>
      </c>
      <c r="G1084" s="86" t="s">
        <v>242</v>
      </c>
      <c r="H1084" s="50" t="s">
        <v>241</v>
      </c>
      <c r="I1084" s="86" t="s">
        <v>780</v>
      </c>
      <c r="J1084" s="343">
        <v>53.3</v>
      </c>
      <c r="K1084" s="351">
        <f t="shared" si="88"/>
        <v>201</v>
      </c>
      <c r="L1084" s="484">
        <v>201</v>
      </c>
      <c r="M1084" s="448" t="str">
        <f>IF(L1084="nio","",VLOOKUP(L1084,'3-Productie normen'!$B$31:$H$45,3,FALSE))</f>
        <v>5 x per week (40 weken + 1 Zomer refreshbeurt)</v>
      </c>
      <c r="N1084" s="353" t="e">
        <f t="shared" si="87"/>
        <v>#DIV/0!</v>
      </c>
      <c r="O1084" s="354">
        <f>IF(L1084="nio",0,IF(L1084&gt;0,VLOOKUP(H1084,'3-Productie normen'!A:P,VLOOKUP(L1084,'3-Productie normen'!$B$31:$C$45,2,FALSE),FALSE)))/VLOOKUP(B1084,'2-Kosten per locatie'!$A$13:$D$36,4,FALSE)</f>
        <v>0</v>
      </c>
      <c r="P1084" s="82" t="str">
        <f>VLOOKUP(H1084,'3-Productie normen'!A:T,20,FALSE)</f>
        <v>L</v>
      </c>
      <c r="Q1084" s="447" t="s">
        <v>877</v>
      </c>
      <c r="S1084" s="356">
        <f t="shared" si="85"/>
        <v>10713.3</v>
      </c>
    </row>
    <row r="1085" spans="1:19" ht="14.1" customHeight="1">
      <c r="A1085" s="72">
        <f t="shared" si="86"/>
        <v>1085</v>
      </c>
      <c r="B1085" s="50" t="s">
        <v>818</v>
      </c>
      <c r="C1085" s="50" t="s">
        <v>837</v>
      </c>
      <c r="D1085" s="427" t="s">
        <v>1033</v>
      </c>
      <c r="E1085" s="426" t="s">
        <v>304</v>
      </c>
      <c r="F1085" s="349" t="s">
        <v>729</v>
      </c>
      <c r="G1085" s="86" t="s">
        <v>209</v>
      </c>
      <c r="H1085" s="63" t="s">
        <v>1040</v>
      </c>
      <c r="I1085" s="86" t="s">
        <v>780</v>
      </c>
      <c r="J1085" s="343">
        <v>2.1500000953674299</v>
      </c>
      <c r="K1085" s="351">
        <f t="shared" si="88"/>
        <v>12</v>
      </c>
      <c r="L1085" s="484">
        <v>12</v>
      </c>
      <c r="M1085" s="448" t="str">
        <f>IF(L1085="nio","",VLOOKUP(L1085,'3-Productie normen'!$B$31:$H$45,3,FALSE))</f>
        <v>1 x per maand</v>
      </c>
      <c r="N1085" s="353" t="e">
        <f t="shared" si="87"/>
        <v>#DIV/0!</v>
      </c>
      <c r="O1085" s="354">
        <f>IF(L1085="nio",0,IF(L1085&gt;0,VLOOKUP(H1085,'3-Productie normen'!A:P,VLOOKUP(L1085,'3-Productie normen'!$B$31:$C$45,2,FALSE),FALSE)))/VLOOKUP(B1085,'2-Kosten per locatie'!$A$13:$D$36,4,FALSE)</f>
        <v>0</v>
      </c>
      <c r="P1085" s="82" t="str">
        <f>VLOOKUP(H1085,'3-Productie normen'!A:T,20,FALSE)</f>
        <v>V</v>
      </c>
      <c r="Q1085" s="447" t="s">
        <v>792</v>
      </c>
      <c r="S1085" s="356">
        <f t="shared" si="85"/>
        <v>25.800001144409158</v>
      </c>
    </row>
    <row r="1086" spans="1:19" ht="14.1" customHeight="1">
      <c r="A1086" s="72">
        <f t="shared" si="86"/>
        <v>1086</v>
      </c>
      <c r="B1086" s="50" t="s">
        <v>818</v>
      </c>
      <c r="C1086" s="50" t="s">
        <v>837</v>
      </c>
      <c r="D1086" s="427" t="s">
        <v>1033</v>
      </c>
      <c r="E1086" s="426" t="s">
        <v>304</v>
      </c>
      <c r="F1086" s="349" t="s">
        <v>599</v>
      </c>
      <c r="G1086" s="86" t="s">
        <v>226</v>
      </c>
      <c r="H1086" s="86" t="s">
        <v>16</v>
      </c>
      <c r="I1086" s="86" t="s">
        <v>785</v>
      </c>
      <c r="J1086" s="343">
        <v>8.6300000000000008</v>
      </c>
      <c r="K1086" s="351">
        <f t="shared" si="88"/>
        <v>201</v>
      </c>
      <c r="L1086" s="484">
        <v>201</v>
      </c>
      <c r="M1086" s="448" t="str">
        <f>IF(L1086="nio","",VLOOKUP(L1086,'3-Productie normen'!$B$31:$H$45,3,FALSE))</f>
        <v>5 x per week (40 weken + 1 Zomer refreshbeurt)</v>
      </c>
      <c r="N1086" s="353" t="e">
        <f t="shared" si="87"/>
        <v>#DIV/0!</v>
      </c>
      <c r="O1086" s="354">
        <f>IF(L1086="nio",0,IF(L1086&gt;0,VLOOKUP(H1086,'3-Productie normen'!A:P,VLOOKUP(L1086,'3-Productie normen'!$B$31:$C$45,2,FALSE),FALSE)))/VLOOKUP(B1086,'2-Kosten per locatie'!$A$13:$D$36,4,FALSE)</f>
        <v>0</v>
      </c>
      <c r="P1086" s="82" t="str">
        <f>VLOOKUP(H1086,'3-Productie normen'!A:T,20,FALSE)</f>
        <v>S</v>
      </c>
      <c r="Q1086" s="447" t="s">
        <v>894</v>
      </c>
      <c r="S1086" s="356">
        <f t="shared" si="85"/>
        <v>1734.63</v>
      </c>
    </row>
    <row r="1087" spans="1:19" ht="14.1" customHeight="1">
      <c r="A1087" s="72">
        <f t="shared" si="86"/>
        <v>1087</v>
      </c>
      <c r="B1087" s="50" t="s">
        <v>818</v>
      </c>
      <c r="C1087" s="50" t="s">
        <v>837</v>
      </c>
      <c r="D1087" s="427" t="s">
        <v>1033</v>
      </c>
      <c r="E1087" s="426" t="s">
        <v>304</v>
      </c>
      <c r="F1087" s="349" t="s">
        <v>600</v>
      </c>
      <c r="G1087" s="86" t="s">
        <v>298</v>
      </c>
      <c r="H1087" s="50" t="s">
        <v>241</v>
      </c>
      <c r="I1087" s="86" t="s">
        <v>780</v>
      </c>
      <c r="J1087" s="343">
        <v>50.2</v>
      </c>
      <c r="K1087" s="351">
        <f t="shared" si="88"/>
        <v>201</v>
      </c>
      <c r="L1087" s="484">
        <v>201</v>
      </c>
      <c r="M1087" s="448" t="str">
        <f>IF(L1087="nio","",VLOOKUP(L1087,'3-Productie normen'!$B$31:$H$45,3,FALSE))</f>
        <v>5 x per week (40 weken + 1 Zomer refreshbeurt)</v>
      </c>
      <c r="N1087" s="353" t="e">
        <f t="shared" si="87"/>
        <v>#DIV/0!</v>
      </c>
      <c r="O1087" s="354">
        <f>IF(L1087="nio",0,IF(L1087&gt;0,VLOOKUP(H1087,'3-Productie normen'!A:P,VLOOKUP(L1087,'3-Productie normen'!$B$31:$C$45,2,FALSE),FALSE)))/VLOOKUP(B1087,'2-Kosten per locatie'!$A$13:$D$36,4,FALSE)</f>
        <v>0</v>
      </c>
      <c r="P1087" s="82" t="str">
        <f>VLOOKUP(H1087,'3-Productie normen'!A:T,20,FALSE)</f>
        <v>L</v>
      </c>
      <c r="Q1087" s="447" t="s">
        <v>875</v>
      </c>
      <c r="S1087" s="356">
        <f t="shared" si="85"/>
        <v>10090.200000000001</v>
      </c>
    </row>
    <row r="1088" spans="1:19" ht="14.1" customHeight="1">
      <c r="A1088" s="72">
        <f t="shared" si="86"/>
        <v>1088</v>
      </c>
      <c r="B1088" s="50" t="s">
        <v>818</v>
      </c>
      <c r="C1088" s="50" t="s">
        <v>837</v>
      </c>
      <c r="D1088" s="427" t="s">
        <v>1033</v>
      </c>
      <c r="E1088" s="426" t="s">
        <v>304</v>
      </c>
      <c r="F1088" s="349" t="s">
        <v>730</v>
      </c>
      <c r="G1088" s="86" t="s">
        <v>209</v>
      </c>
      <c r="H1088" s="63" t="s">
        <v>1040</v>
      </c>
      <c r="I1088" s="86" t="s">
        <v>780</v>
      </c>
      <c r="J1088" s="343">
        <v>2.1500000953674299</v>
      </c>
      <c r="K1088" s="351">
        <f t="shared" si="88"/>
        <v>12</v>
      </c>
      <c r="L1088" s="484">
        <v>12</v>
      </c>
      <c r="M1088" s="448" t="str">
        <f>IF(L1088="nio","",VLOOKUP(L1088,'3-Productie normen'!$B$31:$H$45,3,FALSE))</f>
        <v>1 x per maand</v>
      </c>
      <c r="N1088" s="353" t="e">
        <f t="shared" si="87"/>
        <v>#DIV/0!</v>
      </c>
      <c r="O1088" s="354">
        <f>IF(L1088="nio",0,IF(L1088&gt;0,VLOOKUP(H1088,'3-Productie normen'!A:P,VLOOKUP(L1088,'3-Productie normen'!$B$31:$C$45,2,FALSE),FALSE)))/VLOOKUP(B1088,'2-Kosten per locatie'!$A$13:$D$36,4,FALSE)</f>
        <v>0</v>
      </c>
      <c r="P1088" s="82" t="str">
        <f>VLOOKUP(H1088,'3-Productie normen'!A:T,20,FALSE)</f>
        <v>V</v>
      </c>
      <c r="Q1088" s="447" t="s">
        <v>792</v>
      </c>
      <c r="S1088" s="356">
        <f t="shared" si="85"/>
        <v>25.800001144409158</v>
      </c>
    </row>
    <row r="1089" spans="1:19" ht="14.1" customHeight="1">
      <c r="A1089" s="72">
        <f t="shared" si="86"/>
        <v>1089</v>
      </c>
      <c r="B1089" s="50" t="s">
        <v>819</v>
      </c>
      <c r="C1089" s="50" t="s">
        <v>838</v>
      </c>
      <c r="D1089" s="427" t="s">
        <v>1034</v>
      </c>
      <c r="E1089" s="426" t="s">
        <v>612</v>
      </c>
      <c r="F1089" s="349" t="s">
        <v>197</v>
      </c>
      <c r="G1089" s="86" t="s">
        <v>199</v>
      </c>
      <c r="H1089" s="432" t="s">
        <v>198</v>
      </c>
      <c r="I1089" s="86" t="s">
        <v>784</v>
      </c>
      <c r="J1089" s="343">
        <v>9.2100000000000009</v>
      </c>
      <c r="K1089" s="351">
        <f t="shared" si="88"/>
        <v>255</v>
      </c>
      <c r="L1089" s="484">
        <v>255</v>
      </c>
      <c r="M1089" s="448" t="str">
        <f>IF(L1089="nio","",VLOOKUP(L1089,'3-Productie normen'!$B$31:$H$45,3,FALSE))</f>
        <v>5 x per week (52 weken)</v>
      </c>
      <c r="N1089" s="353" t="e">
        <f t="shared" si="87"/>
        <v>#DIV/0!</v>
      </c>
      <c r="O1089" s="354">
        <f>IF(L1089="nio",0,IF(L1089&gt;0,VLOOKUP(H1089,'3-Productie normen'!A:P,VLOOKUP(L1089,'3-Productie normen'!$B$31:$C$45,2,FALSE),FALSE)))/VLOOKUP(B1089,'2-Kosten per locatie'!$A$13:$D$36,4,FALSE)</f>
        <v>0</v>
      </c>
      <c r="P1089" s="82" t="str">
        <f>VLOOKUP(H1089,'3-Productie normen'!A:T,20,FALSE)</f>
        <v>V</v>
      </c>
      <c r="Q1089" s="447" t="s">
        <v>946</v>
      </c>
      <c r="S1089" s="356">
        <f t="shared" ref="S1089:S1152" si="89">IF(L1089="nio",0,K1089*J1089)</f>
        <v>2348.5500000000002</v>
      </c>
    </row>
    <row r="1090" spans="1:19" ht="14.1" customHeight="1">
      <c r="A1090" s="72">
        <f t="shared" si="86"/>
        <v>1090</v>
      </c>
      <c r="B1090" s="50" t="s">
        <v>819</v>
      </c>
      <c r="C1090" s="50" t="s">
        <v>838</v>
      </c>
      <c r="D1090" s="427" t="s">
        <v>1034</v>
      </c>
      <c r="E1090" s="426" t="s">
        <v>612</v>
      </c>
      <c r="F1090" s="349" t="s">
        <v>200</v>
      </c>
      <c r="G1090" s="86" t="s">
        <v>404</v>
      </c>
      <c r="H1090" s="65" t="s">
        <v>731</v>
      </c>
      <c r="I1090" s="86" t="s">
        <v>789</v>
      </c>
      <c r="J1090" s="343">
        <v>9.52</v>
      </c>
      <c r="K1090" s="351">
        <f t="shared" si="88"/>
        <v>255</v>
      </c>
      <c r="L1090" s="484">
        <v>255</v>
      </c>
      <c r="M1090" s="448" t="str">
        <f>IF(L1090="nio","",VLOOKUP(L1090,'3-Productie normen'!$B$31:$H$45,3,FALSE))</f>
        <v>5 x per week (52 weken)</v>
      </c>
      <c r="N1090" s="353" t="e">
        <f t="shared" si="87"/>
        <v>#DIV/0!</v>
      </c>
      <c r="O1090" s="354">
        <f>IF(L1090="nio",0,IF(L1090&gt;0,VLOOKUP(H1090,'3-Productie normen'!A:P,VLOOKUP(L1090,'3-Productie normen'!$B$31:$C$45,2,FALSE),FALSE)))/VLOOKUP(B1090,'2-Kosten per locatie'!$A$13:$D$36,4,FALSE)</f>
        <v>0</v>
      </c>
      <c r="P1090" s="82" t="str">
        <f>VLOOKUP(H1090,'3-Productie normen'!A:T,20,FALSE)</f>
        <v>V</v>
      </c>
      <c r="Q1090" s="447" t="s">
        <v>792</v>
      </c>
      <c r="S1090" s="356">
        <f t="shared" si="89"/>
        <v>2427.6</v>
      </c>
    </row>
    <row r="1091" spans="1:19" ht="14.1" customHeight="1">
      <c r="A1091" s="72">
        <f t="shared" si="86"/>
        <v>1091</v>
      </c>
      <c r="B1091" s="50" t="s">
        <v>819</v>
      </c>
      <c r="C1091" s="50" t="s">
        <v>838</v>
      </c>
      <c r="D1091" s="427" t="s">
        <v>1033</v>
      </c>
      <c r="E1091" s="426" t="s">
        <v>612</v>
      </c>
      <c r="F1091" s="349" t="s">
        <v>202</v>
      </c>
      <c r="G1091" s="86" t="s">
        <v>212</v>
      </c>
      <c r="H1091" s="65" t="s">
        <v>1053</v>
      </c>
      <c r="I1091" s="86" t="s">
        <v>92</v>
      </c>
      <c r="J1091" s="343">
        <v>16.37</v>
      </c>
      <c r="K1091" s="351" t="str">
        <f t="shared" si="88"/>
        <v>nio</v>
      </c>
      <c r="L1091" s="484" t="s">
        <v>804</v>
      </c>
      <c r="M1091" s="448" t="str">
        <f>IF(L1091="nio","",VLOOKUP(L1091,'3-Productie normen'!$B$31:$H$45,3,FALSE))</f>
        <v/>
      </c>
      <c r="N1091" s="353">
        <f t="shared" si="87"/>
        <v>0</v>
      </c>
      <c r="O1091" s="354">
        <f>IF(L1091="nio",0,IF(L1091&gt;0,VLOOKUP(H1091,'3-Productie normen'!A:P,VLOOKUP(L1091,'3-Productie normen'!$B$31:$C$45,2,FALSE),FALSE)))/VLOOKUP(B1091,'2-Kosten per locatie'!$A$13:$D$36,4,FALSE)</f>
        <v>0</v>
      </c>
      <c r="P1091" s="82">
        <f>VLOOKUP(H1091,'3-Productie normen'!A:T,20,FALSE)</f>
        <v>0</v>
      </c>
      <c r="Q1091" s="447" t="s">
        <v>792</v>
      </c>
      <c r="S1091" s="356">
        <f t="shared" si="89"/>
        <v>0</v>
      </c>
    </row>
    <row r="1092" spans="1:19" ht="14.1" customHeight="1">
      <c r="A1092" s="72">
        <f t="shared" si="86"/>
        <v>1092</v>
      </c>
      <c r="B1092" s="50" t="s">
        <v>819</v>
      </c>
      <c r="C1092" s="50" t="s">
        <v>838</v>
      </c>
      <c r="D1092" s="427" t="s">
        <v>1033</v>
      </c>
      <c r="E1092" s="426" t="s">
        <v>612</v>
      </c>
      <c r="F1092" s="349" t="s">
        <v>205</v>
      </c>
      <c r="G1092" s="86" t="s">
        <v>246</v>
      </c>
      <c r="H1092" s="81" t="s">
        <v>1039</v>
      </c>
      <c r="I1092" s="86" t="s">
        <v>783</v>
      </c>
      <c r="J1092" s="343">
        <v>86.97</v>
      </c>
      <c r="K1092" s="351">
        <f t="shared" si="88"/>
        <v>200</v>
      </c>
      <c r="L1092" s="484">
        <v>200</v>
      </c>
      <c r="M1092" s="448" t="str">
        <f>IF(L1092="nio","",VLOOKUP(L1092,'3-Productie normen'!$B$31:$H$45,3,FALSE))</f>
        <v>5 x per week (40 weken)</v>
      </c>
      <c r="N1092" s="353" t="e">
        <f t="shared" si="87"/>
        <v>#DIV/0!</v>
      </c>
      <c r="O1092" s="354">
        <f>IF(L1092="nio",0,IF(L1092&gt;0,VLOOKUP(H1092,'3-Productie normen'!A:P,VLOOKUP(L1092,'3-Productie normen'!$B$31:$C$45,2,FALSE),FALSE)))/VLOOKUP(B1092,'2-Kosten per locatie'!$A$13:$D$36,4,FALSE)</f>
        <v>0</v>
      </c>
      <c r="P1092" s="82" t="str">
        <f>VLOOKUP(H1092,'3-Productie normen'!A:T,20,FALSE)</f>
        <v>V</v>
      </c>
      <c r="Q1092" s="447" t="s">
        <v>792</v>
      </c>
      <c r="S1092" s="356">
        <f t="shared" si="89"/>
        <v>17394</v>
      </c>
    </row>
    <row r="1093" spans="1:19" ht="14.1" customHeight="1">
      <c r="A1093" s="72">
        <f t="shared" si="86"/>
        <v>1093</v>
      </c>
      <c r="B1093" s="50" t="s">
        <v>819</v>
      </c>
      <c r="C1093" s="50" t="s">
        <v>838</v>
      </c>
      <c r="D1093" s="427" t="s">
        <v>1034</v>
      </c>
      <c r="E1093" s="426" t="s">
        <v>612</v>
      </c>
      <c r="F1093" s="349" t="s">
        <v>207</v>
      </c>
      <c r="G1093" s="86" t="s">
        <v>201</v>
      </c>
      <c r="H1093" s="432" t="s">
        <v>198</v>
      </c>
      <c r="I1093" s="86" t="s">
        <v>91</v>
      </c>
      <c r="J1093" s="343">
        <v>52.3</v>
      </c>
      <c r="K1093" s="351">
        <f t="shared" si="88"/>
        <v>255</v>
      </c>
      <c r="L1093" s="484">
        <v>255</v>
      </c>
      <c r="M1093" s="448" t="str">
        <f>IF(L1093="nio","",VLOOKUP(L1093,'3-Productie normen'!$B$31:$H$45,3,FALSE))</f>
        <v>5 x per week (52 weken)</v>
      </c>
      <c r="N1093" s="353" t="e">
        <f t="shared" si="87"/>
        <v>#DIV/0!</v>
      </c>
      <c r="O1093" s="354">
        <f>IF(L1093="nio",0,IF(L1093&gt;0,VLOOKUP(H1093,'3-Productie normen'!A:P,VLOOKUP(L1093,'3-Productie normen'!$B$31:$C$45,2,FALSE),FALSE)))/VLOOKUP(B1093,'2-Kosten per locatie'!$A$13:$D$36,4,FALSE)</f>
        <v>0</v>
      </c>
      <c r="P1093" s="82" t="str">
        <f>VLOOKUP(H1093,'3-Productie normen'!A:T,20,FALSE)</f>
        <v>V</v>
      </c>
      <c r="Q1093" s="447"/>
      <c r="S1093" s="356">
        <f t="shared" si="89"/>
        <v>13336.5</v>
      </c>
    </row>
    <row r="1094" spans="1:19" ht="14.1" customHeight="1">
      <c r="A1094" s="72">
        <f t="shared" si="86"/>
        <v>1094</v>
      </c>
      <c r="B1094" s="50" t="s">
        <v>819</v>
      </c>
      <c r="C1094" s="50" t="s">
        <v>838</v>
      </c>
      <c r="D1094" s="427" t="s">
        <v>1034</v>
      </c>
      <c r="E1094" s="426" t="s">
        <v>612</v>
      </c>
      <c r="F1094" s="349" t="s">
        <v>208</v>
      </c>
      <c r="G1094" s="86" t="s">
        <v>256</v>
      </c>
      <c r="H1094" s="65" t="s">
        <v>731</v>
      </c>
      <c r="I1094" s="86" t="s">
        <v>780</v>
      </c>
      <c r="J1094" s="343">
        <v>61.42</v>
      </c>
      <c r="K1094" s="351">
        <f t="shared" si="88"/>
        <v>255</v>
      </c>
      <c r="L1094" s="484">
        <v>255</v>
      </c>
      <c r="M1094" s="448" t="str">
        <f>IF(L1094="nio","",VLOOKUP(L1094,'3-Productie normen'!$B$31:$H$45,3,FALSE))</f>
        <v>5 x per week (52 weken)</v>
      </c>
      <c r="N1094" s="353" t="e">
        <f t="shared" si="87"/>
        <v>#DIV/0!</v>
      </c>
      <c r="O1094" s="354">
        <f>IF(L1094="nio",0,IF(L1094&gt;0,VLOOKUP(H1094,'3-Productie normen'!A:P,VLOOKUP(L1094,'3-Productie normen'!$B$31:$C$45,2,FALSE),FALSE)))/VLOOKUP(B1094,'2-Kosten per locatie'!$A$13:$D$36,4,FALSE)</f>
        <v>0</v>
      </c>
      <c r="P1094" s="82" t="str">
        <f>VLOOKUP(H1094,'3-Productie normen'!A:T,20,FALSE)</f>
        <v>V</v>
      </c>
      <c r="Q1094" s="447" t="s">
        <v>792</v>
      </c>
      <c r="S1094" s="356">
        <f t="shared" si="89"/>
        <v>15662.1</v>
      </c>
    </row>
    <row r="1095" spans="1:19" ht="14.1" customHeight="1">
      <c r="A1095" s="72">
        <f t="shared" si="86"/>
        <v>1095</v>
      </c>
      <c r="B1095" s="50" t="s">
        <v>819</v>
      </c>
      <c r="C1095" s="50" t="s">
        <v>838</v>
      </c>
      <c r="D1095" s="427" t="s">
        <v>1034</v>
      </c>
      <c r="E1095" s="426" t="s">
        <v>612</v>
      </c>
      <c r="F1095" s="349" t="s">
        <v>210</v>
      </c>
      <c r="G1095" s="86" t="s">
        <v>256</v>
      </c>
      <c r="H1095" s="65" t="s">
        <v>731</v>
      </c>
      <c r="I1095" s="86" t="s">
        <v>780</v>
      </c>
      <c r="J1095" s="343">
        <v>61.52</v>
      </c>
      <c r="K1095" s="351">
        <f t="shared" si="88"/>
        <v>255</v>
      </c>
      <c r="L1095" s="484">
        <v>255</v>
      </c>
      <c r="M1095" s="448" t="str">
        <f>IF(L1095="nio","",VLOOKUP(L1095,'3-Productie normen'!$B$31:$H$45,3,FALSE))</f>
        <v>5 x per week (52 weken)</v>
      </c>
      <c r="N1095" s="353" t="e">
        <f t="shared" si="87"/>
        <v>#DIV/0!</v>
      </c>
      <c r="O1095" s="354">
        <f>IF(L1095="nio",0,IF(L1095&gt;0,VLOOKUP(H1095,'3-Productie normen'!A:P,VLOOKUP(L1095,'3-Productie normen'!$B$31:$C$45,2,FALSE),FALSE)))/VLOOKUP(B1095,'2-Kosten per locatie'!$A$13:$D$36,4,FALSE)</f>
        <v>0</v>
      </c>
      <c r="P1095" s="82" t="str">
        <f>VLOOKUP(H1095,'3-Productie normen'!A:T,20,FALSE)</f>
        <v>V</v>
      </c>
      <c r="Q1095" s="447" t="s">
        <v>792</v>
      </c>
      <c r="S1095" s="356">
        <f t="shared" si="89"/>
        <v>15687.6</v>
      </c>
    </row>
    <row r="1096" spans="1:19" ht="14.1" customHeight="1">
      <c r="A1096" s="72">
        <f t="shared" si="86"/>
        <v>1096</v>
      </c>
      <c r="B1096" s="50" t="s">
        <v>819</v>
      </c>
      <c r="C1096" s="50" t="s">
        <v>838</v>
      </c>
      <c r="D1096" s="427" t="s">
        <v>1033</v>
      </c>
      <c r="E1096" s="426" t="s">
        <v>612</v>
      </c>
      <c r="F1096" s="349" t="s">
        <v>211</v>
      </c>
      <c r="G1096" s="86" t="s">
        <v>242</v>
      </c>
      <c r="H1096" s="86" t="s">
        <v>241</v>
      </c>
      <c r="I1096" s="86" t="s">
        <v>780</v>
      </c>
      <c r="J1096" s="343">
        <v>66.180000000000007</v>
      </c>
      <c r="K1096" s="351">
        <f t="shared" si="88"/>
        <v>201</v>
      </c>
      <c r="L1096" s="484">
        <v>201</v>
      </c>
      <c r="M1096" s="448" t="str">
        <f>IF(L1096="nio","",VLOOKUP(L1096,'3-Productie normen'!$B$31:$H$45,3,FALSE))</f>
        <v>5 x per week (40 weken + 1 Zomer refreshbeurt)</v>
      </c>
      <c r="N1096" s="353" t="e">
        <f t="shared" si="87"/>
        <v>#DIV/0!</v>
      </c>
      <c r="O1096" s="354">
        <f>IF(L1096="nio",0,IF(L1096&gt;0,VLOOKUP(H1096,'3-Productie normen'!A:P,VLOOKUP(L1096,'3-Productie normen'!$B$31:$C$45,2,FALSE),FALSE)))/VLOOKUP(B1096,'2-Kosten per locatie'!$A$13:$D$36,4,FALSE)</f>
        <v>0</v>
      </c>
      <c r="P1096" s="82" t="str">
        <f>VLOOKUP(H1096,'3-Productie normen'!A:T,20,FALSE)</f>
        <v>L</v>
      </c>
      <c r="Q1096" s="447" t="s">
        <v>874</v>
      </c>
      <c r="S1096" s="356">
        <f t="shared" si="89"/>
        <v>13302.180000000002</v>
      </c>
    </row>
    <row r="1097" spans="1:19" ht="14.1" customHeight="1">
      <c r="A1097" s="72">
        <f t="shared" si="86"/>
        <v>1097</v>
      </c>
      <c r="B1097" s="50" t="s">
        <v>819</v>
      </c>
      <c r="C1097" s="50" t="s">
        <v>838</v>
      </c>
      <c r="D1097" s="427" t="s">
        <v>1033</v>
      </c>
      <c r="E1097" s="426" t="s">
        <v>612</v>
      </c>
      <c r="F1097" s="349" t="s">
        <v>213</v>
      </c>
      <c r="G1097" s="86" t="s">
        <v>242</v>
      </c>
      <c r="H1097" s="86" t="s">
        <v>241</v>
      </c>
      <c r="I1097" s="86" t="s">
        <v>780</v>
      </c>
      <c r="J1097" s="343">
        <v>56.82</v>
      </c>
      <c r="K1097" s="351">
        <f t="shared" si="88"/>
        <v>201</v>
      </c>
      <c r="L1097" s="484">
        <v>201</v>
      </c>
      <c r="M1097" s="448" t="str">
        <f>IF(L1097="nio","",VLOOKUP(L1097,'3-Productie normen'!$B$31:$H$45,3,FALSE))</f>
        <v>5 x per week (40 weken + 1 Zomer refreshbeurt)</v>
      </c>
      <c r="N1097" s="353" t="e">
        <f t="shared" si="87"/>
        <v>#DIV/0!</v>
      </c>
      <c r="O1097" s="354">
        <f>IF(L1097="nio",0,IF(L1097&gt;0,VLOOKUP(H1097,'3-Productie normen'!A:P,VLOOKUP(L1097,'3-Productie normen'!$B$31:$C$45,2,FALSE),FALSE)))/VLOOKUP(B1097,'2-Kosten per locatie'!$A$13:$D$36,4,FALSE)</f>
        <v>0</v>
      </c>
      <c r="P1097" s="82" t="str">
        <f>VLOOKUP(H1097,'3-Productie normen'!A:T,20,FALSE)</f>
        <v>L</v>
      </c>
      <c r="Q1097" s="447" t="s">
        <v>874</v>
      </c>
      <c r="S1097" s="356">
        <f t="shared" si="89"/>
        <v>11420.82</v>
      </c>
    </row>
    <row r="1098" spans="1:19" ht="14.1" customHeight="1">
      <c r="A1098" s="72">
        <f t="shared" si="86"/>
        <v>1098</v>
      </c>
      <c r="B1098" s="50" t="s">
        <v>819</v>
      </c>
      <c r="C1098" s="50" t="s">
        <v>838</v>
      </c>
      <c r="D1098" s="427" t="s">
        <v>1033</v>
      </c>
      <c r="E1098" s="426" t="s">
        <v>612</v>
      </c>
      <c r="F1098" s="349" t="s">
        <v>214</v>
      </c>
      <c r="G1098" s="86" t="s">
        <v>298</v>
      </c>
      <c r="H1098" s="86" t="s">
        <v>241</v>
      </c>
      <c r="I1098" s="86" t="s">
        <v>780</v>
      </c>
      <c r="J1098" s="343">
        <v>56.66</v>
      </c>
      <c r="K1098" s="351">
        <f t="shared" si="88"/>
        <v>201</v>
      </c>
      <c r="L1098" s="484">
        <v>201</v>
      </c>
      <c r="M1098" s="448" t="str">
        <f>IF(L1098="nio","",VLOOKUP(L1098,'3-Productie normen'!$B$31:$H$45,3,FALSE))</f>
        <v>5 x per week (40 weken + 1 Zomer refreshbeurt)</v>
      </c>
      <c r="N1098" s="353" t="e">
        <f t="shared" si="87"/>
        <v>#DIV/0!</v>
      </c>
      <c r="O1098" s="354">
        <f>IF(L1098="nio",0,IF(L1098&gt;0,VLOOKUP(H1098,'3-Productie normen'!A:P,VLOOKUP(L1098,'3-Productie normen'!$B$31:$C$45,2,FALSE),FALSE)))/VLOOKUP(B1098,'2-Kosten per locatie'!$A$13:$D$36,4,FALSE)</f>
        <v>0</v>
      </c>
      <c r="P1098" s="82" t="str">
        <f>VLOOKUP(H1098,'3-Productie normen'!A:T,20,FALSE)</f>
        <v>L</v>
      </c>
      <c r="Q1098" s="447" t="s">
        <v>879</v>
      </c>
      <c r="S1098" s="356">
        <f t="shared" si="89"/>
        <v>11388.66</v>
      </c>
    </row>
    <row r="1099" spans="1:19" ht="14.1" customHeight="1">
      <c r="A1099" s="72">
        <f t="shared" ref="A1099:A1162" si="90">A1098+1</f>
        <v>1099</v>
      </c>
      <c r="B1099" s="50" t="s">
        <v>819</v>
      </c>
      <c r="C1099" s="50" t="s">
        <v>838</v>
      </c>
      <c r="D1099" s="427" t="s">
        <v>1033</v>
      </c>
      <c r="E1099" s="426" t="s">
        <v>612</v>
      </c>
      <c r="F1099" s="349" t="s">
        <v>216</v>
      </c>
      <c r="G1099" s="86" t="s">
        <v>298</v>
      </c>
      <c r="H1099" s="65" t="s">
        <v>241</v>
      </c>
      <c r="I1099" s="86" t="s">
        <v>780</v>
      </c>
      <c r="J1099" s="343">
        <v>56.67</v>
      </c>
      <c r="K1099" s="351">
        <f t="shared" si="88"/>
        <v>201</v>
      </c>
      <c r="L1099" s="484">
        <v>201</v>
      </c>
      <c r="M1099" s="448" t="str">
        <f>IF(L1099="nio","",VLOOKUP(L1099,'3-Productie normen'!$B$31:$H$45,3,FALSE))</f>
        <v>5 x per week (40 weken + 1 Zomer refreshbeurt)</v>
      </c>
      <c r="N1099" s="353" t="e">
        <f t="shared" si="87"/>
        <v>#DIV/0!</v>
      </c>
      <c r="O1099" s="354">
        <f>IF(L1099="nio",0,IF(L1099&gt;0,VLOOKUP(H1099,'3-Productie normen'!A:P,VLOOKUP(L1099,'3-Productie normen'!$B$31:$C$45,2,FALSE),FALSE)))/VLOOKUP(B1099,'2-Kosten per locatie'!$A$13:$D$36,4,FALSE)</f>
        <v>0</v>
      </c>
      <c r="P1099" s="82" t="str">
        <f>VLOOKUP(H1099,'3-Productie normen'!A:T,20,FALSE)</f>
        <v>L</v>
      </c>
      <c r="Q1099" s="447" t="s">
        <v>886</v>
      </c>
      <c r="S1099" s="356">
        <f t="shared" si="89"/>
        <v>11390.67</v>
      </c>
    </row>
    <row r="1100" spans="1:19" ht="14.1" customHeight="1">
      <c r="A1100" s="72">
        <f t="shared" si="90"/>
        <v>1100</v>
      </c>
      <c r="B1100" s="50" t="s">
        <v>819</v>
      </c>
      <c r="C1100" s="50" t="s">
        <v>838</v>
      </c>
      <c r="D1100" s="427" t="s">
        <v>1033</v>
      </c>
      <c r="E1100" s="426" t="s">
        <v>612</v>
      </c>
      <c r="F1100" s="349" t="s">
        <v>217</v>
      </c>
      <c r="G1100" s="86" t="s">
        <v>199</v>
      </c>
      <c r="H1100" s="432" t="s">
        <v>198</v>
      </c>
      <c r="I1100" s="86" t="s">
        <v>784</v>
      </c>
      <c r="J1100" s="343">
        <v>4.7</v>
      </c>
      <c r="K1100" s="351">
        <f t="shared" si="88"/>
        <v>200</v>
      </c>
      <c r="L1100" s="484">
        <v>200</v>
      </c>
      <c r="M1100" s="448" t="str">
        <f>IF(L1100="nio","",VLOOKUP(L1100,'3-Productie normen'!$B$31:$H$45,3,FALSE))</f>
        <v>5 x per week (40 weken)</v>
      </c>
      <c r="N1100" s="353" t="e">
        <f t="shared" si="87"/>
        <v>#DIV/0!</v>
      </c>
      <c r="O1100" s="354">
        <f>IF(L1100="nio",0,IF(L1100&gt;0,VLOOKUP(H1100,'3-Productie normen'!A:P,VLOOKUP(L1100,'3-Productie normen'!$B$31:$C$45,2,FALSE),FALSE)))/VLOOKUP(B1100,'2-Kosten per locatie'!$A$13:$D$36,4,FALSE)</f>
        <v>0</v>
      </c>
      <c r="P1100" s="82" t="str">
        <f>VLOOKUP(H1100,'3-Productie normen'!A:T,20,FALSE)</f>
        <v>V</v>
      </c>
      <c r="Q1100" s="447" t="s">
        <v>946</v>
      </c>
      <c r="S1100" s="356">
        <f t="shared" si="89"/>
        <v>940</v>
      </c>
    </row>
    <row r="1101" spans="1:19" ht="14.1" customHeight="1">
      <c r="A1101" s="72">
        <f t="shared" si="90"/>
        <v>1101</v>
      </c>
      <c r="B1101" s="50" t="s">
        <v>819</v>
      </c>
      <c r="C1101" s="50" t="s">
        <v>838</v>
      </c>
      <c r="D1101" s="427" t="s">
        <v>1033</v>
      </c>
      <c r="E1101" s="426" t="s">
        <v>612</v>
      </c>
      <c r="F1101" s="349" t="s">
        <v>218</v>
      </c>
      <c r="G1101" s="86" t="s">
        <v>206</v>
      </c>
      <c r="H1101" s="65" t="s">
        <v>1053</v>
      </c>
      <c r="I1101" s="86" t="s">
        <v>92</v>
      </c>
      <c r="J1101" s="343">
        <v>0.6</v>
      </c>
      <c r="K1101" s="351" t="str">
        <f t="shared" si="88"/>
        <v>nio</v>
      </c>
      <c r="L1101" s="484" t="s">
        <v>804</v>
      </c>
      <c r="M1101" s="448" t="str">
        <f>IF(L1101="nio","",VLOOKUP(L1101,'3-Productie normen'!$B$31:$H$45,3,FALSE))</f>
        <v/>
      </c>
      <c r="N1101" s="353">
        <f t="shared" si="87"/>
        <v>0</v>
      </c>
      <c r="O1101" s="354">
        <f>IF(L1101="nio",0,IF(L1101&gt;0,VLOOKUP(H1101,'3-Productie normen'!A:P,VLOOKUP(L1101,'3-Productie normen'!$B$31:$C$45,2,FALSE),FALSE)))/VLOOKUP(B1101,'2-Kosten per locatie'!$A$13:$D$36,4,FALSE)</f>
        <v>0</v>
      </c>
      <c r="P1101" s="82">
        <f>VLOOKUP(H1101,'3-Productie normen'!A:T,20,FALSE)</f>
        <v>0</v>
      </c>
      <c r="Q1101" s="447" t="s">
        <v>882</v>
      </c>
      <c r="S1101" s="356">
        <f t="shared" si="89"/>
        <v>0</v>
      </c>
    </row>
    <row r="1102" spans="1:19" ht="14.1" customHeight="1">
      <c r="A1102" s="72">
        <f t="shared" si="90"/>
        <v>1102</v>
      </c>
      <c r="B1102" s="50" t="s">
        <v>819</v>
      </c>
      <c r="C1102" s="50" t="s">
        <v>838</v>
      </c>
      <c r="D1102" s="427" t="s">
        <v>1033</v>
      </c>
      <c r="E1102" s="426" t="s">
        <v>612</v>
      </c>
      <c r="F1102" s="349" t="s">
        <v>219</v>
      </c>
      <c r="G1102" s="86" t="s">
        <v>209</v>
      </c>
      <c r="H1102" s="63" t="s">
        <v>1040</v>
      </c>
      <c r="I1102" s="86" t="s">
        <v>91</v>
      </c>
      <c r="J1102" s="343">
        <v>1.56</v>
      </c>
      <c r="K1102" s="351">
        <f t="shared" si="88"/>
        <v>12</v>
      </c>
      <c r="L1102" s="484">
        <v>12</v>
      </c>
      <c r="M1102" s="448" t="str">
        <f>IF(L1102="nio","",VLOOKUP(L1102,'3-Productie normen'!$B$31:$H$45,3,FALSE))</f>
        <v>1 x per maand</v>
      </c>
      <c r="N1102" s="353" t="e">
        <f t="shared" si="87"/>
        <v>#DIV/0!</v>
      </c>
      <c r="O1102" s="354">
        <f>IF(L1102="nio",0,IF(L1102&gt;0,VLOOKUP(H1102,'3-Productie normen'!A:P,VLOOKUP(L1102,'3-Productie normen'!$B$31:$C$45,2,FALSE),FALSE)))/VLOOKUP(B1102,'2-Kosten per locatie'!$A$13:$D$36,4,FALSE)</f>
        <v>0</v>
      </c>
      <c r="P1102" s="82" t="str">
        <f>VLOOKUP(H1102,'3-Productie normen'!A:T,20,FALSE)</f>
        <v>V</v>
      </c>
      <c r="Q1102" s="447" t="s">
        <v>792</v>
      </c>
      <c r="S1102" s="356">
        <f t="shared" si="89"/>
        <v>18.72</v>
      </c>
    </row>
    <row r="1103" spans="1:19" ht="14.1" customHeight="1">
      <c r="A1103" s="72">
        <f t="shared" si="90"/>
        <v>1103</v>
      </c>
      <c r="B1103" s="50" t="s">
        <v>819</v>
      </c>
      <c r="C1103" s="50" t="s">
        <v>838</v>
      </c>
      <c r="D1103" s="427" t="s">
        <v>1033</v>
      </c>
      <c r="E1103" s="426" t="s">
        <v>612</v>
      </c>
      <c r="F1103" s="349" t="s">
        <v>220</v>
      </c>
      <c r="G1103" s="86" t="s">
        <v>226</v>
      </c>
      <c r="H1103" s="86" t="s">
        <v>16</v>
      </c>
      <c r="I1103" s="86" t="s">
        <v>781</v>
      </c>
      <c r="J1103" s="343">
        <v>9.59</v>
      </c>
      <c r="K1103" s="351">
        <f t="shared" si="88"/>
        <v>255</v>
      </c>
      <c r="L1103" s="484">
        <v>255</v>
      </c>
      <c r="M1103" s="448" t="str">
        <f>IF(L1103="nio","",VLOOKUP(L1103,'3-Productie normen'!$B$31:$H$45,3,FALSE))</f>
        <v>5 x per week (52 weken)</v>
      </c>
      <c r="N1103" s="353" t="e">
        <f t="shared" si="87"/>
        <v>#DIV/0!</v>
      </c>
      <c r="O1103" s="354">
        <f>IF(L1103="nio",0,IF(L1103&gt;0,VLOOKUP(H1103,'3-Productie normen'!A:P,VLOOKUP(L1103,'3-Productie normen'!$B$31:$C$45,2,FALSE),FALSE)))/VLOOKUP(B1103,'2-Kosten per locatie'!$A$13:$D$36,4,FALSE)</f>
        <v>0</v>
      </c>
      <c r="P1103" s="82" t="str">
        <f>VLOOKUP(H1103,'3-Productie normen'!A:T,20,FALSE)</f>
        <v>S</v>
      </c>
      <c r="Q1103" s="447" t="s">
        <v>894</v>
      </c>
      <c r="S1103" s="356">
        <f t="shared" si="89"/>
        <v>2445.4499999999998</v>
      </c>
    </row>
    <row r="1104" spans="1:19" ht="14.1" customHeight="1">
      <c r="A1104" s="72">
        <f t="shared" si="90"/>
        <v>1104</v>
      </c>
      <c r="B1104" s="50" t="s">
        <v>819</v>
      </c>
      <c r="C1104" s="50" t="s">
        <v>838</v>
      </c>
      <c r="D1104" s="427" t="s">
        <v>1033</v>
      </c>
      <c r="E1104" s="426" t="s">
        <v>612</v>
      </c>
      <c r="F1104" s="349" t="s">
        <v>221</v>
      </c>
      <c r="G1104" s="86" t="s">
        <v>226</v>
      </c>
      <c r="H1104" s="86" t="s">
        <v>16</v>
      </c>
      <c r="I1104" s="86" t="s">
        <v>781</v>
      </c>
      <c r="J1104" s="343">
        <v>10.06</v>
      </c>
      <c r="K1104" s="351">
        <f t="shared" si="88"/>
        <v>255</v>
      </c>
      <c r="L1104" s="484">
        <v>255</v>
      </c>
      <c r="M1104" s="448" t="str">
        <f>IF(L1104="nio","",VLOOKUP(L1104,'3-Productie normen'!$B$31:$H$45,3,FALSE))</f>
        <v>5 x per week (52 weken)</v>
      </c>
      <c r="N1104" s="353" t="e">
        <f t="shared" si="87"/>
        <v>#DIV/0!</v>
      </c>
      <c r="O1104" s="354">
        <f>IF(L1104="nio",0,IF(L1104&gt;0,VLOOKUP(H1104,'3-Productie normen'!A:P,VLOOKUP(L1104,'3-Productie normen'!$B$31:$C$45,2,FALSE),FALSE)))/VLOOKUP(B1104,'2-Kosten per locatie'!$A$13:$D$36,4,FALSE)</f>
        <v>0</v>
      </c>
      <c r="P1104" s="82" t="str">
        <f>VLOOKUP(H1104,'3-Productie normen'!A:T,20,FALSE)</f>
        <v>S</v>
      </c>
      <c r="Q1104" s="447" t="s">
        <v>894</v>
      </c>
      <c r="S1104" s="356">
        <f t="shared" si="89"/>
        <v>2565.3000000000002</v>
      </c>
    </row>
    <row r="1105" spans="1:19" ht="14.1" customHeight="1">
      <c r="A1105" s="72">
        <f t="shared" si="90"/>
        <v>1105</v>
      </c>
      <c r="B1105" s="50" t="s">
        <v>819</v>
      </c>
      <c r="C1105" s="50" t="s">
        <v>838</v>
      </c>
      <c r="D1105" s="427" t="s">
        <v>1033</v>
      </c>
      <c r="E1105" s="426" t="s">
        <v>612</v>
      </c>
      <c r="F1105" s="349" t="s">
        <v>223</v>
      </c>
      <c r="G1105" s="86" t="s">
        <v>222</v>
      </c>
      <c r="H1105" s="81" t="s">
        <v>16</v>
      </c>
      <c r="I1105" s="86" t="s">
        <v>781</v>
      </c>
      <c r="J1105" s="343">
        <v>2.39</v>
      </c>
      <c r="K1105" s="351">
        <f t="shared" si="88"/>
        <v>201</v>
      </c>
      <c r="L1105" s="484">
        <v>201</v>
      </c>
      <c r="M1105" s="448" t="str">
        <f>IF(L1105="nio","",VLOOKUP(L1105,'3-Productie normen'!$B$31:$H$45,3,FALSE))</f>
        <v>5 x per week (40 weken + 1 Zomer refreshbeurt)</v>
      </c>
      <c r="N1105" s="353" t="e">
        <f t="shared" si="87"/>
        <v>#DIV/0!</v>
      </c>
      <c r="O1105" s="354">
        <f>IF(L1105="nio",0,IF(L1105&gt;0,VLOOKUP(H1105,'3-Productie normen'!A:P,VLOOKUP(L1105,'3-Productie normen'!$B$31:$C$45,2,FALSE),FALSE)))/VLOOKUP(B1105,'2-Kosten per locatie'!$A$13:$D$36,4,FALSE)</f>
        <v>0</v>
      </c>
      <c r="P1105" s="82" t="str">
        <f>VLOOKUP(H1105,'3-Productie normen'!A:T,20,FALSE)</f>
        <v>S</v>
      </c>
      <c r="Q1105" s="447" t="s">
        <v>857</v>
      </c>
      <c r="S1105" s="356">
        <f t="shared" si="89"/>
        <v>480.39000000000004</v>
      </c>
    </row>
    <row r="1106" spans="1:19" ht="14.1" customHeight="1">
      <c r="A1106" s="72">
        <f t="shared" si="90"/>
        <v>1106</v>
      </c>
      <c r="B1106" s="50" t="s">
        <v>819</v>
      </c>
      <c r="C1106" s="50" t="s">
        <v>838</v>
      </c>
      <c r="D1106" s="427" t="s">
        <v>1033</v>
      </c>
      <c r="E1106" s="426" t="s">
        <v>612</v>
      </c>
      <c r="F1106" s="349" t="s">
        <v>224</v>
      </c>
      <c r="G1106" s="86" t="s">
        <v>279</v>
      </c>
      <c r="H1106" s="86" t="s">
        <v>203</v>
      </c>
      <c r="I1106" s="86" t="s">
        <v>789</v>
      </c>
      <c r="J1106" s="343">
        <v>31.22</v>
      </c>
      <c r="K1106" s="351">
        <f t="shared" si="88"/>
        <v>201</v>
      </c>
      <c r="L1106" s="484">
        <v>201</v>
      </c>
      <c r="M1106" s="448" t="str">
        <f>IF(L1106="nio","",VLOOKUP(L1106,'3-Productie normen'!$B$31:$H$45,3,FALSE))</f>
        <v>5 x per week (40 weken + 1 Zomer refreshbeurt)</v>
      </c>
      <c r="N1106" s="353" t="e">
        <f t="shared" si="87"/>
        <v>#DIV/0!</v>
      </c>
      <c r="O1106" s="354">
        <f>IF(L1106="nio",0,IF(L1106&gt;0,VLOOKUP(H1106,'3-Productie normen'!A:P,VLOOKUP(L1106,'3-Productie normen'!$B$31:$C$45,2,FALSE),FALSE)))/VLOOKUP(B1106,'2-Kosten per locatie'!$A$13:$D$36,4,FALSE)</f>
        <v>0</v>
      </c>
      <c r="P1106" s="82" t="str">
        <f>VLOOKUP(H1106,'3-Productie normen'!A:T,20,FALSE)</f>
        <v>B</v>
      </c>
      <c r="Q1106" s="447" t="s">
        <v>792</v>
      </c>
      <c r="S1106" s="356">
        <f t="shared" si="89"/>
        <v>6275.2199999999993</v>
      </c>
    </row>
    <row r="1107" spans="1:19" ht="14.1" customHeight="1">
      <c r="A1107" s="72">
        <f t="shared" si="90"/>
        <v>1107</v>
      </c>
      <c r="B1107" s="50" t="s">
        <v>819</v>
      </c>
      <c r="C1107" s="50" t="s">
        <v>838</v>
      </c>
      <c r="D1107" s="427" t="s">
        <v>1033</v>
      </c>
      <c r="E1107" s="426" t="s">
        <v>612</v>
      </c>
      <c r="F1107" s="349" t="s">
        <v>225</v>
      </c>
      <c r="G1107" s="86" t="s">
        <v>201</v>
      </c>
      <c r="H1107" s="432" t="s">
        <v>198</v>
      </c>
      <c r="I1107" s="86" t="s">
        <v>780</v>
      </c>
      <c r="J1107" s="343">
        <v>81.89</v>
      </c>
      <c r="K1107" s="351">
        <f t="shared" si="88"/>
        <v>255</v>
      </c>
      <c r="L1107" s="484">
        <v>255</v>
      </c>
      <c r="M1107" s="448" t="str">
        <f>IF(L1107="nio","",VLOOKUP(L1107,'3-Productie normen'!$B$31:$H$45,3,FALSE))</f>
        <v>5 x per week (52 weken)</v>
      </c>
      <c r="N1107" s="353" t="e">
        <f t="shared" si="87"/>
        <v>#DIV/0!</v>
      </c>
      <c r="O1107" s="354">
        <f>IF(L1107="nio",0,IF(L1107&gt;0,VLOOKUP(H1107,'3-Productie normen'!A:P,VLOOKUP(L1107,'3-Productie normen'!$B$31:$C$45,2,FALSE),FALSE)))/VLOOKUP(B1107,'2-Kosten per locatie'!$A$13:$D$36,4,FALSE)</f>
        <v>0</v>
      </c>
      <c r="P1107" s="82" t="str">
        <f>VLOOKUP(H1107,'3-Productie normen'!A:T,20,FALSE)</f>
        <v>V</v>
      </c>
      <c r="Q1107" s="447" t="s">
        <v>792</v>
      </c>
      <c r="S1107" s="356">
        <f t="shared" si="89"/>
        <v>20881.95</v>
      </c>
    </row>
    <row r="1108" spans="1:19" ht="14.1" customHeight="1">
      <c r="A1108" s="72">
        <f t="shared" si="90"/>
        <v>1108</v>
      </c>
      <c r="B1108" s="50" t="s">
        <v>819</v>
      </c>
      <c r="C1108" s="50" t="s">
        <v>838</v>
      </c>
      <c r="D1108" s="427" t="s">
        <v>1033</v>
      </c>
      <c r="E1108" s="426" t="s">
        <v>612</v>
      </c>
      <c r="F1108" s="349" t="s">
        <v>227</v>
      </c>
      <c r="G1108" s="86" t="s">
        <v>393</v>
      </c>
      <c r="H1108" s="432" t="s">
        <v>198</v>
      </c>
      <c r="I1108" s="86" t="s">
        <v>780</v>
      </c>
      <c r="J1108" s="343">
        <v>75.900000000000006</v>
      </c>
      <c r="K1108" s="351">
        <f t="shared" si="88"/>
        <v>255</v>
      </c>
      <c r="L1108" s="484">
        <v>255</v>
      </c>
      <c r="M1108" s="448" t="str">
        <f>IF(L1108="nio","",VLOOKUP(L1108,'3-Productie normen'!$B$31:$H$45,3,FALSE))</f>
        <v>5 x per week (52 weken)</v>
      </c>
      <c r="N1108" s="353" t="e">
        <f t="shared" si="87"/>
        <v>#DIV/0!</v>
      </c>
      <c r="O1108" s="354">
        <f>IF(L1108="nio",0,IF(L1108&gt;0,VLOOKUP(H1108,'3-Productie normen'!A:P,VLOOKUP(L1108,'3-Productie normen'!$B$31:$C$45,2,FALSE),FALSE)))/VLOOKUP(B1108,'2-Kosten per locatie'!$A$13:$D$36,4,FALSE)</f>
        <v>0</v>
      </c>
      <c r="P1108" s="82" t="str">
        <f>VLOOKUP(H1108,'3-Productie normen'!A:T,20,FALSE)</f>
        <v>V</v>
      </c>
      <c r="Q1108" s="447" t="s">
        <v>792</v>
      </c>
      <c r="S1108" s="356">
        <f t="shared" si="89"/>
        <v>19354.5</v>
      </c>
    </row>
    <row r="1109" spans="1:19" ht="14.1" customHeight="1">
      <c r="A1109" s="72">
        <f t="shared" si="90"/>
        <v>1109</v>
      </c>
      <c r="B1109" s="50" t="s">
        <v>819</v>
      </c>
      <c r="C1109" s="50" t="s">
        <v>838</v>
      </c>
      <c r="D1109" s="427" t="s">
        <v>1033</v>
      </c>
      <c r="E1109" s="426" t="s">
        <v>612</v>
      </c>
      <c r="F1109" s="349" t="s">
        <v>227</v>
      </c>
      <c r="G1109" s="86" t="s">
        <v>347</v>
      </c>
      <c r="H1109" s="432" t="s">
        <v>198</v>
      </c>
      <c r="I1109" s="86" t="s">
        <v>795</v>
      </c>
      <c r="J1109" s="343">
        <v>25.33</v>
      </c>
      <c r="K1109" s="351">
        <f t="shared" si="88"/>
        <v>255</v>
      </c>
      <c r="L1109" s="484">
        <v>255</v>
      </c>
      <c r="M1109" s="448" t="str">
        <f>IF(L1109="nio","",VLOOKUP(L1109,'3-Productie normen'!$B$31:$H$45,3,FALSE))</f>
        <v>5 x per week (52 weken)</v>
      </c>
      <c r="N1109" s="353" t="e">
        <f t="shared" si="87"/>
        <v>#DIV/0!</v>
      </c>
      <c r="O1109" s="354">
        <f>IF(L1109="nio",0,IF(L1109&gt;0,VLOOKUP(H1109,'3-Productie normen'!A:P,VLOOKUP(L1109,'3-Productie normen'!$B$31:$C$45,2,FALSE),FALSE)))/VLOOKUP(B1109,'2-Kosten per locatie'!$A$13:$D$36,4,FALSE)</f>
        <v>0</v>
      </c>
      <c r="P1109" s="82" t="str">
        <f>VLOOKUP(H1109,'3-Productie normen'!A:T,20,FALSE)</f>
        <v>V</v>
      </c>
      <c r="Q1109" s="447" t="s">
        <v>792</v>
      </c>
      <c r="S1109" s="356">
        <f t="shared" si="89"/>
        <v>6459.15</v>
      </c>
    </row>
    <row r="1110" spans="1:19" ht="14.1" customHeight="1">
      <c r="A1110" s="72">
        <f t="shared" si="90"/>
        <v>1110</v>
      </c>
      <c r="B1110" s="50" t="s">
        <v>819</v>
      </c>
      <c r="C1110" s="50" t="s">
        <v>838</v>
      </c>
      <c r="D1110" s="427" t="s">
        <v>1033</v>
      </c>
      <c r="E1110" s="426" t="s">
        <v>612</v>
      </c>
      <c r="F1110" s="349" t="s">
        <v>228</v>
      </c>
      <c r="G1110" s="86" t="s">
        <v>209</v>
      </c>
      <c r="H1110" s="63" t="s">
        <v>1040</v>
      </c>
      <c r="I1110" s="86" t="s">
        <v>780</v>
      </c>
      <c r="J1110" s="343">
        <v>5.58</v>
      </c>
      <c r="K1110" s="351">
        <f t="shared" si="88"/>
        <v>12</v>
      </c>
      <c r="L1110" s="484">
        <v>12</v>
      </c>
      <c r="M1110" s="448" t="str">
        <f>IF(L1110="nio","",VLOOKUP(L1110,'3-Productie normen'!$B$31:$H$45,3,FALSE))</f>
        <v>1 x per maand</v>
      </c>
      <c r="N1110" s="353" t="e">
        <f t="shared" si="87"/>
        <v>#DIV/0!</v>
      </c>
      <c r="O1110" s="354">
        <f>IF(L1110="nio",0,IF(L1110&gt;0,VLOOKUP(H1110,'3-Productie normen'!A:P,VLOOKUP(L1110,'3-Productie normen'!$B$31:$C$45,2,FALSE),FALSE)))/VLOOKUP(B1110,'2-Kosten per locatie'!$A$13:$D$36,4,FALSE)</f>
        <v>0</v>
      </c>
      <c r="P1110" s="82" t="str">
        <f>VLOOKUP(H1110,'3-Productie normen'!A:T,20,FALSE)</f>
        <v>V</v>
      </c>
      <c r="Q1110" s="447" t="s">
        <v>792</v>
      </c>
      <c r="S1110" s="356">
        <f t="shared" si="89"/>
        <v>66.960000000000008</v>
      </c>
    </row>
    <row r="1111" spans="1:19" ht="14.1" customHeight="1">
      <c r="A1111" s="72">
        <f t="shared" si="90"/>
        <v>1111</v>
      </c>
      <c r="B1111" s="50" t="s">
        <v>819</v>
      </c>
      <c r="C1111" s="50" t="s">
        <v>838</v>
      </c>
      <c r="D1111" s="427" t="s">
        <v>1033</v>
      </c>
      <c r="E1111" s="426" t="s">
        <v>612</v>
      </c>
      <c r="F1111" s="349" t="s">
        <v>233</v>
      </c>
      <c r="G1111" s="86" t="s">
        <v>206</v>
      </c>
      <c r="H1111" s="65" t="s">
        <v>1053</v>
      </c>
      <c r="I1111" s="86" t="s">
        <v>92</v>
      </c>
      <c r="J1111" s="343">
        <v>5.83</v>
      </c>
      <c r="K1111" s="351" t="str">
        <f t="shared" si="88"/>
        <v>nio</v>
      </c>
      <c r="L1111" s="484" t="s">
        <v>804</v>
      </c>
      <c r="M1111" s="448" t="str">
        <f>IF(L1111="nio","",VLOOKUP(L1111,'3-Productie normen'!$B$31:$H$45,3,FALSE))</f>
        <v/>
      </c>
      <c r="N1111" s="353">
        <f t="shared" si="87"/>
        <v>0</v>
      </c>
      <c r="O1111" s="354">
        <f>IF(L1111="nio",0,IF(L1111&gt;0,VLOOKUP(H1111,'3-Productie normen'!A:P,VLOOKUP(L1111,'3-Productie normen'!$B$31:$C$45,2,FALSE),FALSE)))/VLOOKUP(B1111,'2-Kosten per locatie'!$A$13:$D$36,4,FALSE)</f>
        <v>0</v>
      </c>
      <c r="P1111" s="82">
        <f>VLOOKUP(H1111,'3-Productie normen'!A:T,20,FALSE)</f>
        <v>0</v>
      </c>
      <c r="Q1111" s="447" t="s">
        <v>1012</v>
      </c>
      <c r="S1111" s="356">
        <f t="shared" si="89"/>
        <v>0</v>
      </c>
    </row>
    <row r="1112" spans="1:19" ht="14.1" customHeight="1">
      <c r="A1112" s="72">
        <f t="shared" si="90"/>
        <v>1112</v>
      </c>
      <c r="B1112" s="50" t="s">
        <v>819</v>
      </c>
      <c r="C1112" s="50" t="s">
        <v>838</v>
      </c>
      <c r="D1112" s="427" t="s">
        <v>1033</v>
      </c>
      <c r="E1112" s="426" t="s">
        <v>612</v>
      </c>
      <c r="F1112" s="349" t="s">
        <v>234</v>
      </c>
      <c r="G1112" s="86" t="s">
        <v>209</v>
      </c>
      <c r="H1112" s="63" t="s">
        <v>1040</v>
      </c>
      <c r="I1112" s="86" t="s">
        <v>780</v>
      </c>
      <c r="J1112" s="343">
        <v>23.67</v>
      </c>
      <c r="K1112" s="351">
        <f t="shared" si="88"/>
        <v>12</v>
      </c>
      <c r="L1112" s="484">
        <v>12</v>
      </c>
      <c r="M1112" s="448" t="str">
        <f>IF(L1112="nio","",VLOOKUP(L1112,'3-Productie normen'!$B$31:$H$45,3,FALSE))</f>
        <v>1 x per maand</v>
      </c>
      <c r="N1112" s="353" t="e">
        <f t="shared" si="87"/>
        <v>#DIV/0!</v>
      </c>
      <c r="O1112" s="354">
        <f>IF(L1112="nio",0,IF(L1112&gt;0,VLOOKUP(H1112,'3-Productie normen'!A:P,VLOOKUP(L1112,'3-Productie normen'!$B$31:$C$45,2,FALSE),FALSE)))/VLOOKUP(B1112,'2-Kosten per locatie'!$A$13:$D$36,4,FALSE)</f>
        <v>0</v>
      </c>
      <c r="P1112" s="82" t="str">
        <f>VLOOKUP(H1112,'3-Productie normen'!A:T,20,FALSE)</f>
        <v>V</v>
      </c>
      <c r="Q1112" s="447" t="s">
        <v>792</v>
      </c>
      <c r="S1112" s="356">
        <f t="shared" si="89"/>
        <v>284.04000000000002</v>
      </c>
    </row>
    <row r="1113" spans="1:19" ht="14.1" customHeight="1">
      <c r="A1113" s="72">
        <f t="shared" si="90"/>
        <v>1113</v>
      </c>
      <c r="B1113" s="50" t="s">
        <v>819</v>
      </c>
      <c r="C1113" s="50" t="s">
        <v>838</v>
      </c>
      <c r="D1113" s="427" t="s">
        <v>1033</v>
      </c>
      <c r="E1113" s="426" t="s">
        <v>612</v>
      </c>
      <c r="F1113" s="349" t="s">
        <v>237</v>
      </c>
      <c r="G1113" s="86" t="s">
        <v>311</v>
      </c>
      <c r="H1113" s="86" t="s">
        <v>203</v>
      </c>
      <c r="I1113" s="86" t="s">
        <v>789</v>
      </c>
      <c r="J1113" s="343">
        <v>22.05</v>
      </c>
      <c r="K1113" s="351">
        <f t="shared" si="88"/>
        <v>120</v>
      </c>
      <c r="L1113" s="484">
        <v>120</v>
      </c>
      <c r="M1113" s="448" t="str">
        <f>IF(L1113="nio","",VLOOKUP(L1113,'3-Productie normen'!$B$31:$H$45,3,FALSE))</f>
        <v>3 x per week (40 weken)</v>
      </c>
      <c r="N1113" s="353" t="e">
        <f t="shared" si="87"/>
        <v>#DIV/0!</v>
      </c>
      <c r="O1113" s="354">
        <f>IF(L1113="nio",0,IF(L1113&gt;0,VLOOKUP(H1113,'3-Productie normen'!A:P,VLOOKUP(L1113,'3-Productie normen'!$B$31:$C$45,2,FALSE),FALSE)))/VLOOKUP(B1113,'2-Kosten per locatie'!$A$13:$D$36,4,FALSE)</f>
        <v>0</v>
      </c>
      <c r="P1113" s="82" t="str">
        <f>VLOOKUP(H1113,'3-Productie normen'!A:T,20,FALSE)</f>
        <v>B</v>
      </c>
      <c r="Q1113" s="447" t="s">
        <v>792</v>
      </c>
      <c r="S1113" s="356">
        <f t="shared" si="89"/>
        <v>2646</v>
      </c>
    </row>
    <row r="1114" spans="1:19" ht="14.1" customHeight="1">
      <c r="A1114" s="72">
        <f t="shared" si="90"/>
        <v>1114</v>
      </c>
      <c r="B1114" s="50" t="s">
        <v>819</v>
      </c>
      <c r="C1114" s="50" t="s">
        <v>838</v>
      </c>
      <c r="D1114" s="427" t="s">
        <v>1033</v>
      </c>
      <c r="E1114" s="426" t="s">
        <v>612</v>
      </c>
      <c r="F1114" s="349" t="s">
        <v>240</v>
      </c>
      <c r="G1114" s="86" t="s">
        <v>298</v>
      </c>
      <c r="H1114" s="86" t="s">
        <v>241</v>
      </c>
      <c r="I1114" s="86" t="s">
        <v>780</v>
      </c>
      <c r="J1114" s="343">
        <v>57.11</v>
      </c>
      <c r="K1114" s="351">
        <f t="shared" si="88"/>
        <v>201</v>
      </c>
      <c r="L1114" s="484">
        <v>201</v>
      </c>
      <c r="M1114" s="448" t="str">
        <f>IF(L1114="nio","",VLOOKUP(L1114,'3-Productie normen'!$B$31:$H$45,3,FALSE))</f>
        <v>5 x per week (40 weken + 1 Zomer refreshbeurt)</v>
      </c>
      <c r="N1114" s="353" t="e">
        <f t="shared" si="87"/>
        <v>#DIV/0!</v>
      </c>
      <c r="O1114" s="354">
        <f>IF(L1114="nio",0,IF(L1114&gt;0,VLOOKUP(H1114,'3-Productie normen'!A:P,VLOOKUP(L1114,'3-Productie normen'!$B$31:$C$45,2,FALSE),FALSE)))/VLOOKUP(B1114,'2-Kosten per locatie'!$A$13:$D$36,4,FALSE)</f>
        <v>0</v>
      </c>
      <c r="P1114" s="82" t="str">
        <f>VLOOKUP(H1114,'3-Productie normen'!A:T,20,FALSE)</f>
        <v>L</v>
      </c>
      <c r="Q1114" s="447" t="s">
        <v>881</v>
      </c>
      <c r="S1114" s="356">
        <f t="shared" si="89"/>
        <v>11479.11</v>
      </c>
    </row>
    <row r="1115" spans="1:19" ht="14.1" customHeight="1">
      <c r="A1115" s="72">
        <f t="shared" si="90"/>
        <v>1115</v>
      </c>
      <c r="B1115" s="50" t="s">
        <v>819</v>
      </c>
      <c r="C1115" s="50" t="s">
        <v>838</v>
      </c>
      <c r="D1115" s="427" t="s">
        <v>1033</v>
      </c>
      <c r="E1115" s="426" t="s">
        <v>612</v>
      </c>
      <c r="F1115" s="349" t="s">
        <v>243</v>
      </c>
      <c r="G1115" s="86" t="s">
        <v>298</v>
      </c>
      <c r="H1115" s="86" t="s">
        <v>241</v>
      </c>
      <c r="I1115" s="86" t="s">
        <v>780</v>
      </c>
      <c r="J1115" s="343">
        <v>56.66</v>
      </c>
      <c r="K1115" s="351">
        <f t="shared" si="88"/>
        <v>201</v>
      </c>
      <c r="L1115" s="484">
        <v>201</v>
      </c>
      <c r="M1115" s="448" t="str">
        <f>IF(L1115="nio","",VLOOKUP(L1115,'3-Productie normen'!$B$31:$H$45,3,FALSE))</f>
        <v>5 x per week (40 weken + 1 Zomer refreshbeurt)</v>
      </c>
      <c r="N1115" s="353" t="e">
        <f t="shared" si="87"/>
        <v>#DIV/0!</v>
      </c>
      <c r="O1115" s="354">
        <f>IF(L1115="nio",0,IF(L1115&gt;0,VLOOKUP(H1115,'3-Productie normen'!A:P,VLOOKUP(L1115,'3-Productie normen'!$B$31:$C$45,2,FALSE),FALSE)))/VLOOKUP(B1115,'2-Kosten per locatie'!$A$13:$D$36,4,FALSE)</f>
        <v>0</v>
      </c>
      <c r="P1115" s="82" t="str">
        <f>VLOOKUP(H1115,'3-Productie normen'!A:T,20,FALSE)</f>
        <v>L</v>
      </c>
      <c r="Q1115" s="447" t="s">
        <v>956</v>
      </c>
      <c r="S1115" s="356">
        <f t="shared" si="89"/>
        <v>11388.66</v>
      </c>
    </row>
    <row r="1116" spans="1:19" ht="14.1" customHeight="1">
      <c r="A1116" s="72">
        <f t="shared" si="90"/>
        <v>1116</v>
      </c>
      <c r="B1116" s="50" t="s">
        <v>819</v>
      </c>
      <c r="C1116" s="50" t="s">
        <v>838</v>
      </c>
      <c r="D1116" s="427" t="s">
        <v>1033</v>
      </c>
      <c r="E1116" s="426" t="s">
        <v>612</v>
      </c>
      <c r="F1116" s="349" t="s">
        <v>244</v>
      </c>
      <c r="G1116" s="86" t="s">
        <v>242</v>
      </c>
      <c r="H1116" s="86" t="s">
        <v>241</v>
      </c>
      <c r="I1116" s="86" t="s">
        <v>780</v>
      </c>
      <c r="J1116" s="343">
        <v>56.7</v>
      </c>
      <c r="K1116" s="351">
        <f t="shared" si="88"/>
        <v>201</v>
      </c>
      <c r="L1116" s="484">
        <v>201</v>
      </c>
      <c r="M1116" s="448" t="str">
        <f>IF(L1116="nio","",VLOOKUP(L1116,'3-Productie normen'!$B$31:$H$45,3,FALSE))</f>
        <v>5 x per week (40 weken + 1 Zomer refreshbeurt)</v>
      </c>
      <c r="N1116" s="353" t="e">
        <f t="shared" si="87"/>
        <v>#DIV/0!</v>
      </c>
      <c r="O1116" s="354">
        <f>IF(L1116="nio",0,IF(L1116&gt;0,VLOOKUP(H1116,'3-Productie normen'!A:P,VLOOKUP(L1116,'3-Productie normen'!$B$31:$C$45,2,FALSE),FALSE)))/VLOOKUP(B1116,'2-Kosten per locatie'!$A$13:$D$36,4,FALSE)</f>
        <v>0</v>
      </c>
      <c r="P1116" s="82" t="str">
        <f>VLOOKUP(H1116,'3-Productie normen'!A:T,20,FALSE)</f>
        <v>L</v>
      </c>
      <c r="Q1116" s="447" t="s">
        <v>1013</v>
      </c>
      <c r="S1116" s="356">
        <f t="shared" si="89"/>
        <v>11396.7</v>
      </c>
    </row>
    <row r="1117" spans="1:19" ht="14.1" customHeight="1">
      <c r="A1117" s="72">
        <f t="shared" si="90"/>
        <v>1117</v>
      </c>
      <c r="B1117" s="50" t="s">
        <v>819</v>
      </c>
      <c r="C1117" s="50" t="s">
        <v>838</v>
      </c>
      <c r="D1117" s="427" t="s">
        <v>1034</v>
      </c>
      <c r="E1117" s="426" t="s">
        <v>612</v>
      </c>
      <c r="F1117" s="349" t="s">
        <v>245</v>
      </c>
      <c r="G1117" s="86" t="s">
        <v>1133</v>
      </c>
      <c r="H1117" s="86" t="s">
        <v>731</v>
      </c>
      <c r="I1117" s="86" t="s">
        <v>780</v>
      </c>
      <c r="J1117" s="343">
        <v>57.58</v>
      </c>
      <c r="K1117" s="351">
        <f t="shared" si="88"/>
        <v>255</v>
      </c>
      <c r="L1117" s="484">
        <v>255</v>
      </c>
      <c r="M1117" s="448" t="str">
        <f>IF(L1117="nio","",VLOOKUP(L1117,'3-Productie normen'!$B$31:$H$45,3,FALSE))</f>
        <v>5 x per week (52 weken)</v>
      </c>
      <c r="N1117" s="353" t="e">
        <f t="shared" si="87"/>
        <v>#DIV/0!</v>
      </c>
      <c r="O1117" s="354">
        <f>IF(L1117="nio",0,IF(L1117&gt;0,VLOOKUP(H1117,'3-Productie normen'!A:P,VLOOKUP(L1117,'3-Productie normen'!$B$31:$C$45,2,FALSE),FALSE)))/VLOOKUP(B1117,'2-Kosten per locatie'!$A$13:$D$36,4,FALSE)</f>
        <v>0</v>
      </c>
      <c r="P1117" s="82" t="str">
        <f>VLOOKUP(H1117,'3-Productie normen'!A:T,20,FALSE)</f>
        <v>V</v>
      </c>
      <c r="Q1117" s="447" t="s">
        <v>792</v>
      </c>
      <c r="S1117" s="356">
        <f t="shared" si="89"/>
        <v>14682.9</v>
      </c>
    </row>
    <row r="1118" spans="1:19" ht="14.1" customHeight="1">
      <c r="A1118" s="72">
        <f t="shared" si="90"/>
        <v>1118</v>
      </c>
      <c r="B1118" s="50" t="s">
        <v>819</v>
      </c>
      <c r="C1118" s="50" t="s">
        <v>838</v>
      </c>
      <c r="D1118" s="427" t="s">
        <v>1033</v>
      </c>
      <c r="E1118" s="426" t="s">
        <v>612</v>
      </c>
      <c r="F1118" s="349" t="s">
        <v>330</v>
      </c>
      <c r="G1118" s="86" t="s">
        <v>201</v>
      </c>
      <c r="H1118" s="432" t="s">
        <v>198</v>
      </c>
      <c r="I1118" s="86" t="s">
        <v>780</v>
      </c>
      <c r="J1118" s="343">
        <v>17.07</v>
      </c>
      <c r="K1118" s="351">
        <f t="shared" si="88"/>
        <v>255</v>
      </c>
      <c r="L1118" s="484">
        <v>255</v>
      </c>
      <c r="M1118" s="448" t="str">
        <f>IF(L1118="nio","",VLOOKUP(L1118,'3-Productie normen'!$B$31:$H$45,3,FALSE))</f>
        <v>5 x per week (52 weken)</v>
      </c>
      <c r="N1118" s="353" t="e">
        <f t="shared" si="87"/>
        <v>#DIV/0!</v>
      </c>
      <c r="O1118" s="354">
        <f>IF(L1118="nio",0,IF(L1118&gt;0,VLOOKUP(H1118,'3-Productie normen'!A:P,VLOOKUP(L1118,'3-Productie normen'!$B$31:$C$45,2,FALSE),FALSE)))/VLOOKUP(B1118,'2-Kosten per locatie'!$A$13:$D$36,4,FALSE)</f>
        <v>0</v>
      </c>
      <c r="P1118" s="82" t="str">
        <f>VLOOKUP(H1118,'3-Productie normen'!A:T,20,FALSE)</f>
        <v>V</v>
      </c>
      <c r="Q1118" s="447" t="s">
        <v>792</v>
      </c>
      <c r="S1118" s="356">
        <f t="shared" si="89"/>
        <v>4352.8500000000004</v>
      </c>
    </row>
    <row r="1119" spans="1:19" ht="14.1" customHeight="1">
      <c r="A1119" s="72">
        <f t="shared" si="90"/>
        <v>1119</v>
      </c>
      <c r="B1119" s="50" t="s">
        <v>819</v>
      </c>
      <c r="C1119" s="50" t="s">
        <v>838</v>
      </c>
      <c r="D1119" s="427" t="s">
        <v>1033</v>
      </c>
      <c r="E1119" s="426" t="s">
        <v>612</v>
      </c>
      <c r="F1119" s="349" t="s">
        <v>387</v>
      </c>
      <c r="G1119" s="86" t="s">
        <v>226</v>
      </c>
      <c r="H1119" s="86" t="s">
        <v>16</v>
      </c>
      <c r="I1119" s="86" t="s">
        <v>781</v>
      </c>
      <c r="J1119" s="343">
        <v>9.6</v>
      </c>
      <c r="K1119" s="351">
        <f t="shared" si="88"/>
        <v>201</v>
      </c>
      <c r="L1119" s="484">
        <v>201</v>
      </c>
      <c r="M1119" s="448" t="str">
        <f>IF(L1119="nio","",VLOOKUP(L1119,'3-Productie normen'!$B$31:$H$45,3,FALSE))</f>
        <v>5 x per week (40 weken + 1 Zomer refreshbeurt)</v>
      </c>
      <c r="N1119" s="353" t="e">
        <f t="shared" si="87"/>
        <v>#DIV/0!</v>
      </c>
      <c r="O1119" s="354">
        <f>IF(L1119="nio",0,IF(L1119&gt;0,VLOOKUP(H1119,'3-Productie normen'!A:P,VLOOKUP(L1119,'3-Productie normen'!$B$31:$C$45,2,FALSE),FALSE)))/VLOOKUP(B1119,'2-Kosten per locatie'!$A$13:$D$36,4,FALSE)</f>
        <v>0</v>
      </c>
      <c r="P1119" s="82" t="str">
        <f>VLOOKUP(H1119,'3-Productie normen'!A:T,20,FALSE)</f>
        <v>S</v>
      </c>
      <c r="Q1119" s="447" t="s">
        <v>890</v>
      </c>
      <c r="S1119" s="356">
        <f t="shared" si="89"/>
        <v>1929.6</v>
      </c>
    </row>
    <row r="1120" spans="1:19" ht="14.1" customHeight="1">
      <c r="A1120" s="72">
        <f t="shared" si="90"/>
        <v>1120</v>
      </c>
      <c r="B1120" s="50" t="s">
        <v>819</v>
      </c>
      <c r="C1120" s="50" t="s">
        <v>838</v>
      </c>
      <c r="D1120" s="427" t="s">
        <v>1033</v>
      </c>
      <c r="E1120" s="426" t="s">
        <v>612</v>
      </c>
      <c r="F1120" s="349" t="s">
        <v>682</v>
      </c>
      <c r="G1120" s="86" t="s">
        <v>226</v>
      </c>
      <c r="H1120" s="86" t="s">
        <v>16</v>
      </c>
      <c r="I1120" s="86" t="s">
        <v>781</v>
      </c>
      <c r="J1120" s="343">
        <v>9.6</v>
      </c>
      <c r="K1120" s="351">
        <f t="shared" si="88"/>
        <v>201</v>
      </c>
      <c r="L1120" s="484">
        <v>201</v>
      </c>
      <c r="M1120" s="448" t="str">
        <f>IF(L1120="nio","",VLOOKUP(L1120,'3-Productie normen'!$B$31:$H$45,3,FALSE))</f>
        <v>5 x per week (40 weken + 1 Zomer refreshbeurt)</v>
      </c>
      <c r="N1120" s="353" t="e">
        <f t="shared" si="87"/>
        <v>#DIV/0!</v>
      </c>
      <c r="O1120" s="354">
        <f>IF(L1120="nio",0,IF(L1120&gt;0,VLOOKUP(H1120,'3-Productie normen'!A:P,VLOOKUP(L1120,'3-Productie normen'!$B$31:$C$45,2,FALSE),FALSE)))/VLOOKUP(B1120,'2-Kosten per locatie'!$A$13:$D$36,4,FALSE)</f>
        <v>0</v>
      </c>
      <c r="P1120" s="82" t="str">
        <f>VLOOKUP(H1120,'3-Productie normen'!A:T,20,FALSE)</f>
        <v>S</v>
      </c>
      <c r="Q1120" s="447" t="s">
        <v>890</v>
      </c>
      <c r="S1120" s="356">
        <f t="shared" si="89"/>
        <v>1929.6</v>
      </c>
    </row>
    <row r="1121" spans="1:19" ht="14.1" customHeight="1">
      <c r="A1121" s="72">
        <f t="shared" si="90"/>
        <v>1121</v>
      </c>
      <c r="B1121" s="50" t="s">
        <v>819</v>
      </c>
      <c r="C1121" s="50" t="s">
        <v>838</v>
      </c>
      <c r="D1121" s="427" t="s">
        <v>1033</v>
      </c>
      <c r="E1121" s="426" t="s">
        <v>612</v>
      </c>
      <c r="F1121" s="349" t="s">
        <v>332</v>
      </c>
      <c r="G1121" s="86" t="s">
        <v>407</v>
      </c>
      <c r="H1121" s="432" t="s">
        <v>198</v>
      </c>
      <c r="I1121" s="86" t="s">
        <v>780</v>
      </c>
      <c r="J1121" s="343">
        <v>4.63</v>
      </c>
      <c r="K1121" s="351">
        <f t="shared" si="88"/>
        <v>200</v>
      </c>
      <c r="L1121" s="484">
        <v>200</v>
      </c>
      <c r="M1121" s="448" t="str">
        <f>IF(L1121="nio","",VLOOKUP(L1121,'3-Productie normen'!$B$31:$H$45,3,FALSE))</f>
        <v>5 x per week (40 weken)</v>
      </c>
      <c r="N1121" s="353" t="e">
        <f t="shared" si="87"/>
        <v>#DIV/0!</v>
      </c>
      <c r="O1121" s="354">
        <f>IF(L1121="nio",0,IF(L1121&gt;0,VLOOKUP(H1121,'3-Productie normen'!A:P,VLOOKUP(L1121,'3-Productie normen'!$B$31:$C$45,2,FALSE),FALSE)))/VLOOKUP(B1121,'2-Kosten per locatie'!$A$13:$D$36,4,FALSE)</f>
        <v>0</v>
      </c>
      <c r="P1121" s="82" t="str">
        <f>VLOOKUP(H1121,'3-Productie normen'!A:T,20,FALSE)</f>
        <v>V</v>
      </c>
      <c r="Q1121" s="447"/>
      <c r="S1121" s="356">
        <f t="shared" si="89"/>
        <v>926</v>
      </c>
    </row>
    <row r="1122" spans="1:19" ht="14.1" customHeight="1">
      <c r="A1122" s="72">
        <f t="shared" si="90"/>
        <v>1122</v>
      </c>
      <c r="B1122" s="50" t="s">
        <v>819</v>
      </c>
      <c r="C1122" s="50" t="s">
        <v>838</v>
      </c>
      <c r="D1122" s="427" t="s">
        <v>1033</v>
      </c>
      <c r="E1122" s="426" t="s">
        <v>612</v>
      </c>
      <c r="F1122" s="349" t="s">
        <v>333</v>
      </c>
      <c r="G1122" s="86" t="s">
        <v>281</v>
      </c>
      <c r="H1122" s="86" t="s">
        <v>203</v>
      </c>
      <c r="I1122" s="86" t="s">
        <v>780</v>
      </c>
      <c r="J1122" s="343">
        <v>21.45</v>
      </c>
      <c r="K1122" s="351">
        <f t="shared" si="88"/>
        <v>201</v>
      </c>
      <c r="L1122" s="484">
        <v>201</v>
      </c>
      <c r="M1122" s="448" t="str">
        <f>IF(L1122="nio","",VLOOKUP(L1122,'3-Productie normen'!$B$31:$H$45,3,FALSE))</f>
        <v>5 x per week (40 weken + 1 Zomer refreshbeurt)</v>
      </c>
      <c r="N1122" s="353" t="e">
        <f t="shared" si="87"/>
        <v>#DIV/0!</v>
      </c>
      <c r="O1122" s="354">
        <f>IF(L1122="nio",0,IF(L1122&gt;0,VLOOKUP(H1122,'3-Productie normen'!A:P,VLOOKUP(L1122,'3-Productie normen'!$B$31:$C$45,2,FALSE),FALSE)))/VLOOKUP(B1122,'2-Kosten per locatie'!$A$13:$D$36,4,FALSE)</f>
        <v>0</v>
      </c>
      <c r="P1122" s="82" t="str">
        <f>VLOOKUP(H1122,'3-Productie normen'!A:T,20,FALSE)</f>
        <v>B</v>
      </c>
      <c r="Q1122" s="447" t="s">
        <v>792</v>
      </c>
      <c r="S1122" s="356">
        <f t="shared" si="89"/>
        <v>4311.45</v>
      </c>
    </row>
    <row r="1123" spans="1:19" ht="14.1" customHeight="1">
      <c r="A1123" s="72">
        <f t="shared" si="90"/>
        <v>1123</v>
      </c>
      <c r="B1123" s="50" t="s">
        <v>819</v>
      </c>
      <c r="C1123" s="50" t="s">
        <v>838</v>
      </c>
      <c r="D1123" s="427" t="s">
        <v>1033</v>
      </c>
      <c r="E1123" s="426" t="s">
        <v>612</v>
      </c>
      <c r="F1123" s="349" t="s">
        <v>334</v>
      </c>
      <c r="G1123" s="86" t="s">
        <v>215</v>
      </c>
      <c r="H1123" s="63" t="s">
        <v>1040</v>
      </c>
      <c r="I1123" s="86" t="s">
        <v>91</v>
      </c>
      <c r="J1123" s="343">
        <v>3.02</v>
      </c>
      <c r="K1123" s="351">
        <f t="shared" si="88"/>
        <v>12</v>
      </c>
      <c r="L1123" s="484">
        <v>12</v>
      </c>
      <c r="M1123" s="448" t="str">
        <f>IF(L1123="nio","",VLOOKUP(L1123,'3-Productie normen'!$B$31:$H$45,3,FALSE))</f>
        <v>1 x per maand</v>
      </c>
      <c r="N1123" s="353" t="e">
        <f t="shared" si="87"/>
        <v>#DIV/0!</v>
      </c>
      <c r="O1123" s="354">
        <f>IF(L1123="nio",0,IF(L1123&gt;0,VLOOKUP(H1123,'3-Productie normen'!A:P,VLOOKUP(L1123,'3-Productie normen'!$B$31:$C$45,2,FALSE),FALSE)))/VLOOKUP(B1123,'2-Kosten per locatie'!$A$13:$D$36,4,FALSE)</f>
        <v>0</v>
      </c>
      <c r="P1123" s="82" t="str">
        <f>VLOOKUP(H1123,'3-Productie normen'!A:T,20,FALSE)</f>
        <v>V</v>
      </c>
      <c r="Q1123" s="447" t="s">
        <v>853</v>
      </c>
      <c r="S1123" s="356">
        <f t="shared" si="89"/>
        <v>36.24</v>
      </c>
    </row>
    <row r="1124" spans="1:19" ht="14.1" customHeight="1">
      <c r="A1124" s="72">
        <f t="shared" si="90"/>
        <v>1124</v>
      </c>
      <c r="B1124" s="50" t="s">
        <v>819</v>
      </c>
      <c r="C1124" s="50" t="s">
        <v>838</v>
      </c>
      <c r="D1124" s="427" t="s">
        <v>1033</v>
      </c>
      <c r="E1124" s="426" t="s">
        <v>612</v>
      </c>
      <c r="F1124" s="349" t="s">
        <v>336</v>
      </c>
      <c r="G1124" s="86" t="s">
        <v>222</v>
      </c>
      <c r="H1124" s="86" t="s">
        <v>16</v>
      </c>
      <c r="I1124" s="86" t="s">
        <v>91</v>
      </c>
      <c r="J1124" s="343">
        <v>4.46</v>
      </c>
      <c r="K1124" s="351">
        <f t="shared" si="88"/>
        <v>201</v>
      </c>
      <c r="L1124" s="484">
        <v>201</v>
      </c>
      <c r="M1124" s="448" t="str">
        <f>IF(L1124="nio","",VLOOKUP(L1124,'3-Productie normen'!$B$31:$H$45,3,FALSE))</f>
        <v>5 x per week (40 weken + 1 Zomer refreshbeurt)</v>
      </c>
      <c r="N1124" s="353" t="e">
        <f t="shared" si="87"/>
        <v>#DIV/0!</v>
      </c>
      <c r="O1124" s="354">
        <f>IF(L1124="nio",0,IF(L1124&gt;0,VLOOKUP(H1124,'3-Productie normen'!A:P,VLOOKUP(L1124,'3-Productie normen'!$B$31:$C$45,2,FALSE),FALSE)))/VLOOKUP(B1124,'2-Kosten per locatie'!$A$13:$D$36,4,FALSE)</f>
        <v>0</v>
      </c>
      <c r="P1124" s="82" t="str">
        <f>VLOOKUP(H1124,'3-Productie normen'!A:T,20,FALSE)</f>
        <v>S</v>
      </c>
      <c r="Q1124" s="447" t="s">
        <v>1014</v>
      </c>
      <c r="S1124" s="356">
        <f t="shared" si="89"/>
        <v>896.46</v>
      </c>
    </row>
    <row r="1125" spans="1:19" ht="14.1" customHeight="1">
      <c r="A1125" s="72">
        <f t="shared" si="90"/>
        <v>1125</v>
      </c>
      <c r="B1125" s="50" t="s">
        <v>819</v>
      </c>
      <c r="C1125" s="50" t="s">
        <v>838</v>
      </c>
      <c r="D1125" s="427" t="s">
        <v>1033</v>
      </c>
      <c r="E1125" s="426" t="s">
        <v>612</v>
      </c>
      <c r="F1125" s="349" t="s">
        <v>337</v>
      </c>
      <c r="G1125" s="86" t="s">
        <v>201</v>
      </c>
      <c r="H1125" s="432" t="s">
        <v>198</v>
      </c>
      <c r="I1125" s="86" t="s">
        <v>780</v>
      </c>
      <c r="J1125" s="343">
        <v>78.37</v>
      </c>
      <c r="K1125" s="351">
        <f t="shared" si="88"/>
        <v>255</v>
      </c>
      <c r="L1125" s="484">
        <v>255</v>
      </c>
      <c r="M1125" s="448" t="str">
        <f>IF(L1125="nio","",VLOOKUP(L1125,'3-Productie normen'!$B$31:$H$45,3,FALSE))</f>
        <v>5 x per week (52 weken)</v>
      </c>
      <c r="N1125" s="353" t="e">
        <f t="shared" si="87"/>
        <v>#DIV/0!</v>
      </c>
      <c r="O1125" s="354">
        <f>IF(L1125="nio",0,IF(L1125&gt;0,VLOOKUP(H1125,'3-Productie normen'!A:P,VLOOKUP(L1125,'3-Productie normen'!$B$31:$C$45,2,FALSE),FALSE)))/VLOOKUP(B1125,'2-Kosten per locatie'!$A$13:$D$36,4,FALSE)</f>
        <v>0</v>
      </c>
      <c r="P1125" s="82" t="str">
        <f>VLOOKUP(H1125,'3-Productie normen'!A:T,20,FALSE)</f>
        <v>V</v>
      </c>
      <c r="Q1125" s="447" t="s">
        <v>792</v>
      </c>
      <c r="S1125" s="356">
        <f t="shared" si="89"/>
        <v>19984.350000000002</v>
      </c>
    </row>
    <row r="1126" spans="1:19" ht="14.1" customHeight="1">
      <c r="A1126" s="72">
        <f t="shared" si="90"/>
        <v>1126</v>
      </c>
      <c r="B1126" s="50" t="s">
        <v>819</v>
      </c>
      <c r="C1126" s="50" t="s">
        <v>838</v>
      </c>
      <c r="D1126" s="427" t="s">
        <v>1033</v>
      </c>
      <c r="E1126" s="426" t="s">
        <v>612</v>
      </c>
      <c r="F1126" s="349" t="s">
        <v>338</v>
      </c>
      <c r="G1126" s="86" t="s">
        <v>199</v>
      </c>
      <c r="H1126" s="432" t="s">
        <v>198</v>
      </c>
      <c r="I1126" s="86" t="s">
        <v>784</v>
      </c>
      <c r="J1126" s="343">
        <v>9.31</v>
      </c>
      <c r="K1126" s="351">
        <f t="shared" si="88"/>
        <v>255</v>
      </c>
      <c r="L1126" s="484">
        <v>255</v>
      </c>
      <c r="M1126" s="448" t="str">
        <f>IF(L1126="nio","",VLOOKUP(L1126,'3-Productie normen'!$B$31:$H$45,3,FALSE))</f>
        <v>5 x per week (52 weken)</v>
      </c>
      <c r="N1126" s="353" t="e">
        <f t="shared" si="87"/>
        <v>#DIV/0!</v>
      </c>
      <c r="O1126" s="354">
        <f>IF(L1126="nio",0,IF(L1126&gt;0,VLOOKUP(H1126,'3-Productie normen'!A:P,VLOOKUP(L1126,'3-Productie normen'!$B$31:$C$45,2,FALSE),FALSE)))/VLOOKUP(B1126,'2-Kosten per locatie'!$A$13:$D$36,4,FALSE)</f>
        <v>0</v>
      </c>
      <c r="P1126" s="82" t="str">
        <f>VLOOKUP(H1126,'3-Productie normen'!A:T,20,FALSE)</f>
        <v>V</v>
      </c>
      <c r="Q1126" s="447" t="s">
        <v>946</v>
      </c>
      <c r="S1126" s="356">
        <f t="shared" si="89"/>
        <v>2374.0500000000002</v>
      </c>
    </row>
    <row r="1127" spans="1:19" ht="14.1" customHeight="1">
      <c r="A1127" s="72">
        <f t="shared" si="90"/>
        <v>1127</v>
      </c>
      <c r="B1127" s="50" t="s">
        <v>819</v>
      </c>
      <c r="C1127" s="50" t="s">
        <v>838</v>
      </c>
      <c r="D1127" s="427" t="s">
        <v>1033</v>
      </c>
      <c r="E1127" s="426" t="s">
        <v>612</v>
      </c>
      <c r="F1127" s="349" t="s">
        <v>339</v>
      </c>
      <c r="G1127" s="86" t="s">
        <v>209</v>
      </c>
      <c r="H1127" s="63" t="s">
        <v>1040</v>
      </c>
      <c r="I1127" s="86" t="s">
        <v>780</v>
      </c>
      <c r="J1127" s="343">
        <v>9.3699999999999992</v>
      </c>
      <c r="K1127" s="351">
        <f t="shared" si="88"/>
        <v>12</v>
      </c>
      <c r="L1127" s="484">
        <v>12</v>
      </c>
      <c r="M1127" s="448" t="str">
        <f>IF(L1127="nio","",VLOOKUP(L1127,'3-Productie normen'!$B$31:$H$45,3,FALSE))</f>
        <v>1 x per maand</v>
      </c>
      <c r="N1127" s="353" t="e">
        <f t="shared" si="87"/>
        <v>#DIV/0!</v>
      </c>
      <c r="O1127" s="354">
        <f>IF(L1127="nio",0,IF(L1127&gt;0,VLOOKUP(H1127,'3-Productie normen'!A:P,VLOOKUP(L1127,'3-Productie normen'!$B$31:$C$45,2,FALSE),FALSE)))/VLOOKUP(B1127,'2-Kosten per locatie'!$A$13:$D$36,4,FALSE)</f>
        <v>0</v>
      </c>
      <c r="P1127" s="82" t="str">
        <f>VLOOKUP(H1127,'3-Productie normen'!A:T,20,FALSE)</f>
        <v>V</v>
      </c>
      <c r="Q1127" s="447" t="s">
        <v>792</v>
      </c>
      <c r="S1127" s="356">
        <f t="shared" si="89"/>
        <v>112.44</v>
      </c>
    </row>
    <row r="1128" spans="1:19" ht="14.1" customHeight="1">
      <c r="A1128" s="72">
        <f t="shared" si="90"/>
        <v>1128</v>
      </c>
      <c r="B1128" s="50" t="s">
        <v>819</v>
      </c>
      <c r="C1128" s="50" t="s">
        <v>838</v>
      </c>
      <c r="D1128" s="427" t="s">
        <v>1033</v>
      </c>
      <c r="E1128" s="426" t="s">
        <v>612</v>
      </c>
      <c r="F1128" s="349" t="s">
        <v>340</v>
      </c>
      <c r="G1128" s="86" t="s">
        <v>401</v>
      </c>
      <c r="H1128" s="81" t="s">
        <v>16</v>
      </c>
      <c r="I1128" s="86" t="s">
        <v>781</v>
      </c>
      <c r="J1128" s="343">
        <v>9.5399999999999991</v>
      </c>
      <c r="K1128" s="351">
        <f t="shared" si="88"/>
        <v>255</v>
      </c>
      <c r="L1128" s="484">
        <v>255</v>
      </c>
      <c r="M1128" s="448" t="str">
        <f>IF(L1128="nio","",VLOOKUP(L1128,'3-Productie normen'!$B$31:$H$45,3,FALSE))</f>
        <v>5 x per week (52 weken)</v>
      </c>
      <c r="N1128" s="353" t="e">
        <f t="shared" si="87"/>
        <v>#DIV/0!</v>
      </c>
      <c r="O1128" s="354">
        <f>IF(L1128="nio",0,IF(L1128&gt;0,VLOOKUP(H1128,'3-Productie normen'!A:P,VLOOKUP(L1128,'3-Productie normen'!$B$31:$C$45,2,FALSE),FALSE)))/VLOOKUP(B1128,'2-Kosten per locatie'!$A$13:$D$36,4,FALSE)</f>
        <v>0</v>
      </c>
      <c r="P1128" s="82" t="str">
        <f>VLOOKUP(H1128,'3-Productie normen'!A:T,20,FALSE)</f>
        <v>S</v>
      </c>
      <c r="Q1128" s="447" t="s">
        <v>899</v>
      </c>
      <c r="S1128" s="356">
        <f t="shared" si="89"/>
        <v>2432.6999999999998</v>
      </c>
    </row>
    <row r="1129" spans="1:19" ht="14.1" customHeight="1">
      <c r="A1129" s="72">
        <f t="shared" si="90"/>
        <v>1129</v>
      </c>
      <c r="B1129" s="50" t="s">
        <v>819</v>
      </c>
      <c r="C1129" s="50" t="s">
        <v>838</v>
      </c>
      <c r="D1129" s="427" t="s">
        <v>1034</v>
      </c>
      <c r="E1129" s="426" t="s">
        <v>612</v>
      </c>
      <c r="F1129" s="349" t="s">
        <v>341</v>
      </c>
      <c r="G1129" s="86" t="s">
        <v>404</v>
      </c>
      <c r="H1129" s="65" t="s">
        <v>731</v>
      </c>
      <c r="I1129" s="86" t="s">
        <v>789</v>
      </c>
      <c r="J1129" s="343">
        <v>12.17</v>
      </c>
      <c r="K1129" s="351">
        <f t="shared" si="88"/>
        <v>255</v>
      </c>
      <c r="L1129" s="484">
        <v>255</v>
      </c>
      <c r="M1129" s="448" t="str">
        <f>IF(L1129="nio","",VLOOKUP(L1129,'3-Productie normen'!$B$31:$H$45,3,FALSE))</f>
        <v>5 x per week (52 weken)</v>
      </c>
      <c r="N1129" s="353" t="e">
        <f t="shared" ref="N1129:N1170" si="91">IF(L1129="nio",0,IF(L1129&gt;0,L1129*J1129/O1129,0))</f>
        <v>#DIV/0!</v>
      </c>
      <c r="O1129" s="354">
        <f>IF(L1129="nio",0,IF(L1129&gt;0,VLOOKUP(H1129,'3-Productie normen'!A:P,VLOOKUP(L1129,'3-Productie normen'!$B$31:$C$45,2,FALSE),FALSE)))/VLOOKUP(B1129,'2-Kosten per locatie'!$A$13:$D$36,4,FALSE)</f>
        <v>0</v>
      </c>
      <c r="P1129" s="82" t="str">
        <f>VLOOKUP(H1129,'3-Productie normen'!A:T,20,FALSE)</f>
        <v>V</v>
      </c>
      <c r="Q1129" s="447" t="s">
        <v>792</v>
      </c>
      <c r="S1129" s="356">
        <f t="shared" si="89"/>
        <v>3103.35</v>
      </c>
    </row>
    <row r="1130" spans="1:19" ht="14.1" customHeight="1">
      <c r="A1130" s="72">
        <f t="shared" si="90"/>
        <v>1130</v>
      </c>
      <c r="B1130" s="50" t="s">
        <v>819</v>
      </c>
      <c r="C1130" s="50" t="s">
        <v>838</v>
      </c>
      <c r="D1130" s="427" t="s">
        <v>1034</v>
      </c>
      <c r="E1130" s="426" t="s">
        <v>612</v>
      </c>
      <c r="F1130" s="349" t="s">
        <v>343</v>
      </c>
      <c r="G1130" s="86" t="s">
        <v>222</v>
      </c>
      <c r="H1130" s="86" t="s">
        <v>16</v>
      </c>
      <c r="I1130" s="86" t="s">
        <v>781</v>
      </c>
      <c r="J1130" s="343">
        <v>2.27</v>
      </c>
      <c r="K1130" s="351">
        <f t="shared" si="88"/>
        <v>255</v>
      </c>
      <c r="L1130" s="484">
        <v>255</v>
      </c>
      <c r="M1130" s="448" t="str">
        <f>IF(L1130="nio","",VLOOKUP(L1130,'3-Productie normen'!$B$31:$H$45,3,FALSE))</f>
        <v>5 x per week (52 weken)</v>
      </c>
      <c r="N1130" s="353" t="e">
        <f t="shared" si="91"/>
        <v>#DIV/0!</v>
      </c>
      <c r="O1130" s="354">
        <f>IF(L1130="nio",0,IF(L1130&gt;0,VLOOKUP(H1130,'3-Productie normen'!A:P,VLOOKUP(L1130,'3-Productie normen'!$B$31:$C$45,2,FALSE),FALSE)))/VLOOKUP(B1130,'2-Kosten per locatie'!$A$13:$D$36,4,FALSE)</f>
        <v>0</v>
      </c>
      <c r="P1130" s="82" t="str">
        <f>VLOOKUP(H1130,'3-Productie normen'!A:T,20,FALSE)</f>
        <v>S</v>
      </c>
      <c r="Q1130" s="447" t="s">
        <v>857</v>
      </c>
      <c r="S1130" s="356">
        <f t="shared" si="89"/>
        <v>578.85</v>
      </c>
    </row>
    <row r="1131" spans="1:19" ht="14.1" customHeight="1">
      <c r="A1131" s="72">
        <f t="shared" si="90"/>
        <v>1131</v>
      </c>
      <c r="B1131" s="50" t="s">
        <v>819</v>
      </c>
      <c r="C1131" s="50" t="s">
        <v>838</v>
      </c>
      <c r="D1131" s="427" t="s">
        <v>1033</v>
      </c>
      <c r="E1131" s="426" t="s">
        <v>612</v>
      </c>
      <c r="F1131" s="349" t="s">
        <v>344</v>
      </c>
      <c r="G1131" s="86" t="s">
        <v>206</v>
      </c>
      <c r="H1131" s="65" t="s">
        <v>1053</v>
      </c>
      <c r="I1131" s="86" t="s">
        <v>92</v>
      </c>
      <c r="J1131" s="343">
        <v>0.62</v>
      </c>
      <c r="K1131" s="351" t="str">
        <f t="shared" si="88"/>
        <v>nio</v>
      </c>
      <c r="L1131" s="484" t="s">
        <v>804</v>
      </c>
      <c r="M1131" s="448" t="str">
        <f>IF(L1131="nio","",VLOOKUP(L1131,'3-Productie normen'!$B$31:$H$45,3,FALSE))</f>
        <v/>
      </c>
      <c r="N1131" s="353">
        <f t="shared" si="91"/>
        <v>0</v>
      </c>
      <c r="O1131" s="354">
        <f>IF(L1131="nio",0,IF(L1131&gt;0,VLOOKUP(H1131,'3-Productie normen'!A:P,VLOOKUP(L1131,'3-Productie normen'!$B$31:$C$45,2,FALSE),FALSE)))/VLOOKUP(B1131,'2-Kosten per locatie'!$A$13:$D$36,4,FALSE)</f>
        <v>0</v>
      </c>
      <c r="P1131" s="82">
        <f>VLOOKUP(H1131,'3-Productie normen'!A:T,20,FALSE)</f>
        <v>0</v>
      </c>
      <c r="Q1131" s="447" t="s">
        <v>1015</v>
      </c>
      <c r="S1131" s="356">
        <f t="shared" si="89"/>
        <v>0</v>
      </c>
    </row>
    <row r="1132" spans="1:19" ht="14.1" customHeight="1">
      <c r="A1132" s="72">
        <f t="shared" si="90"/>
        <v>1132</v>
      </c>
      <c r="B1132" s="50" t="s">
        <v>819</v>
      </c>
      <c r="C1132" s="50" t="s">
        <v>838</v>
      </c>
      <c r="D1132" s="427" t="s">
        <v>1033</v>
      </c>
      <c r="E1132" s="426" t="s">
        <v>612</v>
      </c>
      <c r="F1132" s="349" t="s">
        <v>345</v>
      </c>
      <c r="G1132" s="86" t="s">
        <v>206</v>
      </c>
      <c r="H1132" s="65" t="s">
        <v>1053</v>
      </c>
      <c r="I1132" s="86" t="s">
        <v>91</v>
      </c>
      <c r="J1132" s="343">
        <v>5.39</v>
      </c>
      <c r="K1132" s="351" t="str">
        <f t="shared" si="88"/>
        <v>nio</v>
      </c>
      <c r="L1132" s="484" t="s">
        <v>804</v>
      </c>
      <c r="M1132" s="448" t="str">
        <f>IF(L1132="nio","",VLOOKUP(L1132,'3-Productie normen'!$B$31:$H$45,3,FALSE))</f>
        <v/>
      </c>
      <c r="N1132" s="353">
        <f t="shared" si="91"/>
        <v>0</v>
      </c>
      <c r="O1132" s="354">
        <f>IF(L1132="nio",0,IF(L1132&gt;0,VLOOKUP(H1132,'3-Productie normen'!A:P,VLOOKUP(L1132,'3-Productie normen'!$B$31:$C$45,2,FALSE),FALSE)))/VLOOKUP(B1132,'2-Kosten per locatie'!$A$13:$D$36,4,FALSE)</f>
        <v>0</v>
      </c>
      <c r="P1132" s="82">
        <f>VLOOKUP(H1132,'3-Productie normen'!A:T,20,FALSE)</f>
        <v>0</v>
      </c>
      <c r="Q1132" s="447" t="s">
        <v>792</v>
      </c>
      <c r="S1132" s="356">
        <f t="shared" si="89"/>
        <v>0</v>
      </c>
    </row>
    <row r="1133" spans="1:19" ht="14.1" customHeight="1">
      <c r="A1133" s="72">
        <f t="shared" si="90"/>
        <v>1133</v>
      </c>
      <c r="B1133" s="50" t="s">
        <v>819</v>
      </c>
      <c r="C1133" s="50" t="s">
        <v>838</v>
      </c>
      <c r="D1133" s="427" t="s">
        <v>1033</v>
      </c>
      <c r="E1133" s="426" t="s">
        <v>612</v>
      </c>
      <c r="F1133" s="349" t="s">
        <v>346</v>
      </c>
      <c r="G1133" s="86" t="s">
        <v>212</v>
      </c>
      <c r="H1133" s="65" t="s">
        <v>1053</v>
      </c>
      <c r="I1133" s="86" t="s">
        <v>786</v>
      </c>
      <c r="J1133" s="343">
        <v>18.55</v>
      </c>
      <c r="K1133" s="351" t="str">
        <f t="shared" si="88"/>
        <v>nio</v>
      </c>
      <c r="L1133" s="484" t="s">
        <v>804</v>
      </c>
      <c r="M1133" s="448" t="str">
        <f>IF(L1133="nio","",VLOOKUP(L1133,'3-Productie normen'!$B$31:$H$45,3,FALSE))</f>
        <v/>
      </c>
      <c r="N1133" s="353">
        <f t="shared" si="91"/>
        <v>0</v>
      </c>
      <c r="O1133" s="354">
        <f>IF(L1133="nio",0,IF(L1133&gt;0,VLOOKUP(H1133,'3-Productie normen'!A:P,VLOOKUP(L1133,'3-Productie normen'!$B$31:$C$45,2,FALSE),FALSE)))/VLOOKUP(B1133,'2-Kosten per locatie'!$A$13:$D$36,4,FALSE)</f>
        <v>0</v>
      </c>
      <c r="P1133" s="82">
        <f>VLOOKUP(H1133,'3-Productie normen'!A:T,20,FALSE)</f>
        <v>0</v>
      </c>
      <c r="Q1133" s="447" t="s">
        <v>792</v>
      </c>
      <c r="S1133" s="356">
        <f t="shared" si="89"/>
        <v>0</v>
      </c>
    </row>
    <row r="1134" spans="1:19" ht="14.1" customHeight="1">
      <c r="A1134" s="72">
        <f t="shared" si="90"/>
        <v>1134</v>
      </c>
      <c r="B1134" s="50" t="s">
        <v>819</v>
      </c>
      <c r="C1134" s="50" t="s">
        <v>838</v>
      </c>
      <c r="D1134" s="427" t="s">
        <v>1033</v>
      </c>
      <c r="E1134" s="426" t="s">
        <v>612</v>
      </c>
      <c r="F1134" s="349" t="s">
        <v>348</v>
      </c>
      <c r="G1134" s="86" t="s">
        <v>604</v>
      </c>
      <c r="H1134" s="65" t="s">
        <v>1053</v>
      </c>
      <c r="I1134" s="86" t="s">
        <v>786</v>
      </c>
      <c r="J1134" s="343">
        <v>51.05</v>
      </c>
      <c r="K1134" s="351" t="str">
        <f t="shared" si="88"/>
        <v>nio</v>
      </c>
      <c r="L1134" s="484" t="s">
        <v>804</v>
      </c>
      <c r="M1134" s="448" t="str">
        <f>IF(L1134="nio","",VLOOKUP(L1134,'3-Productie normen'!$B$31:$H$45,3,FALSE))</f>
        <v/>
      </c>
      <c r="N1134" s="353">
        <f t="shared" si="91"/>
        <v>0</v>
      </c>
      <c r="O1134" s="354">
        <f>IF(L1134="nio",0,IF(L1134&gt;0,VLOOKUP(H1134,'3-Productie normen'!A:P,VLOOKUP(L1134,'3-Productie normen'!$B$31:$C$45,2,FALSE),FALSE)))/VLOOKUP(B1134,'2-Kosten per locatie'!$A$13:$D$36,4,FALSE)</f>
        <v>0</v>
      </c>
      <c r="P1134" s="82">
        <f>VLOOKUP(H1134,'3-Productie normen'!A:T,20,FALSE)</f>
        <v>0</v>
      </c>
      <c r="Q1134" s="447" t="s">
        <v>792</v>
      </c>
      <c r="S1134" s="356">
        <f t="shared" si="89"/>
        <v>0</v>
      </c>
    </row>
    <row r="1135" spans="1:19" ht="14.1" customHeight="1">
      <c r="A1135" s="72">
        <f t="shared" si="90"/>
        <v>1135</v>
      </c>
      <c r="B1135" s="50" t="s">
        <v>819</v>
      </c>
      <c r="C1135" s="50" t="s">
        <v>838</v>
      </c>
      <c r="D1135" s="427" t="s">
        <v>1033</v>
      </c>
      <c r="E1135" s="426" t="s">
        <v>612</v>
      </c>
      <c r="F1135" s="349" t="s">
        <v>349</v>
      </c>
      <c r="G1135" s="86" t="s">
        <v>604</v>
      </c>
      <c r="H1135" s="65" t="s">
        <v>1053</v>
      </c>
      <c r="I1135" s="86" t="s">
        <v>786</v>
      </c>
      <c r="J1135" s="343">
        <v>75.78</v>
      </c>
      <c r="K1135" s="351" t="str">
        <f t="shared" ref="K1135:K1170" si="92">L1135</f>
        <v>nio</v>
      </c>
      <c r="L1135" s="484" t="s">
        <v>804</v>
      </c>
      <c r="M1135" s="448" t="str">
        <f>IF(L1135="nio","",VLOOKUP(L1135,'3-Productie normen'!$B$31:$H$45,3,FALSE))</f>
        <v/>
      </c>
      <c r="N1135" s="353">
        <f t="shared" si="91"/>
        <v>0</v>
      </c>
      <c r="O1135" s="354">
        <f>IF(L1135="nio",0,IF(L1135&gt;0,VLOOKUP(H1135,'3-Productie normen'!A:P,VLOOKUP(L1135,'3-Productie normen'!$B$31:$C$45,2,FALSE),FALSE)))/VLOOKUP(B1135,'2-Kosten per locatie'!$A$13:$D$36,4,FALSE)</f>
        <v>0</v>
      </c>
      <c r="P1135" s="82">
        <f>VLOOKUP(H1135,'3-Productie normen'!A:T,20,FALSE)</f>
        <v>0</v>
      </c>
      <c r="Q1135" s="447" t="s">
        <v>792</v>
      </c>
      <c r="S1135" s="356">
        <f t="shared" si="89"/>
        <v>0</v>
      </c>
    </row>
    <row r="1136" spans="1:19" ht="14.1" customHeight="1">
      <c r="A1136" s="72">
        <f t="shared" si="90"/>
        <v>1136</v>
      </c>
      <c r="B1136" s="50" t="s">
        <v>820</v>
      </c>
      <c r="C1136" s="50" t="s">
        <v>839</v>
      </c>
      <c r="D1136" s="427" t="s">
        <v>1034</v>
      </c>
      <c r="E1136" s="426" t="s">
        <v>612</v>
      </c>
      <c r="F1136" s="349" t="s">
        <v>197</v>
      </c>
      <c r="G1136" s="86" t="s">
        <v>256</v>
      </c>
      <c r="H1136" s="65" t="s">
        <v>731</v>
      </c>
      <c r="I1136" s="86" t="s">
        <v>789</v>
      </c>
      <c r="J1136" s="343">
        <v>56.18</v>
      </c>
      <c r="K1136" s="351">
        <f t="shared" si="92"/>
        <v>255</v>
      </c>
      <c r="L1136" s="484">
        <v>255</v>
      </c>
      <c r="M1136" s="448" t="str">
        <f>IF(L1136="nio","",VLOOKUP(L1136,'3-Productie normen'!$B$31:$H$45,3,FALSE))</f>
        <v>5 x per week (52 weken)</v>
      </c>
      <c r="N1136" s="353" t="e">
        <f t="shared" si="91"/>
        <v>#DIV/0!</v>
      </c>
      <c r="O1136" s="354">
        <f>IF(L1136="nio",0,IF(L1136&gt;0,VLOOKUP(H1136,'3-Productie normen'!A:P,VLOOKUP(L1136,'3-Productie normen'!$B$31:$C$45,2,FALSE),FALSE)))/VLOOKUP(B1136,'2-Kosten per locatie'!$A$13:$D$36,4,FALSE)</f>
        <v>0</v>
      </c>
      <c r="P1136" s="82" t="str">
        <f>VLOOKUP(H1136,'3-Productie normen'!A:T,20,FALSE)</f>
        <v>V</v>
      </c>
      <c r="Q1136" s="447" t="s">
        <v>1016</v>
      </c>
      <c r="S1136" s="356">
        <f t="shared" si="89"/>
        <v>14325.9</v>
      </c>
    </row>
    <row r="1137" spans="1:19" ht="14.1" customHeight="1">
      <c r="A1137" s="72">
        <f t="shared" si="90"/>
        <v>1137</v>
      </c>
      <c r="B1137" s="50" t="s">
        <v>820</v>
      </c>
      <c r="C1137" s="50" t="s">
        <v>839</v>
      </c>
      <c r="D1137" s="427" t="s">
        <v>1034</v>
      </c>
      <c r="E1137" s="426" t="s">
        <v>612</v>
      </c>
      <c r="F1137" s="349" t="s">
        <v>200</v>
      </c>
      <c r="G1137" s="86" t="s">
        <v>256</v>
      </c>
      <c r="H1137" s="65" t="s">
        <v>731</v>
      </c>
      <c r="I1137" s="86" t="s">
        <v>789</v>
      </c>
      <c r="J1137" s="343">
        <v>56.17</v>
      </c>
      <c r="K1137" s="351">
        <f t="shared" si="92"/>
        <v>255</v>
      </c>
      <c r="L1137" s="484">
        <v>255</v>
      </c>
      <c r="M1137" s="448" t="str">
        <f>IF(L1137="nio","",VLOOKUP(L1137,'3-Productie normen'!$B$31:$H$45,3,FALSE))</f>
        <v>5 x per week (52 weken)</v>
      </c>
      <c r="N1137" s="353" t="e">
        <f t="shared" si="91"/>
        <v>#DIV/0!</v>
      </c>
      <c r="O1137" s="354">
        <f>IF(L1137="nio",0,IF(L1137&gt;0,VLOOKUP(H1137,'3-Productie normen'!A:P,VLOOKUP(L1137,'3-Productie normen'!$B$31:$C$45,2,FALSE),FALSE)))/VLOOKUP(B1137,'2-Kosten per locatie'!$A$13:$D$36,4,FALSE)</f>
        <v>0</v>
      </c>
      <c r="P1137" s="82" t="str">
        <f>VLOOKUP(H1137,'3-Productie normen'!A:T,20,FALSE)</f>
        <v>V</v>
      </c>
      <c r="Q1137" s="447" t="s">
        <v>1016</v>
      </c>
      <c r="S1137" s="356">
        <f t="shared" si="89"/>
        <v>14323.35</v>
      </c>
    </row>
    <row r="1138" spans="1:19" ht="14.1" customHeight="1">
      <c r="A1138" s="72">
        <f t="shared" si="90"/>
        <v>1138</v>
      </c>
      <c r="B1138" s="50" t="s">
        <v>820</v>
      </c>
      <c r="C1138" s="50" t="s">
        <v>839</v>
      </c>
      <c r="D1138" s="427" t="s">
        <v>1034</v>
      </c>
      <c r="E1138" s="426" t="s">
        <v>612</v>
      </c>
      <c r="F1138" s="349" t="s">
        <v>202</v>
      </c>
      <c r="G1138" s="86" t="s">
        <v>712</v>
      </c>
      <c r="H1138" s="86" t="s">
        <v>16</v>
      </c>
      <c r="I1138" s="86" t="s">
        <v>789</v>
      </c>
      <c r="J1138" s="343">
        <v>5.2</v>
      </c>
      <c r="K1138" s="351">
        <f t="shared" si="92"/>
        <v>255</v>
      </c>
      <c r="L1138" s="484">
        <v>255</v>
      </c>
      <c r="M1138" s="448" t="str">
        <f>IF(L1138="nio","",VLOOKUP(L1138,'3-Productie normen'!$B$31:$H$45,3,FALSE))</f>
        <v>5 x per week (52 weken)</v>
      </c>
      <c r="N1138" s="353" t="e">
        <f t="shared" si="91"/>
        <v>#DIV/0!</v>
      </c>
      <c r="O1138" s="354">
        <f>IF(L1138="nio",0,IF(L1138&gt;0,VLOOKUP(H1138,'3-Productie normen'!A:P,VLOOKUP(L1138,'3-Productie normen'!$B$31:$C$45,2,FALSE),FALSE)))/VLOOKUP(B1138,'2-Kosten per locatie'!$A$13:$D$36,4,FALSE)</f>
        <v>0</v>
      </c>
      <c r="P1138" s="82" t="str">
        <f>VLOOKUP(H1138,'3-Productie normen'!A:T,20,FALSE)</f>
        <v>S</v>
      </c>
      <c r="Q1138" s="447"/>
      <c r="S1138" s="356">
        <f t="shared" si="89"/>
        <v>1326</v>
      </c>
    </row>
    <row r="1139" spans="1:19" ht="14.1" customHeight="1">
      <c r="A1139" s="72">
        <f t="shared" si="90"/>
        <v>1139</v>
      </c>
      <c r="B1139" s="50" t="s">
        <v>820</v>
      </c>
      <c r="C1139" s="50" t="s">
        <v>839</v>
      </c>
      <c r="D1139" s="427" t="s">
        <v>1034</v>
      </c>
      <c r="E1139" s="426" t="s">
        <v>612</v>
      </c>
      <c r="F1139" s="349" t="s">
        <v>205</v>
      </c>
      <c r="G1139" s="86" t="s">
        <v>712</v>
      </c>
      <c r="H1139" s="86" t="s">
        <v>16</v>
      </c>
      <c r="I1139" s="86" t="s">
        <v>789</v>
      </c>
      <c r="J1139" s="343">
        <v>5.2</v>
      </c>
      <c r="K1139" s="351">
        <f t="shared" si="92"/>
        <v>255</v>
      </c>
      <c r="L1139" s="484">
        <v>255</v>
      </c>
      <c r="M1139" s="448" t="str">
        <f>IF(L1139="nio","",VLOOKUP(L1139,'3-Productie normen'!$B$31:$H$45,3,FALSE))</f>
        <v>5 x per week (52 weken)</v>
      </c>
      <c r="N1139" s="353" t="e">
        <f t="shared" si="91"/>
        <v>#DIV/0!</v>
      </c>
      <c r="O1139" s="354">
        <f>IF(L1139="nio",0,IF(L1139&gt;0,VLOOKUP(H1139,'3-Productie normen'!A:P,VLOOKUP(L1139,'3-Productie normen'!$B$31:$C$45,2,FALSE),FALSE)))/VLOOKUP(B1139,'2-Kosten per locatie'!$A$13:$D$36,4,FALSE)</f>
        <v>0</v>
      </c>
      <c r="P1139" s="82" t="str">
        <f>VLOOKUP(H1139,'3-Productie normen'!A:T,20,FALSE)</f>
        <v>S</v>
      </c>
      <c r="Q1139" s="447"/>
      <c r="S1139" s="356">
        <f t="shared" si="89"/>
        <v>1326</v>
      </c>
    </row>
    <row r="1140" spans="1:19" ht="14.1" customHeight="1">
      <c r="A1140" s="72">
        <f t="shared" si="90"/>
        <v>1140</v>
      </c>
      <c r="B1140" s="50" t="s">
        <v>820</v>
      </c>
      <c r="C1140" s="50" t="s">
        <v>839</v>
      </c>
      <c r="D1140" s="427" t="s">
        <v>1034</v>
      </c>
      <c r="E1140" s="426" t="s">
        <v>612</v>
      </c>
      <c r="F1140" s="349" t="s">
        <v>207</v>
      </c>
      <c r="G1140" s="86" t="s">
        <v>226</v>
      </c>
      <c r="H1140" s="81" t="s">
        <v>16</v>
      </c>
      <c r="I1140" s="86" t="s">
        <v>781</v>
      </c>
      <c r="J1140" s="343">
        <v>12.47</v>
      </c>
      <c r="K1140" s="351">
        <f t="shared" si="92"/>
        <v>255</v>
      </c>
      <c r="L1140" s="484">
        <v>255</v>
      </c>
      <c r="M1140" s="448" t="str">
        <f>IF(L1140="nio","",VLOOKUP(L1140,'3-Productie normen'!$B$31:$H$45,3,FALSE))</f>
        <v>5 x per week (52 weken)</v>
      </c>
      <c r="N1140" s="353" t="e">
        <f t="shared" si="91"/>
        <v>#DIV/0!</v>
      </c>
      <c r="O1140" s="354">
        <f>IF(L1140="nio",0,IF(L1140&gt;0,VLOOKUP(H1140,'3-Productie normen'!A:P,VLOOKUP(L1140,'3-Productie normen'!$B$31:$C$45,2,FALSE),FALSE)))/VLOOKUP(B1140,'2-Kosten per locatie'!$A$13:$D$36,4,FALSE)</f>
        <v>0</v>
      </c>
      <c r="P1140" s="82" t="str">
        <f>VLOOKUP(H1140,'3-Productie normen'!A:T,20,FALSE)</f>
        <v>S</v>
      </c>
      <c r="Q1140" s="447"/>
      <c r="S1140" s="356">
        <f t="shared" si="89"/>
        <v>3179.8500000000004</v>
      </c>
    </row>
    <row r="1141" spans="1:19" ht="14.1" customHeight="1">
      <c r="A1141" s="72">
        <f t="shared" si="90"/>
        <v>1141</v>
      </c>
      <c r="B1141" s="50" t="s">
        <v>820</v>
      </c>
      <c r="C1141" s="50" t="s">
        <v>839</v>
      </c>
      <c r="D1141" s="427" t="s">
        <v>1034</v>
      </c>
      <c r="E1141" s="426" t="s">
        <v>612</v>
      </c>
      <c r="F1141" s="349" t="s">
        <v>208</v>
      </c>
      <c r="G1141" s="86" t="s">
        <v>404</v>
      </c>
      <c r="H1141" s="65" t="s">
        <v>731</v>
      </c>
      <c r="I1141" s="86" t="s">
        <v>789</v>
      </c>
      <c r="J1141" s="343">
        <v>7.16</v>
      </c>
      <c r="K1141" s="351">
        <f t="shared" si="92"/>
        <v>255</v>
      </c>
      <c r="L1141" s="484">
        <v>255</v>
      </c>
      <c r="M1141" s="448" t="str">
        <f>IF(L1141="nio","",VLOOKUP(L1141,'3-Productie normen'!$B$31:$H$45,3,FALSE))</f>
        <v>5 x per week (52 weken)</v>
      </c>
      <c r="N1141" s="353" t="e">
        <f t="shared" si="91"/>
        <v>#DIV/0!</v>
      </c>
      <c r="O1141" s="354">
        <f>IF(L1141="nio",0,IF(L1141&gt;0,VLOOKUP(H1141,'3-Productie normen'!A:P,VLOOKUP(L1141,'3-Productie normen'!$B$31:$C$45,2,FALSE),FALSE)))/VLOOKUP(B1141,'2-Kosten per locatie'!$A$13:$D$36,4,FALSE)</f>
        <v>0</v>
      </c>
      <c r="P1141" s="82" t="str">
        <f>VLOOKUP(H1141,'3-Productie normen'!A:T,20,FALSE)</f>
        <v>V</v>
      </c>
      <c r="Q1141" s="447"/>
      <c r="S1141" s="356">
        <f t="shared" si="89"/>
        <v>1825.8</v>
      </c>
    </row>
    <row r="1142" spans="1:19" ht="14.1" customHeight="1">
      <c r="A1142" s="72">
        <f t="shared" si="90"/>
        <v>1142</v>
      </c>
      <c r="B1142" s="50" t="s">
        <v>820</v>
      </c>
      <c r="C1142" s="50" t="s">
        <v>839</v>
      </c>
      <c r="D1142" s="427" t="s">
        <v>1034</v>
      </c>
      <c r="E1142" s="426" t="s">
        <v>612</v>
      </c>
      <c r="F1142" s="349" t="s">
        <v>210</v>
      </c>
      <c r="G1142" s="86" t="s">
        <v>404</v>
      </c>
      <c r="H1142" s="65" t="s">
        <v>731</v>
      </c>
      <c r="I1142" s="86" t="s">
        <v>789</v>
      </c>
      <c r="J1142" s="343">
        <v>7.12</v>
      </c>
      <c r="K1142" s="351">
        <f t="shared" si="92"/>
        <v>255</v>
      </c>
      <c r="L1142" s="484">
        <v>255</v>
      </c>
      <c r="M1142" s="448" t="str">
        <f>IF(L1142="nio","",VLOOKUP(L1142,'3-Productie normen'!$B$31:$H$45,3,FALSE))</f>
        <v>5 x per week (52 weken)</v>
      </c>
      <c r="N1142" s="353" t="e">
        <f t="shared" si="91"/>
        <v>#DIV/0!</v>
      </c>
      <c r="O1142" s="354">
        <f>IF(L1142="nio",0,IF(L1142&gt;0,VLOOKUP(H1142,'3-Productie normen'!A:P,VLOOKUP(L1142,'3-Productie normen'!$B$31:$C$45,2,FALSE),FALSE)))/VLOOKUP(B1142,'2-Kosten per locatie'!$A$13:$D$36,4,FALSE)</f>
        <v>0</v>
      </c>
      <c r="P1142" s="82" t="str">
        <f>VLOOKUP(H1142,'3-Productie normen'!A:T,20,FALSE)</f>
        <v>V</v>
      </c>
      <c r="Q1142" s="447"/>
      <c r="S1142" s="356">
        <f t="shared" si="89"/>
        <v>1815.6000000000001</v>
      </c>
    </row>
    <row r="1143" spans="1:19" ht="14.1" customHeight="1">
      <c r="A1143" s="72">
        <f t="shared" si="90"/>
        <v>1143</v>
      </c>
      <c r="B1143" s="50" t="s">
        <v>820</v>
      </c>
      <c r="C1143" s="50" t="s">
        <v>839</v>
      </c>
      <c r="D1143" s="427" t="s">
        <v>1034</v>
      </c>
      <c r="E1143" s="426" t="s">
        <v>612</v>
      </c>
      <c r="F1143" s="349" t="s">
        <v>211</v>
      </c>
      <c r="G1143" s="86" t="s">
        <v>201</v>
      </c>
      <c r="H1143" s="63" t="s">
        <v>1040</v>
      </c>
      <c r="I1143" s="86" t="s">
        <v>92</v>
      </c>
      <c r="J1143" s="343">
        <v>6.35</v>
      </c>
      <c r="K1143" s="351">
        <f t="shared" si="92"/>
        <v>12</v>
      </c>
      <c r="L1143" s="484">
        <v>12</v>
      </c>
      <c r="M1143" s="448" t="str">
        <f>IF(L1143="nio","",VLOOKUP(L1143,'3-Productie normen'!$B$31:$H$45,3,FALSE))</f>
        <v>1 x per maand</v>
      </c>
      <c r="N1143" s="353" t="e">
        <f t="shared" si="91"/>
        <v>#DIV/0!</v>
      </c>
      <c r="O1143" s="354">
        <f>IF(L1143="nio",0,IF(L1143&gt;0,VLOOKUP(H1143,'3-Productie normen'!A:P,VLOOKUP(L1143,'3-Productie normen'!$B$31:$C$45,2,FALSE),FALSE)))/VLOOKUP(B1143,'2-Kosten per locatie'!$A$13:$D$36,4,FALSE)</f>
        <v>0</v>
      </c>
      <c r="P1143" s="82" t="str">
        <f>VLOOKUP(H1143,'3-Productie normen'!A:T,20,FALSE)</f>
        <v>V</v>
      </c>
      <c r="Q1143" s="447" t="s">
        <v>1087</v>
      </c>
      <c r="S1143" s="356">
        <f t="shared" si="89"/>
        <v>76.199999999999989</v>
      </c>
    </row>
    <row r="1144" spans="1:19" ht="14.1" customHeight="1">
      <c r="A1144" s="72">
        <f t="shared" si="90"/>
        <v>1144</v>
      </c>
      <c r="B1144" s="50" t="s">
        <v>820</v>
      </c>
      <c r="C1144" s="50" t="s">
        <v>839</v>
      </c>
      <c r="D1144" s="427" t="s">
        <v>1034</v>
      </c>
      <c r="E1144" s="426" t="s">
        <v>612</v>
      </c>
      <c r="F1144" s="349" t="s">
        <v>213</v>
      </c>
      <c r="G1144" s="86" t="s">
        <v>404</v>
      </c>
      <c r="H1144" s="65" t="s">
        <v>731</v>
      </c>
      <c r="I1144" s="86" t="s">
        <v>789</v>
      </c>
      <c r="J1144" s="343">
        <v>7.12</v>
      </c>
      <c r="K1144" s="351">
        <f t="shared" si="92"/>
        <v>255</v>
      </c>
      <c r="L1144" s="484">
        <v>255</v>
      </c>
      <c r="M1144" s="448" t="str">
        <f>IF(L1144="nio","",VLOOKUP(L1144,'3-Productie normen'!$B$31:$H$45,3,FALSE))</f>
        <v>5 x per week (52 weken)</v>
      </c>
      <c r="N1144" s="353" t="e">
        <f t="shared" si="91"/>
        <v>#DIV/0!</v>
      </c>
      <c r="O1144" s="354">
        <f>IF(L1144="nio",0,IF(L1144&gt;0,VLOOKUP(H1144,'3-Productie normen'!A:P,VLOOKUP(L1144,'3-Productie normen'!$B$31:$C$45,2,FALSE),FALSE)))/VLOOKUP(B1144,'2-Kosten per locatie'!$A$13:$D$36,4,FALSE)</f>
        <v>0</v>
      </c>
      <c r="P1144" s="82" t="str">
        <f>VLOOKUP(H1144,'3-Productie normen'!A:T,20,FALSE)</f>
        <v>V</v>
      </c>
      <c r="Q1144" s="447"/>
      <c r="S1144" s="356">
        <f t="shared" si="89"/>
        <v>1815.6000000000001</v>
      </c>
    </row>
    <row r="1145" spans="1:19" ht="14.1" customHeight="1">
      <c r="A1145" s="72">
        <f t="shared" si="90"/>
        <v>1145</v>
      </c>
      <c r="B1145" s="50" t="s">
        <v>820</v>
      </c>
      <c r="C1145" s="50" t="s">
        <v>839</v>
      </c>
      <c r="D1145" s="427" t="s">
        <v>1034</v>
      </c>
      <c r="E1145" s="426" t="s">
        <v>612</v>
      </c>
      <c r="F1145" s="349" t="s">
        <v>214</v>
      </c>
      <c r="G1145" s="86" t="s">
        <v>404</v>
      </c>
      <c r="H1145" s="65" t="s">
        <v>731</v>
      </c>
      <c r="I1145" s="86" t="s">
        <v>789</v>
      </c>
      <c r="J1145" s="343">
        <v>7.18</v>
      </c>
      <c r="K1145" s="351">
        <f t="shared" si="92"/>
        <v>255</v>
      </c>
      <c r="L1145" s="484">
        <v>255</v>
      </c>
      <c r="M1145" s="448" t="str">
        <f>IF(L1145="nio","",VLOOKUP(L1145,'3-Productie normen'!$B$31:$H$45,3,FALSE))</f>
        <v>5 x per week (52 weken)</v>
      </c>
      <c r="N1145" s="353" t="e">
        <f t="shared" si="91"/>
        <v>#DIV/0!</v>
      </c>
      <c r="O1145" s="354">
        <f>IF(L1145="nio",0,IF(L1145&gt;0,VLOOKUP(H1145,'3-Productie normen'!A:P,VLOOKUP(L1145,'3-Productie normen'!$B$31:$C$45,2,FALSE),FALSE)))/VLOOKUP(B1145,'2-Kosten per locatie'!$A$13:$D$36,4,FALSE)</f>
        <v>0</v>
      </c>
      <c r="P1145" s="82" t="str">
        <f>VLOOKUP(H1145,'3-Productie normen'!A:T,20,FALSE)</f>
        <v>V</v>
      </c>
      <c r="Q1145" s="447"/>
      <c r="S1145" s="356">
        <f t="shared" si="89"/>
        <v>1830.8999999999999</v>
      </c>
    </row>
    <row r="1146" spans="1:19" ht="14.1" customHeight="1">
      <c r="A1146" s="72">
        <f t="shared" si="90"/>
        <v>1146</v>
      </c>
      <c r="B1146" s="50" t="s">
        <v>820</v>
      </c>
      <c r="C1146" s="50" t="s">
        <v>839</v>
      </c>
      <c r="D1146" s="427" t="s">
        <v>1034</v>
      </c>
      <c r="E1146" s="426" t="s">
        <v>612</v>
      </c>
      <c r="F1146" s="349" t="s">
        <v>216</v>
      </c>
      <c r="G1146" s="86" t="s">
        <v>732</v>
      </c>
      <c r="H1146" s="65" t="s">
        <v>1053</v>
      </c>
      <c r="I1146" s="86" t="s">
        <v>92</v>
      </c>
      <c r="J1146" s="343">
        <v>6.67</v>
      </c>
      <c r="K1146" s="351" t="str">
        <f t="shared" si="92"/>
        <v>nio</v>
      </c>
      <c r="L1146" s="484" t="s">
        <v>804</v>
      </c>
      <c r="M1146" s="448" t="str">
        <f>IF(L1146="nio","",VLOOKUP(L1146,'3-Productie normen'!$B$31:$H$45,3,FALSE))</f>
        <v/>
      </c>
      <c r="N1146" s="353">
        <f t="shared" si="91"/>
        <v>0</v>
      </c>
      <c r="O1146" s="354">
        <f>IF(L1146="nio",0,IF(L1146&gt;0,VLOOKUP(H1146,'3-Productie normen'!A:P,VLOOKUP(L1146,'3-Productie normen'!$B$31:$C$45,2,FALSE),FALSE)))/VLOOKUP(B1146,'2-Kosten per locatie'!$A$13:$D$36,4,FALSE)</f>
        <v>0</v>
      </c>
      <c r="P1146" s="82">
        <f>VLOOKUP(H1146,'3-Productie normen'!A:T,20,FALSE)</f>
        <v>0</v>
      </c>
      <c r="Q1146" s="447" t="s">
        <v>1017</v>
      </c>
      <c r="S1146" s="356">
        <f t="shared" si="89"/>
        <v>0</v>
      </c>
    </row>
    <row r="1147" spans="1:19" ht="14.1" customHeight="1">
      <c r="A1147" s="72">
        <f t="shared" si="90"/>
        <v>1147</v>
      </c>
      <c r="B1147" s="50" t="s">
        <v>820</v>
      </c>
      <c r="C1147" s="50" t="s">
        <v>839</v>
      </c>
      <c r="D1147" s="427" t="s">
        <v>1034</v>
      </c>
      <c r="E1147" s="426" t="s">
        <v>612</v>
      </c>
      <c r="F1147" s="349" t="s">
        <v>217</v>
      </c>
      <c r="G1147" s="431" t="s">
        <v>733</v>
      </c>
      <c r="H1147" s="81" t="s">
        <v>1039</v>
      </c>
      <c r="I1147" s="86" t="s">
        <v>789</v>
      </c>
      <c r="J1147" s="343">
        <v>76.210000000000008</v>
      </c>
      <c r="K1147" s="351">
        <f t="shared" si="92"/>
        <v>255</v>
      </c>
      <c r="L1147" s="484">
        <v>255</v>
      </c>
      <c r="M1147" s="448" t="str">
        <f>IF(L1147="nio","",VLOOKUP(L1147,'3-Productie normen'!$B$31:$H$45,3,FALSE))</f>
        <v>5 x per week (52 weken)</v>
      </c>
      <c r="N1147" s="353" t="e">
        <f t="shared" si="91"/>
        <v>#DIV/0!</v>
      </c>
      <c r="O1147" s="354">
        <f>IF(L1147="nio",0,IF(L1147&gt;0,VLOOKUP(H1147,'3-Productie normen'!A:P,VLOOKUP(L1147,'3-Productie normen'!$B$31:$C$45,2,FALSE),FALSE)))/VLOOKUP(B1147,'2-Kosten per locatie'!$A$13:$D$36,4,FALSE)</f>
        <v>0</v>
      </c>
      <c r="P1147" s="82" t="str">
        <f>VLOOKUP(H1147,'3-Productie normen'!A:T,20,FALSE)</f>
        <v>V</v>
      </c>
      <c r="Q1147" s="447"/>
      <c r="S1147" s="356">
        <f t="shared" si="89"/>
        <v>19433.550000000003</v>
      </c>
    </row>
    <row r="1148" spans="1:19" ht="14.1" customHeight="1">
      <c r="A1148" s="72">
        <f t="shared" si="90"/>
        <v>1148</v>
      </c>
      <c r="B1148" s="50" t="s">
        <v>820</v>
      </c>
      <c r="C1148" s="50" t="s">
        <v>839</v>
      </c>
      <c r="D1148" s="427" t="s">
        <v>1034</v>
      </c>
      <c r="E1148" s="426" t="s">
        <v>612</v>
      </c>
      <c r="F1148" s="349" t="s">
        <v>218</v>
      </c>
      <c r="G1148" s="86" t="s">
        <v>734</v>
      </c>
      <c r="H1148" s="65" t="s">
        <v>1053</v>
      </c>
      <c r="I1148" s="86" t="s">
        <v>734</v>
      </c>
      <c r="J1148" s="343">
        <v>6.52</v>
      </c>
      <c r="K1148" s="351" t="str">
        <f t="shared" si="92"/>
        <v>nio</v>
      </c>
      <c r="L1148" s="484" t="s">
        <v>804</v>
      </c>
      <c r="M1148" s="448" t="str">
        <f>IF(L1148="nio","",VLOOKUP(L1148,'3-Productie normen'!$B$31:$H$45,3,FALSE))</f>
        <v/>
      </c>
      <c r="N1148" s="353">
        <f t="shared" si="91"/>
        <v>0</v>
      </c>
      <c r="O1148" s="354">
        <f>IF(L1148="nio",0,IF(L1148&gt;0,VLOOKUP(H1148,'3-Productie normen'!A:P,VLOOKUP(L1148,'3-Productie normen'!$B$31:$C$45,2,FALSE),FALSE)))/VLOOKUP(B1148,'2-Kosten per locatie'!$A$13:$D$36,4,FALSE)</f>
        <v>0</v>
      </c>
      <c r="P1148" s="82">
        <f>VLOOKUP(H1148,'3-Productie normen'!A:T,20,FALSE)</f>
        <v>0</v>
      </c>
      <c r="Q1148" s="447" t="s">
        <v>734</v>
      </c>
      <c r="S1148" s="356">
        <f t="shared" si="89"/>
        <v>0</v>
      </c>
    </row>
    <row r="1149" spans="1:19" ht="14.1" customHeight="1">
      <c r="A1149" s="72">
        <f t="shared" si="90"/>
        <v>1149</v>
      </c>
      <c r="B1149" s="50" t="s">
        <v>820</v>
      </c>
      <c r="C1149" s="50" t="s">
        <v>839</v>
      </c>
      <c r="D1149" s="427" t="s">
        <v>1034</v>
      </c>
      <c r="E1149" s="426" t="s">
        <v>612</v>
      </c>
      <c r="F1149" s="349" t="s">
        <v>219</v>
      </c>
      <c r="G1149" s="86" t="s">
        <v>201</v>
      </c>
      <c r="H1149" s="432" t="s">
        <v>198</v>
      </c>
      <c r="I1149" s="86" t="s">
        <v>784</v>
      </c>
      <c r="J1149" s="343">
        <v>4.97</v>
      </c>
      <c r="K1149" s="351">
        <f t="shared" si="92"/>
        <v>255</v>
      </c>
      <c r="L1149" s="484">
        <v>255</v>
      </c>
      <c r="M1149" s="448" t="str">
        <f>IF(L1149="nio","",VLOOKUP(L1149,'3-Productie normen'!$B$31:$H$45,3,FALSE))</f>
        <v>5 x per week (52 weken)</v>
      </c>
      <c r="N1149" s="353" t="e">
        <f t="shared" si="91"/>
        <v>#DIV/0!</v>
      </c>
      <c r="O1149" s="354">
        <f>IF(L1149="nio",0,IF(L1149&gt;0,VLOOKUP(H1149,'3-Productie normen'!A:P,VLOOKUP(L1149,'3-Productie normen'!$B$31:$C$45,2,FALSE),FALSE)))/VLOOKUP(B1149,'2-Kosten per locatie'!$A$13:$D$36,4,FALSE)</f>
        <v>0</v>
      </c>
      <c r="P1149" s="82" t="str">
        <f>VLOOKUP(H1149,'3-Productie normen'!A:T,20,FALSE)</f>
        <v>V</v>
      </c>
      <c r="Q1149" s="447" t="s">
        <v>1018</v>
      </c>
      <c r="S1149" s="356">
        <f t="shared" si="89"/>
        <v>1267.3499999999999</v>
      </c>
    </row>
    <row r="1150" spans="1:19" ht="14.1" customHeight="1">
      <c r="A1150" s="72">
        <f t="shared" si="90"/>
        <v>1150</v>
      </c>
      <c r="B1150" s="50" t="s">
        <v>820</v>
      </c>
      <c r="C1150" s="50" t="s">
        <v>839</v>
      </c>
      <c r="D1150" s="427" t="s">
        <v>1034</v>
      </c>
      <c r="E1150" s="426" t="s">
        <v>612</v>
      </c>
      <c r="F1150" s="349" t="s">
        <v>220</v>
      </c>
      <c r="G1150" s="86" t="s">
        <v>201</v>
      </c>
      <c r="H1150" s="432" t="s">
        <v>198</v>
      </c>
      <c r="I1150" s="86" t="s">
        <v>784</v>
      </c>
      <c r="J1150" s="343">
        <v>4.97</v>
      </c>
      <c r="K1150" s="351">
        <f t="shared" si="92"/>
        <v>255</v>
      </c>
      <c r="L1150" s="484">
        <v>255</v>
      </c>
      <c r="M1150" s="448" t="str">
        <f>IF(L1150="nio","",VLOOKUP(L1150,'3-Productie normen'!$B$31:$H$45,3,FALSE))</f>
        <v>5 x per week (52 weken)</v>
      </c>
      <c r="N1150" s="353" t="e">
        <f t="shared" si="91"/>
        <v>#DIV/0!</v>
      </c>
      <c r="O1150" s="354">
        <f>IF(L1150="nio",0,IF(L1150&gt;0,VLOOKUP(H1150,'3-Productie normen'!A:P,VLOOKUP(L1150,'3-Productie normen'!$B$31:$C$45,2,FALSE),FALSE)))/VLOOKUP(B1150,'2-Kosten per locatie'!$A$13:$D$36,4,FALSE)</f>
        <v>0</v>
      </c>
      <c r="P1150" s="82" t="str">
        <f>VLOOKUP(H1150,'3-Productie normen'!A:T,20,FALSE)</f>
        <v>V</v>
      </c>
      <c r="Q1150" s="447" t="s">
        <v>1018</v>
      </c>
      <c r="S1150" s="356">
        <f t="shared" si="89"/>
        <v>1267.3499999999999</v>
      </c>
    </row>
    <row r="1151" spans="1:19" ht="14.1" customHeight="1">
      <c r="A1151" s="72">
        <f t="shared" si="90"/>
        <v>1151</v>
      </c>
      <c r="B1151" s="50" t="s">
        <v>820</v>
      </c>
      <c r="C1151" s="50" t="s">
        <v>839</v>
      </c>
      <c r="D1151" s="427" t="s">
        <v>1034</v>
      </c>
      <c r="E1151" s="426" t="s">
        <v>612</v>
      </c>
      <c r="F1151" s="349" t="s">
        <v>221</v>
      </c>
      <c r="G1151" s="86" t="s">
        <v>209</v>
      </c>
      <c r="H1151" s="65" t="s">
        <v>1053</v>
      </c>
      <c r="I1151" s="86" t="s">
        <v>92</v>
      </c>
      <c r="J1151" s="343">
        <v>9.84</v>
      </c>
      <c r="K1151" s="351" t="str">
        <f t="shared" si="92"/>
        <v>nio</v>
      </c>
      <c r="L1151" s="484" t="s">
        <v>804</v>
      </c>
      <c r="M1151" s="448" t="str">
        <f>IF(L1151="nio","",VLOOKUP(L1151,'3-Productie normen'!$B$31:$H$45,3,FALSE))</f>
        <v/>
      </c>
      <c r="N1151" s="353">
        <f t="shared" si="91"/>
        <v>0</v>
      </c>
      <c r="O1151" s="354">
        <f>IF(L1151="nio",0,IF(L1151&gt;0,VLOOKUP(H1151,'3-Productie normen'!A:P,VLOOKUP(L1151,'3-Productie normen'!$B$31:$C$45,2,FALSE),FALSE)))/VLOOKUP(B1151,'2-Kosten per locatie'!$A$13:$D$36,4,FALSE)</f>
        <v>0</v>
      </c>
      <c r="P1151" s="82">
        <f>VLOOKUP(H1151,'3-Productie normen'!A:T,20,FALSE)</f>
        <v>0</v>
      </c>
      <c r="Q1151" s="447" t="s">
        <v>1019</v>
      </c>
      <c r="S1151" s="356">
        <f t="shared" si="89"/>
        <v>0</v>
      </c>
    </row>
    <row r="1152" spans="1:19" ht="14.1" customHeight="1">
      <c r="A1152" s="72">
        <f t="shared" si="90"/>
        <v>1152</v>
      </c>
      <c r="B1152" s="50" t="s">
        <v>820</v>
      </c>
      <c r="C1152" s="50" t="s">
        <v>839</v>
      </c>
      <c r="D1152" s="427" t="s">
        <v>1034</v>
      </c>
      <c r="E1152" s="426" t="s">
        <v>612</v>
      </c>
      <c r="F1152" s="349" t="s">
        <v>223</v>
      </c>
      <c r="G1152" s="86" t="s">
        <v>311</v>
      </c>
      <c r="H1152" s="86" t="s">
        <v>203</v>
      </c>
      <c r="I1152" s="86" t="s">
        <v>789</v>
      </c>
      <c r="J1152" s="343">
        <v>14.58</v>
      </c>
      <c r="K1152" s="351">
        <f t="shared" si="92"/>
        <v>104</v>
      </c>
      <c r="L1152" s="484">
        <v>104</v>
      </c>
      <c r="M1152" s="448" t="str">
        <f>IF(L1152="nio","",VLOOKUP(L1152,'3-Productie normen'!$B$31:$H$45,3,FALSE))</f>
        <v>2x per week (52 weken)</v>
      </c>
      <c r="N1152" s="353" t="e">
        <f t="shared" si="91"/>
        <v>#DIV/0!</v>
      </c>
      <c r="O1152" s="354">
        <f>IF(L1152="nio",0,IF(L1152&gt;0,VLOOKUP(H1152,'3-Productie normen'!A:P,VLOOKUP(L1152,'3-Productie normen'!$B$31:$C$45,2,FALSE),FALSE)))/VLOOKUP(B1152,'2-Kosten per locatie'!$A$13:$D$36,4,FALSE)</f>
        <v>0</v>
      </c>
      <c r="P1152" s="82" t="str">
        <f>VLOOKUP(H1152,'3-Productie normen'!A:T,20,FALSE)</f>
        <v>B</v>
      </c>
      <c r="Q1152" s="447"/>
      <c r="S1152" s="356">
        <f t="shared" si="89"/>
        <v>1516.32</v>
      </c>
    </row>
    <row r="1153" spans="1:19" ht="14.1" customHeight="1">
      <c r="A1153" s="72">
        <f t="shared" si="90"/>
        <v>1153</v>
      </c>
      <c r="B1153" s="50" t="s">
        <v>820</v>
      </c>
      <c r="C1153" s="50" t="s">
        <v>839</v>
      </c>
      <c r="D1153" s="427" t="s">
        <v>1034</v>
      </c>
      <c r="E1153" s="426" t="s">
        <v>612</v>
      </c>
      <c r="F1153" s="349" t="s">
        <v>224</v>
      </c>
      <c r="G1153" s="86" t="s">
        <v>732</v>
      </c>
      <c r="H1153" s="65" t="s">
        <v>1053</v>
      </c>
      <c r="I1153" s="86" t="s">
        <v>782</v>
      </c>
      <c r="J1153" s="343">
        <v>9.92</v>
      </c>
      <c r="K1153" s="351" t="str">
        <f t="shared" si="92"/>
        <v>nio</v>
      </c>
      <c r="L1153" s="484" t="s">
        <v>804</v>
      </c>
      <c r="M1153" s="448" t="str">
        <f>IF(L1153="nio","",VLOOKUP(L1153,'3-Productie normen'!$B$31:$H$45,3,FALSE))</f>
        <v/>
      </c>
      <c r="N1153" s="353">
        <f t="shared" si="91"/>
        <v>0</v>
      </c>
      <c r="O1153" s="354">
        <f>IF(L1153="nio",0,IF(L1153&gt;0,VLOOKUP(H1153,'3-Productie normen'!A:P,VLOOKUP(L1153,'3-Productie normen'!$B$31:$C$45,2,FALSE),FALSE)))/VLOOKUP(B1153,'2-Kosten per locatie'!$A$13:$D$36,4,FALSE)</f>
        <v>0</v>
      </c>
      <c r="P1153" s="82">
        <f>VLOOKUP(H1153,'3-Productie normen'!A:T,20,FALSE)</f>
        <v>0</v>
      </c>
      <c r="Q1153" s="447" t="s">
        <v>1020</v>
      </c>
      <c r="S1153" s="356">
        <f t="shared" ref="S1153:S1170" si="93">IF(L1153="nio",0,K1153*J1153)</f>
        <v>0</v>
      </c>
    </row>
    <row r="1154" spans="1:19" ht="14.1" customHeight="1">
      <c r="A1154" s="72">
        <f t="shared" si="90"/>
        <v>1154</v>
      </c>
      <c r="B1154" s="50" t="s">
        <v>820</v>
      </c>
      <c r="C1154" s="50" t="s">
        <v>839</v>
      </c>
      <c r="D1154" s="427" t="s">
        <v>1034</v>
      </c>
      <c r="E1154" s="426" t="s">
        <v>612</v>
      </c>
      <c r="F1154" s="349" t="s">
        <v>225</v>
      </c>
      <c r="G1154" s="86" t="s">
        <v>222</v>
      </c>
      <c r="H1154" s="86" t="s">
        <v>16</v>
      </c>
      <c r="I1154" s="86" t="s">
        <v>781</v>
      </c>
      <c r="J1154" s="343">
        <v>3.96</v>
      </c>
      <c r="K1154" s="351">
        <f t="shared" si="92"/>
        <v>255</v>
      </c>
      <c r="L1154" s="484">
        <v>255</v>
      </c>
      <c r="M1154" s="448" t="str">
        <f>IF(L1154="nio","",VLOOKUP(L1154,'3-Productie normen'!$B$31:$H$45,3,FALSE))</f>
        <v>5 x per week (52 weken)</v>
      </c>
      <c r="N1154" s="353" t="e">
        <f t="shared" si="91"/>
        <v>#DIV/0!</v>
      </c>
      <c r="O1154" s="354">
        <f>IF(L1154="nio",0,IF(L1154&gt;0,VLOOKUP(H1154,'3-Productie normen'!A:P,VLOOKUP(L1154,'3-Productie normen'!$B$31:$C$45,2,FALSE),FALSE)))/VLOOKUP(B1154,'2-Kosten per locatie'!$A$13:$D$36,4,FALSE)</f>
        <v>0</v>
      </c>
      <c r="P1154" s="82" t="str">
        <f>VLOOKUP(H1154,'3-Productie normen'!A:T,20,FALSE)</f>
        <v>S</v>
      </c>
      <c r="Q1154" s="447"/>
      <c r="S1154" s="356">
        <f t="shared" si="93"/>
        <v>1009.8</v>
      </c>
    </row>
    <row r="1155" spans="1:19" ht="14.1" customHeight="1">
      <c r="A1155" s="72">
        <f t="shared" si="90"/>
        <v>1155</v>
      </c>
      <c r="B1155" s="50" t="s">
        <v>820</v>
      </c>
      <c r="C1155" s="50" t="s">
        <v>839</v>
      </c>
      <c r="D1155" s="427" t="s">
        <v>1034</v>
      </c>
      <c r="E1155" s="426" t="s">
        <v>612</v>
      </c>
      <c r="F1155" s="349" t="s">
        <v>227</v>
      </c>
      <c r="G1155" s="86" t="s">
        <v>226</v>
      </c>
      <c r="H1155" s="81" t="s">
        <v>16</v>
      </c>
      <c r="I1155" s="86" t="s">
        <v>789</v>
      </c>
      <c r="J1155" s="343">
        <v>7.2</v>
      </c>
      <c r="K1155" s="351">
        <f t="shared" si="92"/>
        <v>255</v>
      </c>
      <c r="L1155" s="484">
        <v>255</v>
      </c>
      <c r="M1155" s="448" t="str">
        <f>IF(L1155="nio","",VLOOKUP(L1155,'3-Productie normen'!$B$31:$H$45,3,FALSE))</f>
        <v>5 x per week (52 weken)</v>
      </c>
      <c r="N1155" s="353" t="e">
        <f t="shared" si="91"/>
        <v>#DIV/0!</v>
      </c>
      <c r="O1155" s="354">
        <f>IF(L1155="nio",0,IF(L1155&gt;0,VLOOKUP(H1155,'3-Productie normen'!A:P,VLOOKUP(L1155,'3-Productie normen'!$B$31:$C$45,2,FALSE),FALSE)))/VLOOKUP(B1155,'2-Kosten per locatie'!$A$13:$D$36,4,FALSE)</f>
        <v>0</v>
      </c>
      <c r="P1155" s="82" t="str">
        <f>VLOOKUP(H1155,'3-Productie normen'!A:T,20,FALSE)</f>
        <v>S</v>
      </c>
      <c r="Q1155" s="447"/>
      <c r="S1155" s="356">
        <f t="shared" si="93"/>
        <v>1836</v>
      </c>
    </row>
    <row r="1156" spans="1:19" ht="14.1" customHeight="1">
      <c r="A1156" s="72">
        <f t="shared" si="90"/>
        <v>1156</v>
      </c>
      <c r="B1156" s="50" t="s">
        <v>820</v>
      </c>
      <c r="C1156" s="50" t="s">
        <v>839</v>
      </c>
      <c r="D1156" s="427" t="s">
        <v>1034</v>
      </c>
      <c r="E1156" s="426" t="s">
        <v>612</v>
      </c>
      <c r="F1156" s="349" t="s">
        <v>228</v>
      </c>
      <c r="G1156" s="86" t="s">
        <v>256</v>
      </c>
      <c r="H1156" s="65" t="s">
        <v>731</v>
      </c>
      <c r="I1156" s="86" t="s">
        <v>789</v>
      </c>
      <c r="J1156" s="343">
        <v>46.9</v>
      </c>
      <c r="K1156" s="351">
        <f t="shared" si="92"/>
        <v>255</v>
      </c>
      <c r="L1156" s="484">
        <v>255</v>
      </c>
      <c r="M1156" s="448" t="str">
        <f>IF(L1156="nio","",VLOOKUP(L1156,'3-Productie normen'!$B$31:$H$45,3,FALSE))</f>
        <v>5 x per week (52 weken)</v>
      </c>
      <c r="N1156" s="353" t="e">
        <f t="shared" si="91"/>
        <v>#DIV/0!</v>
      </c>
      <c r="O1156" s="354">
        <f>IF(L1156="nio",0,IF(L1156&gt;0,VLOOKUP(H1156,'3-Productie normen'!A:P,VLOOKUP(L1156,'3-Productie normen'!$B$31:$C$45,2,FALSE),FALSE)))/VLOOKUP(B1156,'2-Kosten per locatie'!$A$13:$D$36,4,FALSE)</f>
        <v>0</v>
      </c>
      <c r="P1156" s="82" t="str">
        <f>VLOOKUP(H1156,'3-Productie normen'!A:T,20,FALSE)</f>
        <v>V</v>
      </c>
      <c r="Q1156" s="447"/>
      <c r="S1156" s="356">
        <f t="shared" si="93"/>
        <v>11959.5</v>
      </c>
    </row>
    <row r="1157" spans="1:19" ht="14.1" customHeight="1">
      <c r="A1157" s="72">
        <f t="shared" si="90"/>
        <v>1157</v>
      </c>
      <c r="B1157" s="50" t="s">
        <v>820</v>
      </c>
      <c r="C1157" s="50" t="s">
        <v>839</v>
      </c>
      <c r="D1157" s="427" t="s">
        <v>1034</v>
      </c>
      <c r="E1157" s="426" t="s">
        <v>612</v>
      </c>
      <c r="F1157" s="349" t="s">
        <v>230</v>
      </c>
      <c r="G1157" s="86" t="s">
        <v>404</v>
      </c>
      <c r="H1157" s="65" t="s">
        <v>731</v>
      </c>
      <c r="I1157" s="86" t="s">
        <v>789</v>
      </c>
      <c r="J1157" s="343">
        <v>4.5</v>
      </c>
      <c r="K1157" s="351">
        <f t="shared" si="92"/>
        <v>255</v>
      </c>
      <c r="L1157" s="484">
        <v>255</v>
      </c>
      <c r="M1157" s="448" t="str">
        <f>IF(L1157="nio","",VLOOKUP(L1157,'3-Productie normen'!$B$31:$H$45,3,FALSE))</f>
        <v>5 x per week (52 weken)</v>
      </c>
      <c r="N1157" s="353" t="e">
        <f t="shared" si="91"/>
        <v>#DIV/0!</v>
      </c>
      <c r="O1157" s="354">
        <f>IF(L1157="nio",0,IF(L1157&gt;0,VLOOKUP(H1157,'3-Productie normen'!A:P,VLOOKUP(L1157,'3-Productie normen'!$B$31:$C$45,2,FALSE),FALSE)))/VLOOKUP(B1157,'2-Kosten per locatie'!$A$13:$D$36,4,FALSE)</f>
        <v>0</v>
      </c>
      <c r="P1157" s="82" t="str">
        <f>VLOOKUP(H1157,'3-Productie normen'!A:T,20,FALSE)</f>
        <v>V</v>
      </c>
      <c r="Q1157" s="447"/>
      <c r="S1157" s="356">
        <f t="shared" si="93"/>
        <v>1147.5</v>
      </c>
    </row>
    <row r="1158" spans="1:19" ht="14.1" customHeight="1">
      <c r="A1158" s="72">
        <f t="shared" si="90"/>
        <v>1158</v>
      </c>
      <c r="B1158" s="50" t="s">
        <v>820</v>
      </c>
      <c r="C1158" s="50" t="s">
        <v>839</v>
      </c>
      <c r="D1158" s="427" t="s">
        <v>1034</v>
      </c>
      <c r="E1158" s="426" t="s">
        <v>612</v>
      </c>
      <c r="F1158" s="349" t="s">
        <v>233</v>
      </c>
      <c r="G1158" s="86" t="s">
        <v>404</v>
      </c>
      <c r="H1158" s="65" t="s">
        <v>731</v>
      </c>
      <c r="I1158" s="86" t="s">
        <v>789</v>
      </c>
      <c r="J1158" s="343">
        <v>4.5</v>
      </c>
      <c r="K1158" s="351">
        <f t="shared" si="92"/>
        <v>255</v>
      </c>
      <c r="L1158" s="484">
        <v>255</v>
      </c>
      <c r="M1158" s="448" t="str">
        <f>IF(L1158="nio","",VLOOKUP(L1158,'3-Productie normen'!$B$31:$H$45,3,FALSE))</f>
        <v>5 x per week (52 weken)</v>
      </c>
      <c r="N1158" s="353" t="e">
        <f t="shared" si="91"/>
        <v>#DIV/0!</v>
      </c>
      <c r="O1158" s="354">
        <f>IF(L1158="nio",0,IF(L1158&gt;0,VLOOKUP(H1158,'3-Productie normen'!A:P,VLOOKUP(L1158,'3-Productie normen'!$B$31:$C$45,2,FALSE),FALSE)))/VLOOKUP(B1158,'2-Kosten per locatie'!$A$13:$D$36,4,FALSE)</f>
        <v>0</v>
      </c>
      <c r="P1158" s="82" t="str">
        <f>VLOOKUP(H1158,'3-Productie normen'!A:T,20,FALSE)</f>
        <v>V</v>
      </c>
      <c r="Q1158" s="447"/>
      <c r="S1158" s="356">
        <f t="shared" si="93"/>
        <v>1147.5</v>
      </c>
    </row>
    <row r="1159" spans="1:19" ht="14.1" customHeight="1">
      <c r="A1159" s="72">
        <f t="shared" si="90"/>
        <v>1159</v>
      </c>
      <c r="B1159" s="50" t="s">
        <v>820</v>
      </c>
      <c r="C1159" s="50" t="s">
        <v>839</v>
      </c>
      <c r="D1159" s="427" t="s">
        <v>1034</v>
      </c>
      <c r="E1159" s="426" t="s">
        <v>612</v>
      </c>
      <c r="F1159" s="349" t="s">
        <v>234</v>
      </c>
      <c r="G1159" s="86" t="s">
        <v>212</v>
      </c>
      <c r="H1159" s="65" t="s">
        <v>1053</v>
      </c>
      <c r="I1159" s="86" t="s">
        <v>92</v>
      </c>
      <c r="J1159" s="343">
        <v>5.5</v>
      </c>
      <c r="K1159" s="351" t="str">
        <f t="shared" si="92"/>
        <v>nio</v>
      </c>
      <c r="L1159" s="484" t="s">
        <v>804</v>
      </c>
      <c r="M1159" s="448" t="str">
        <f>IF(L1159="nio","",VLOOKUP(L1159,'3-Productie normen'!$B$31:$H$45,3,FALSE))</f>
        <v/>
      </c>
      <c r="N1159" s="353">
        <f t="shared" si="91"/>
        <v>0</v>
      </c>
      <c r="O1159" s="354">
        <f>IF(L1159="nio",0,IF(L1159&gt;0,VLOOKUP(H1159,'3-Productie normen'!A:P,VLOOKUP(L1159,'3-Productie normen'!$B$31:$C$45,2,FALSE),FALSE)))/VLOOKUP(B1159,'2-Kosten per locatie'!$A$13:$D$36,4,FALSE)</f>
        <v>0</v>
      </c>
      <c r="P1159" s="82">
        <f>VLOOKUP(H1159,'3-Productie normen'!A:T,20,FALSE)</f>
        <v>0</v>
      </c>
      <c r="Q1159" s="447"/>
      <c r="S1159" s="356">
        <f t="shared" si="93"/>
        <v>0</v>
      </c>
    </row>
    <row r="1160" spans="1:19" ht="14.1" customHeight="1">
      <c r="A1160" s="72">
        <f t="shared" si="90"/>
        <v>1160</v>
      </c>
      <c r="B1160" s="50" t="s">
        <v>820</v>
      </c>
      <c r="C1160" s="50" t="s">
        <v>839</v>
      </c>
      <c r="D1160" s="427" t="s">
        <v>1034</v>
      </c>
      <c r="E1160" s="426" t="s">
        <v>275</v>
      </c>
      <c r="F1160" s="349" t="s">
        <v>276</v>
      </c>
      <c r="G1160" s="86" t="s">
        <v>1131</v>
      </c>
      <c r="H1160" s="65" t="s">
        <v>731</v>
      </c>
      <c r="I1160" s="86" t="s">
        <v>789</v>
      </c>
      <c r="J1160" s="343">
        <v>56.41</v>
      </c>
      <c r="K1160" s="351">
        <f t="shared" si="92"/>
        <v>255</v>
      </c>
      <c r="L1160" s="484">
        <v>255</v>
      </c>
      <c r="M1160" s="448" t="str">
        <f>IF(L1160="nio","",VLOOKUP(L1160,'3-Productie normen'!$B$31:$H$45,3,FALSE))</f>
        <v>5 x per week (52 weken)</v>
      </c>
      <c r="N1160" s="353" t="e">
        <f t="shared" si="91"/>
        <v>#DIV/0!</v>
      </c>
      <c r="O1160" s="354">
        <f>IF(L1160="nio",0,IF(L1160&gt;0,VLOOKUP(H1160,'3-Productie normen'!A:P,VLOOKUP(L1160,'3-Productie normen'!$B$31:$C$45,2,FALSE),FALSE)))/VLOOKUP(B1160,'2-Kosten per locatie'!$A$13:$D$36,4,FALSE)</f>
        <v>0</v>
      </c>
      <c r="P1160" s="82" t="str">
        <f>VLOOKUP(H1160,'3-Productie normen'!A:T,20,FALSE)</f>
        <v>V</v>
      </c>
      <c r="Q1160" s="447" t="s">
        <v>1021</v>
      </c>
      <c r="S1160" s="356">
        <f t="shared" si="93"/>
        <v>14384.55</v>
      </c>
    </row>
    <row r="1161" spans="1:19" ht="14.1" customHeight="1">
      <c r="A1161" s="72">
        <f t="shared" si="90"/>
        <v>1161</v>
      </c>
      <c r="B1161" s="50" t="s">
        <v>820</v>
      </c>
      <c r="C1161" s="50" t="s">
        <v>839</v>
      </c>
      <c r="D1161" s="427" t="s">
        <v>1034</v>
      </c>
      <c r="E1161" s="426" t="s">
        <v>275</v>
      </c>
      <c r="F1161" s="349" t="s">
        <v>278</v>
      </c>
      <c r="G1161" s="86" t="s">
        <v>1131</v>
      </c>
      <c r="H1161" s="65" t="s">
        <v>731</v>
      </c>
      <c r="I1161" s="86" t="s">
        <v>789</v>
      </c>
      <c r="J1161" s="343">
        <v>56.41</v>
      </c>
      <c r="K1161" s="351">
        <f t="shared" si="92"/>
        <v>255</v>
      </c>
      <c r="L1161" s="484">
        <v>255</v>
      </c>
      <c r="M1161" s="448" t="str">
        <f>IF(L1161="nio","",VLOOKUP(L1161,'3-Productie normen'!$B$31:$H$45,3,FALSE))</f>
        <v>5 x per week (52 weken)</v>
      </c>
      <c r="N1161" s="353" t="e">
        <f t="shared" si="91"/>
        <v>#DIV/0!</v>
      </c>
      <c r="O1161" s="354">
        <f>IF(L1161="nio",0,IF(L1161&gt;0,VLOOKUP(H1161,'3-Productie normen'!A:P,VLOOKUP(L1161,'3-Productie normen'!$B$31:$C$45,2,FALSE),FALSE)))/VLOOKUP(B1161,'2-Kosten per locatie'!$A$13:$D$36,4,FALSE)</f>
        <v>0</v>
      </c>
      <c r="P1161" s="82" t="str">
        <f>VLOOKUP(H1161,'3-Productie normen'!A:T,20,FALSE)</f>
        <v>V</v>
      </c>
      <c r="Q1161" s="447" t="s">
        <v>1021</v>
      </c>
      <c r="S1161" s="356">
        <f t="shared" si="93"/>
        <v>14384.55</v>
      </c>
    </row>
    <row r="1162" spans="1:19" ht="14.1" customHeight="1">
      <c r="A1162" s="72">
        <f t="shared" si="90"/>
        <v>1162</v>
      </c>
      <c r="B1162" s="50" t="s">
        <v>820</v>
      </c>
      <c r="C1162" s="50" t="s">
        <v>839</v>
      </c>
      <c r="D1162" s="427" t="s">
        <v>1034</v>
      </c>
      <c r="E1162" s="426" t="s">
        <v>275</v>
      </c>
      <c r="F1162" s="349" t="s">
        <v>280</v>
      </c>
      <c r="G1162" s="86" t="s">
        <v>712</v>
      </c>
      <c r="H1162" s="86" t="s">
        <v>16</v>
      </c>
      <c r="I1162" s="86" t="s">
        <v>789</v>
      </c>
      <c r="J1162" s="343">
        <v>5.31</v>
      </c>
      <c r="K1162" s="351">
        <f t="shared" si="92"/>
        <v>255</v>
      </c>
      <c r="L1162" s="484">
        <v>255</v>
      </c>
      <c r="M1162" s="448" t="str">
        <f>IF(L1162="nio","",VLOOKUP(L1162,'3-Productie normen'!$B$31:$H$45,3,FALSE))</f>
        <v>5 x per week (52 weken)</v>
      </c>
      <c r="N1162" s="353" t="e">
        <f t="shared" si="91"/>
        <v>#DIV/0!</v>
      </c>
      <c r="O1162" s="354">
        <f>IF(L1162="nio",0,IF(L1162&gt;0,VLOOKUP(H1162,'3-Productie normen'!A:P,VLOOKUP(L1162,'3-Productie normen'!$B$31:$C$45,2,FALSE),FALSE)))/VLOOKUP(B1162,'2-Kosten per locatie'!$A$13:$D$36,4,FALSE)</f>
        <v>0</v>
      </c>
      <c r="P1162" s="82" t="str">
        <f>VLOOKUP(H1162,'3-Productie normen'!A:T,20,FALSE)</f>
        <v>S</v>
      </c>
      <c r="Q1162" s="447"/>
      <c r="S1162" s="356">
        <f t="shared" si="93"/>
        <v>1354.05</v>
      </c>
    </row>
    <row r="1163" spans="1:19" ht="14.1" customHeight="1">
      <c r="A1163" s="72">
        <f t="shared" ref="A1163:A1226" si="94">A1162+1</f>
        <v>1163</v>
      </c>
      <c r="B1163" s="50" t="s">
        <v>820</v>
      </c>
      <c r="C1163" s="50" t="s">
        <v>839</v>
      </c>
      <c r="D1163" s="427" t="s">
        <v>1034</v>
      </c>
      <c r="E1163" s="426" t="s">
        <v>275</v>
      </c>
      <c r="F1163" s="349" t="s">
        <v>282</v>
      </c>
      <c r="G1163" s="86" t="s">
        <v>712</v>
      </c>
      <c r="H1163" s="86" t="s">
        <v>16</v>
      </c>
      <c r="I1163" s="86" t="s">
        <v>789</v>
      </c>
      <c r="J1163" s="343">
        <v>5.31</v>
      </c>
      <c r="K1163" s="351">
        <f t="shared" si="92"/>
        <v>255</v>
      </c>
      <c r="L1163" s="484">
        <v>255</v>
      </c>
      <c r="M1163" s="448" t="str">
        <f>IF(L1163="nio","",VLOOKUP(L1163,'3-Productie normen'!$B$31:$H$45,3,FALSE))</f>
        <v>5 x per week (52 weken)</v>
      </c>
      <c r="N1163" s="353" t="e">
        <f t="shared" si="91"/>
        <v>#DIV/0!</v>
      </c>
      <c r="O1163" s="354">
        <f>IF(L1163="nio",0,IF(L1163&gt;0,VLOOKUP(H1163,'3-Productie normen'!A:P,VLOOKUP(L1163,'3-Productie normen'!$B$31:$C$45,2,FALSE),FALSE)))/VLOOKUP(B1163,'2-Kosten per locatie'!$A$13:$D$36,4,FALSE)</f>
        <v>0</v>
      </c>
      <c r="P1163" s="82" t="str">
        <f>VLOOKUP(H1163,'3-Productie normen'!A:T,20,FALSE)</f>
        <v>S</v>
      </c>
      <c r="Q1163" s="447"/>
      <c r="S1163" s="356">
        <f t="shared" si="93"/>
        <v>1354.05</v>
      </c>
    </row>
    <row r="1164" spans="1:19" ht="14.1" customHeight="1">
      <c r="A1164" s="72">
        <f t="shared" si="94"/>
        <v>1164</v>
      </c>
      <c r="B1164" s="50" t="s">
        <v>820</v>
      </c>
      <c r="C1164" s="50" t="s">
        <v>839</v>
      </c>
      <c r="D1164" s="427" t="s">
        <v>1034</v>
      </c>
      <c r="E1164" s="426" t="s">
        <v>275</v>
      </c>
      <c r="F1164" s="349" t="s">
        <v>284</v>
      </c>
      <c r="G1164" s="86" t="s">
        <v>226</v>
      </c>
      <c r="H1164" s="86" t="s">
        <v>16</v>
      </c>
      <c r="I1164" s="86" t="s">
        <v>781</v>
      </c>
      <c r="J1164" s="343">
        <v>6.19</v>
      </c>
      <c r="K1164" s="351">
        <f t="shared" si="92"/>
        <v>255</v>
      </c>
      <c r="L1164" s="484">
        <v>255</v>
      </c>
      <c r="M1164" s="448" t="str">
        <f>IF(L1164="nio","",VLOOKUP(L1164,'3-Productie normen'!$B$31:$H$45,3,FALSE))</f>
        <v>5 x per week (52 weken)</v>
      </c>
      <c r="N1164" s="353" t="e">
        <f t="shared" si="91"/>
        <v>#DIV/0!</v>
      </c>
      <c r="O1164" s="354">
        <f>IF(L1164="nio",0,IF(L1164&gt;0,VLOOKUP(H1164,'3-Productie normen'!A:P,VLOOKUP(L1164,'3-Productie normen'!$B$31:$C$45,2,FALSE),FALSE)))/VLOOKUP(B1164,'2-Kosten per locatie'!$A$13:$D$36,4,FALSE)</f>
        <v>0</v>
      </c>
      <c r="P1164" s="82" t="str">
        <f>VLOOKUP(H1164,'3-Productie normen'!A:T,20,FALSE)</f>
        <v>S</v>
      </c>
      <c r="Q1164" s="447"/>
      <c r="S1164" s="356">
        <f t="shared" si="93"/>
        <v>1578.45</v>
      </c>
    </row>
    <row r="1165" spans="1:19" ht="14.1" customHeight="1">
      <c r="A1165" s="72">
        <f t="shared" si="94"/>
        <v>1165</v>
      </c>
      <c r="B1165" s="50" t="s">
        <v>820</v>
      </c>
      <c r="C1165" s="50" t="s">
        <v>839</v>
      </c>
      <c r="D1165" s="427" t="s">
        <v>1034</v>
      </c>
      <c r="E1165" s="426" t="s">
        <v>275</v>
      </c>
      <c r="F1165" s="349" t="s">
        <v>285</v>
      </c>
      <c r="G1165" s="86" t="s">
        <v>226</v>
      </c>
      <c r="H1165" s="86" t="s">
        <v>16</v>
      </c>
      <c r="I1165" s="86" t="s">
        <v>781</v>
      </c>
      <c r="J1165" s="343">
        <v>6.15</v>
      </c>
      <c r="K1165" s="351">
        <f t="shared" si="92"/>
        <v>255</v>
      </c>
      <c r="L1165" s="484">
        <v>255</v>
      </c>
      <c r="M1165" s="448" t="str">
        <f>IF(L1165="nio","",VLOOKUP(L1165,'3-Productie normen'!$B$31:$H$45,3,FALSE))</f>
        <v>5 x per week (52 weken)</v>
      </c>
      <c r="N1165" s="353" t="e">
        <f t="shared" si="91"/>
        <v>#DIV/0!</v>
      </c>
      <c r="O1165" s="354">
        <f>IF(L1165="nio",0,IF(L1165&gt;0,VLOOKUP(H1165,'3-Productie normen'!A:P,VLOOKUP(L1165,'3-Productie normen'!$B$31:$C$45,2,FALSE),FALSE)))/VLOOKUP(B1165,'2-Kosten per locatie'!$A$13:$D$36,4,FALSE)</f>
        <v>0</v>
      </c>
      <c r="P1165" s="82" t="str">
        <f>VLOOKUP(H1165,'3-Productie normen'!A:T,20,FALSE)</f>
        <v>S</v>
      </c>
      <c r="Q1165" s="447"/>
      <c r="S1165" s="356">
        <f t="shared" si="93"/>
        <v>1568.25</v>
      </c>
    </row>
    <row r="1166" spans="1:19" ht="14.1" customHeight="1">
      <c r="A1166" s="72">
        <f t="shared" si="94"/>
        <v>1166</v>
      </c>
      <c r="B1166" s="50" t="s">
        <v>820</v>
      </c>
      <c r="C1166" s="50" t="s">
        <v>839</v>
      </c>
      <c r="D1166" s="427" t="s">
        <v>1034</v>
      </c>
      <c r="E1166" s="426" t="s">
        <v>275</v>
      </c>
      <c r="F1166" s="349" t="s">
        <v>286</v>
      </c>
      <c r="G1166" s="86" t="s">
        <v>201</v>
      </c>
      <c r="H1166" s="63" t="s">
        <v>1040</v>
      </c>
      <c r="I1166" s="86" t="s">
        <v>802</v>
      </c>
      <c r="J1166" s="343">
        <v>10.17</v>
      </c>
      <c r="K1166" s="351">
        <f t="shared" si="92"/>
        <v>12</v>
      </c>
      <c r="L1166" s="484">
        <v>12</v>
      </c>
      <c r="M1166" s="448" t="str">
        <f>IF(L1166="nio","",VLOOKUP(L1166,'3-Productie normen'!$B$31:$H$45,3,FALSE))</f>
        <v>1 x per maand</v>
      </c>
      <c r="N1166" s="353" t="e">
        <f t="shared" si="91"/>
        <v>#DIV/0!</v>
      </c>
      <c r="O1166" s="354">
        <f>IF(L1166="nio",0,IF(L1166&gt;0,VLOOKUP(H1166,'3-Productie normen'!A:P,VLOOKUP(L1166,'3-Productie normen'!$B$31:$C$45,2,FALSE),FALSE)))/VLOOKUP(B1166,'2-Kosten per locatie'!$A$13:$D$36,4,FALSE)</f>
        <v>0</v>
      </c>
      <c r="P1166" s="82" t="str">
        <f>VLOOKUP(H1166,'3-Productie normen'!A:T,20,FALSE)</f>
        <v>V</v>
      </c>
      <c r="Q1166" s="447" t="s">
        <v>1022</v>
      </c>
      <c r="S1166" s="356">
        <f t="shared" si="93"/>
        <v>122.03999999999999</v>
      </c>
    </row>
    <row r="1167" spans="1:19" ht="14.1" customHeight="1">
      <c r="A1167" s="72">
        <f t="shared" si="94"/>
        <v>1167</v>
      </c>
      <c r="B1167" s="50" t="s">
        <v>820</v>
      </c>
      <c r="C1167" s="50" t="s">
        <v>839</v>
      </c>
      <c r="D1167" s="427" t="s">
        <v>1034</v>
      </c>
      <c r="E1167" s="426" t="s">
        <v>275</v>
      </c>
      <c r="F1167" s="349" t="s">
        <v>287</v>
      </c>
      <c r="G1167" s="86" t="s">
        <v>328</v>
      </c>
      <c r="H1167" s="65" t="s">
        <v>731</v>
      </c>
      <c r="I1167" s="86" t="s">
        <v>789</v>
      </c>
      <c r="J1167" s="343">
        <v>10.84</v>
      </c>
      <c r="K1167" s="351">
        <f t="shared" si="92"/>
        <v>255</v>
      </c>
      <c r="L1167" s="484">
        <v>255</v>
      </c>
      <c r="M1167" s="448" t="str">
        <f>IF(L1167="nio","",VLOOKUP(L1167,'3-Productie normen'!$B$31:$H$45,3,FALSE))</f>
        <v>5 x per week (52 weken)</v>
      </c>
      <c r="N1167" s="353" t="e">
        <f t="shared" si="91"/>
        <v>#DIV/0!</v>
      </c>
      <c r="O1167" s="354">
        <f>IF(L1167="nio",0,IF(L1167&gt;0,VLOOKUP(H1167,'3-Productie normen'!A:P,VLOOKUP(L1167,'3-Productie normen'!$B$31:$C$45,2,FALSE),FALSE)))/VLOOKUP(B1167,'2-Kosten per locatie'!$A$13:$D$36,4,FALSE)</f>
        <v>0</v>
      </c>
      <c r="P1167" s="82" t="str">
        <f>VLOOKUP(H1167,'3-Productie normen'!A:T,20,FALSE)</f>
        <v>V</v>
      </c>
      <c r="Q1167" s="447" t="s">
        <v>1023</v>
      </c>
      <c r="S1167" s="356">
        <f t="shared" si="93"/>
        <v>2764.2</v>
      </c>
    </row>
    <row r="1168" spans="1:19" ht="14.1" customHeight="1">
      <c r="A1168" s="72">
        <f t="shared" si="94"/>
        <v>1168</v>
      </c>
      <c r="B1168" s="50" t="s">
        <v>820</v>
      </c>
      <c r="C1168" s="50" t="s">
        <v>839</v>
      </c>
      <c r="D1168" s="427" t="s">
        <v>1034</v>
      </c>
      <c r="E1168" s="426" t="s">
        <v>275</v>
      </c>
      <c r="F1168" s="349" t="s">
        <v>288</v>
      </c>
      <c r="G1168" s="86" t="s">
        <v>209</v>
      </c>
      <c r="H1168" s="65" t="s">
        <v>1053</v>
      </c>
      <c r="I1168" s="86" t="s">
        <v>92</v>
      </c>
      <c r="J1168" s="343">
        <v>6.04</v>
      </c>
      <c r="K1168" s="351" t="str">
        <f t="shared" si="92"/>
        <v>nio</v>
      </c>
      <c r="L1168" s="484" t="s">
        <v>804</v>
      </c>
      <c r="M1168" s="448" t="str">
        <f>IF(L1168="nio","",VLOOKUP(L1168,'3-Productie normen'!$B$31:$H$45,3,FALSE))</f>
        <v/>
      </c>
      <c r="N1168" s="353">
        <f t="shared" si="91"/>
        <v>0</v>
      </c>
      <c r="O1168" s="354">
        <f>IF(L1168="nio",0,IF(L1168&gt;0,VLOOKUP(H1168,'3-Productie normen'!A:P,VLOOKUP(L1168,'3-Productie normen'!$B$31:$C$45,2,FALSE),FALSE)))/VLOOKUP(B1168,'2-Kosten per locatie'!$A$13:$D$36,4,FALSE)</f>
        <v>0</v>
      </c>
      <c r="P1168" s="82">
        <f>VLOOKUP(H1168,'3-Productie normen'!A:T,20,FALSE)</f>
        <v>0</v>
      </c>
      <c r="Q1168" s="447"/>
      <c r="S1168" s="356">
        <f t="shared" si="93"/>
        <v>0</v>
      </c>
    </row>
    <row r="1169" spans="1:19" ht="14.1" customHeight="1">
      <c r="A1169" s="72">
        <f t="shared" si="94"/>
        <v>1169</v>
      </c>
      <c r="B1169" s="50" t="s">
        <v>820</v>
      </c>
      <c r="C1169" s="50" t="s">
        <v>839</v>
      </c>
      <c r="D1169" s="427" t="s">
        <v>1034</v>
      </c>
      <c r="E1169" s="426" t="s">
        <v>275</v>
      </c>
      <c r="F1169" s="349" t="s">
        <v>289</v>
      </c>
      <c r="G1169" s="86" t="s">
        <v>328</v>
      </c>
      <c r="H1169" s="65" t="s">
        <v>731</v>
      </c>
      <c r="I1169" s="86" t="s">
        <v>789</v>
      </c>
      <c r="J1169" s="343">
        <v>14.63</v>
      </c>
      <c r="K1169" s="351">
        <f t="shared" si="92"/>
        <v>255</v>
      </c>
      <c r="L1169" s="484">
        <v>255</v>
      </c>
      <c r="M1169" s="448" t="str">
        <f>IF(L1169="nio","",VLOOKUP(L1169,'3-Productie normen'!$B$31:$H$45,3,FALSE))</f>
        <v>5 x per week (52 weken)</v>
      </c>
      <c r="N1169" s="353" t="e">
        <f t="shared" si="91"/>
        <v>#DIV/0!</v>
      </c>
      <c r="O1169" s="354">
        <f>IF(L1169="nio",0,IF(L1169&gt;0,VLOOKUP(H1169,'3-Productie normen'!A:P,VLOOKUP(L1169,'3-Productie normen'!$B$31:$C$45,2,FALSE),FALSE)))/VLOOKUP(B1169,'2-Kosten per locatie'!$A$13:$D$36,4,FALSE)</f>
        <v>0</v>
      </c>
      <c r="P1169" s="82" t="str">
        <f>VLOOKUP(H1169,'3-Productie normen'!A:T,20,FALSE)</f>
        <v>V</v>
      </c>
      <c r="Q1169" s="447" t="s">
        <v>1024</v>
      </c>
      <c r="S1169" s="356">
        <f t="shared" si="93"/>
        <v>3730.65</v>
      </c>
    </row>
    <row r="1170" spans="1:19" ht="14.1" customHeight="1">
      <c r="A1170" s="72">
        <f t="shared" si="94"/>
        <v>1170</v>
      </c>
      <c r="B1170" s="50" t="s">
        <v>820</v>
      </c>
      <c r="C1170" s="50" t="s">
        <v>839</v>
      </c>
      <c r="D1170" s="427" t="s">
        <v>1034</v>
      </c>
      <c r="E1170" s="426" t="s">
        <v>275</v>
      </c>
      <c r="F1170" s="349" t="s">
        <v>290</v>
      </c>
      <c r="G1170" s="86" t="s">
        <v>201</v>
      </c>
      <c r="H1170" s="432" t="s">
        <v>198</v>
      </c>
      <c r="I1170" s="86" t="s">
        <v>789</v>
      </c>
      <c r="J1170" s="343">
        <v>19.13</v>
      </c>
      <c r="K1170" s="351">
        <f t="shared" si="92"/>
        <v>255</v>
      </c>
      <c r="L1170" s="484">
        <v>255</v>
      </c>
      <c r="M1170" s="448" t="str">
        <f>IF(L1170="nio","",VLOOKUP(L1170,'3-Productie normen'!$B$31:$H$45,3,FALSE))</f>
        <v>5 x per week (52 weken)</v>
      </c>
      <c r="N1170" s="353" t="e">
        <f t="shared" si="91"/>
        <v>#DIV/0!</v>
      </c>
      <c r="O1170" s="354">
        <f>IF(L1170="nio",0,IF(L1170&gt;0,VLOOKUP(H1170,'3-Productie normen'!A:P,VLOOKUP(L1170,'3-Productie normen'!$B$31:$C$45,2,FALSE),FALSE)))/VLOOKUP(B1170,'2-Kosten per locatie'!$A$13:$D$36,4,FALSE)</f>
        <v>0</v>
      </c>
      <c r="P1170" s="82" t="str">
        <f>VLOOKUP(H1170,'3-Productie normen'!A:T,20,FALSE)</f>
        <v>V</v>
      </c>
      <c r="Q1170" s="447"/>
      <c r="S1170" s="356">
        <f t="shared" si="93"/>
        <v>4878.1499999999996</v>
      </c>
    </row>
    <row r="1171" spans="1:19" ht="14.1" customHeight="1">
      <c r="A1171" s="72">
        <f t="shared" si="94"/>
        <v>1171</v>
      </c>
      <c r="B1171" s="50" t="s">
        <v>821</v>
      </c>
      <c r="C1171" s="50" t="s">
        <v>840</v>
      </c>
      <c r="D1171" s="427" t="s">
        <v>1034</v>
      </c>
      <c r="E1171" s="426" t="s">
        <v>612</v>
      </c>
      <c r="F1171" s="349" t="s">
        <v>736</v>
      </c>
      <c r="G1171" s="86" t="s">
        <v>89</v>
      </c>
      <c r="H1171" s="432" t="s">
        <v>198</v>
      </c>
      <c r="I1171" s="86" t="s">
        <v>784</v>
      </c>
      <c r="J1171" s="343">
        <v>6.6</v>
      </c>
      <c r="K1171" s="351">
        <f t="shared" ref="K1171:K1183" si="95">L1171</f>
        <v>255</v>
      </c>
      <c r="L1171" s="484">
        <v>255</v>
      </c>
      <c r="M1171" s="448" t="str">
        <f>IF(L1171="nio","",VLOOKUP(L1171,'3-Productie normen'!$B$31:$H$45,3,FALSE))</f>
        <v>5 x per week (52 weken)</v>
      </c>
      <c r="N1171" s="353" t="e">
        <f t="shared" ref="N1171:N1177" si="96">IF(L1171="nio",0,IF(L1171&gt;0,L1171*J1171/O1171,0))</f>
        <v>#DIV/0!</v>
      </c>
      <c r="O1171" s="354">
        <f>IF(L1171="nio",0,IF(L1171&gt;0,VLOOKUP(H1171,'3-Productie normen'!A:P,VLOOKUP(L1171,'3-Productie normen'!$B$31:$C$45,2,FALSE),FALSE)))/VLOOKUP(B1171,'2-Kosten per locatie'!$A$13:$D$36,4,FALSE)</f>
        <v>0</v>
      </c>
      <c r="P1171" s="82" t="str">
        <f>VLOOKUP(H1171,'3-Productie normen'!A:T,20,FALSE)</f>
        <v>V</v>
      </c>
      <c r="Q1171" s="447"/>
      <c r="S1171" s="356">
        <f t="shared" ref="S1171:S1201" si="97">IF(L1171="nio",0,K1171*J1171)</f>
        <v>1683</v>
      </c>
    </row>
    <row r="1172" spans="1:19" ht="14.1" customHeight="1">
      <c r="A1172" s="72">
        <f t="shared" si="94"/>
        <v>1172</v>
      </c>
      <c r="B1172" s="50" t="s">
        <v>821</v>
      </c>
      <c r="C1172" s="50" t="s">
        <v>840</v>
      </c>
      <c r="D1172" s="427" t="s">
        <v>1034</v>
      </c>
      <c r="E1172" s="426" t="s">
        <v>612</v>
      </c>
      <c r="F1172" s="349" t="s">
        <v>767</v>
      </c>
      <c r="G1172" s="86" t="s">
        <v>89</v>
      </c>
      <c r="H1172" s="432" t="s">
        <v>198</v>
      </c>
      <c r="I1172" s="86" t="s">
        <v>784</v>
      </c>
      <c r="J1172" s="343">
        <v>4.3259999999999996</v>
      </c>
      <c r="K1172" s="351">
        <f t="shared" si="95"/>
        <v>255</v>
      </c>
      <c r="L1172" s="484">
        <v>255</v>
      </c>
      <c r="M1172" s="448" t="str">
        <f>IF(L1172="nio","",VLOOKUP(L1172,'3-Productie normen'!$B$31:$H$45,3,FALSE))</f>
        <v>5 x per week (52 weken)</v>
      </c>
      <c r="N1172" s="353" t="e">
        <f t="shared" si="96"/>
        <v>#DIV/0!</v>
      </c>
      <c r="O1172" s="354">
        <f>IF(L1172="nio",0,IF(L1172&gt;0,VLOOKUP(H1172,'3-Productie normen'!A:P,VLOOKUP(L1172,'3-Productie normen'!$B$31:$C$45,2,FALSE),FALSE)))/VLOOKUP(B1172,'2-Kosten per locatie'!$A$13:$D$36,4,FALSE)</f>
        <v>0</v>
      </c>
      <c r="P1172" s="82" t="str">
        <f>VLOOKUP(H1172,'3-Productie normen'!A:T,20,FALSE)</f>
        <v>V</v>
      </c>
      <c r="Q1172" s="447"/>
      <c r="S1172" s="356">
        <f t="shared" si="97"/>
        <v>1103.1299999999999</v>
      </c>
    </row>
    <row r="1173" spans="1:19" ht="14.1" customHeight="1">
      <c r="A1173" s="72">
        <f t="shared" si="94"/>
        <v>1173</v>
      </c>
      <c r="B1173" s="50" t="s">
        <v>821</v>
      </c>
      <c r="C1173" s="50" t="s">
        <v>840</v>
      </c>
      <c r="D1173" s="427" t="s">
        <v>1034</v>
      </c>
      <c r="E1173" s="426" t="s">
        <v>612</v>
      </c>
      <c r="F1173" s="349" t="s">
        <v>737</v>
      </c>
      <c r="G1173" s="431" t="s">
        <v>733</v>
      </c>
      <c r="H1173" s="432" t="s">
        <v>198</v>
      </c>
      <c r="I1173" s="86" t="s">
        <v>789</v>
      </c>
      <c r="J1173" s="343">
        <v>63.9</v>
      </c>
      <c r="K1173" s="351">
        <f t="shared" si="95"/>
        <v>255</v>
      </c>
      <c r="L1173" s="484">
        <v>255</v>
      </c>
      <c r="M1173" s="448" t="str">
        <f>IF(L1173="nio","",VLOOKUP(L1173,'3-Productie normen'!$B$31:$H$45,3,FALSE))</f>
        <v>5 x per week (52 weken)</v>
      </c>
      <c r="N1173" s="353" t="e">
        <f t="shared" si="96"/>
        <v>#DIV/0!</v>
      </c>
      <c r="O1173" s="354">
        <f>IF(L1173="nio",0,IF(L1173&gt;0,VLOOKUP(H1173,'3-Productie normen'!A:P,VLOOKUP(L1173,'3-Productie normen'!$B$31:$C$45,2,FALSE),FALSE)))/VLOOKUP(B1173,'2-Kosten per locatie'!$A$13:$D$36,4,FALSE)</f>
        <v>0</v>
      </c>
      <c r="P1173" s="82" t="str">
        <f>VLOOKUP(H1173,'3-Productie normen'!A:T,20,FALSE)</f>
        <v>V</v>
      </c>
      <c r="Q1173" s="447" t="s">
        <v>1088</v>
      </c>
      <c r="S1173" s="356">
        <f t="shared" si="97"/>
        <v>16294.5</v>
      </c>
    </row>
    <row r="1174" spans="1:19" ht="14.1" customHeight="1">
      <c r="A1174" s="72">
        <f t="shared" si="94"/>
        <v>1174</v>
      </c>
      <c r="B1174" s="50" t="s">
        <v>821</v>
      </c>
      <c r="C1174" s="50" t="s">
        <v>840</v>
      </c>
      <c r="D1174" s="427" t="s">
        <v>1034</v>
      </c>
      <c r="E1174" s="426" t="s">
        <v>612</v>
      </c>
      <c r="F1174" s="349" t="s">
        <v>768</v>
      </c>
      <c r="G1174" s="86" t="s">
        <v>201</v>
      </c>
      <c r="H1174" s="432" t="s">
        <v>198</v>
      </c>
      <c r="I1174" s="86" t="s">
        <v>92</v>
      </c>
      <c r="J1174" s="343">
        <v>1.48</v>
      </c>
      <c r="K1174" s="351">
        <f t="shared" si="95"/>
        <v>255</v>
      </c>
      <c r="L1174" s="484">
        <v>255</v>
      </c>
      <c r="M1174" s="448" t="str">
        <f>IF(L1174="nio","",VLOOKUP(L1174,'3-Productie normen'!$B$31:$H$45,3,FALSE))</f>
        <v>5 x per week (52 weken)</v>
      </c>
      <c r="N1174" s="353" t="e">
        <f t="shared" si="96"/>
        <v>#DIV/0!</v>
      </c>
      <c r="O1174" s="354">
        <f>IF(L1174="nio",0,IF(L1174&gt;0,VLOOKUP(H1174,'3-Productie normen'!A:P,VLOOKUP(L1174,'3-Productie normen'!$B$31:$C$45,2,FALSE),FALSE)))/VLOOKUP(B1174,'2-Kosten per locatie'!$A$13:$D$36,4,FALSE)</f>
        <v>0</v>
      </c>
      <c r="P1174" s="82" t="str">
        <f>VLOOKUP(H1174,'3-Productie normen'!A:T,20,FALSE)</f>
        <v>V</v>
      </c>
      <c r="Q1174" s="447"/>
      <c r="S1174" s="356">
        <f t="shared" si="97"/>
        <v>377.4</v>
      </c>
    </row>
    <row r="1175" spans="1:19" ht="14.1" customHeight="1">
      <c r="A1175" s="72">
        <f t="shared" si="94"/>
        <v>1175</v>
      </c>
      <c r="B1175" s="50" t="s">
        <v>821</v>
      </c>
      <c r="C1175" s="50" t="s">
        <v>840</v>
      </c>
      <c r="D1175" s="427" t="s">
        <v>1034</v>
      </c>
      <c r="E1175" s="426" t="s">
        <v>612</v>
      </c>
      <c r="F1175" s="349" t="s">
        <v>769</v>
      </c>
      <c r="G1175" s="86" t="s">
        <v>732</v>
      </c>
      <c r="H1175" s="65" t="s">
        <v>1053</v>
      </c>
      <c r="I1175" s="86" t="s">
        <v>92</v>
      </c>
      <c r="J1175" s="343">
        <v>0</v>
      </c>
      <c r="K1175" s="351" t="str">
        <f t="shared" si="95"/>
        <v>nio</v>
      </c>
      <c r="L1175" s="484" t="s">
        <v>804</v>
      </c>
      <c r="M1175" s="448" t="str">
        <f>IF(L1175="nio","",VLOOKUP(L1175,'3-Productie normen'!$B$31:$H$45,3,FALSE))</f>
        <v/>
      </c>
      <c r="N1175" s="353">
        <f t="shared" si="96"/>
        <v>0</v>
      </c>
      <c r="O1175" s="354">
        <f>IF(L1175="nio",0,IF(L1175&gt;0,VLOOKUP(H1175,'3-Productie normen'!A:P,VLOOKUP(L1175,'3-Productie normen'!$B$31:$C$45,2,FALSE),FALSE)))/VLOOKUP(B1175,'2-Kosten per locatie'!$A$13:$D$36,4,FALSE)</f>
        <v>0</v>
      </c>
      <c r="P1175" s="82">
        <f>VLOOKUP(H1175,'3-Productie normen'!A:T,20,FALSE)</f>
        <v>0</v>
      </c>
      <c r="Q1175" s="447" t="s">
        <v>1025</v>
      </c>
      <c r="S1175" s="356">
        <f t="shared" si="97"/>
        <v>0</v>
      </c>
    </row>
    <row r="1176" spans="1:19" ht="14.1" customHeight="1">
      <c r="A1176" s="72">
        <f t="shared" si="94"/>
        <v>1176</v>
      </c>
      <c r="B1176" s="50" t="s">
        <v>821</v>
      </c>
      <c r="C1176" s="50" t="s">
        <v>840</v>
      </c>
      <c r="D1176" s="427" t="s">
        <v>1034</v>
      </c>
      <c r="E1176" s="426" t="s">
        <v>612</v>
      </c>
      <c r="F1176" s="349" t="s">
        <v>770</v>
      </c>
      <c r="G1176" s="86" t="s">
        <v>201</v>
      </c>
      <c r="H1176" s="432" t="s">
        <v>198</v>
      </c>
      <c r="I1176" s="86" t="s">
        <v>789</v>
      </c>
      <c r="J1176" s="343">
        <v>1</v>
      </c>
      <c r="K1176" s="351">
        <f t="shared" si="95"/>
        <v>255</v>
      </c>
      <c r="L1176" s="484">
        <v>255</v>
      </c>
      <c r="M1176" s="448" t="str">
        <f>IF(L1176="nio","",VLOOKUP(L1176,'3-Productie normen'!$B$31:$H$45,3,FALSE))</f>
        <v>5 x per week (52 weken)</v>
      </c>
      <c r="N1176" s="353" t="e">
        <f t="shared" si="96"/>
        <v>#DIV/0!</v>
      </c>
      <c r="O1176" s="354">
        <f>IF(L1176="nio",0,IF(L1176&gt;0,VLOOKUP(H1176,'3-Productie normen'!A:P,VLOOKUP(L1176,'3-Productie normen'!$B$31:$C$45,2,FALSE),FALSE)))/VLOOKUP(B1176,'2-Kosten per locatie'!$A$13:$D$36,4,FALSE)</f>
        <v>0</v>
      </c>
      <c r="P1176" s="82" t="str">
        <f>VLOOKUP(H1176,'3-Productie normen'!A:T,20,FALSE)</f>
        <v>V</v>
      </c>
      <c r="Q1176" s="447" t="s">
        <v>1026</v>
      </c>
      <c r="S1176" s="356">
        <f t="shared" si="97"/>
        <v>255</v>
      </c>
    </row>
    <row r="1177" spans="1:19" ht="14.1" customHeight="1">
      <c r="A1177" s="72">
        <f t="shared" si="94"/>
        <v>1177</v>
      </c>
      <c r="B1177" s="50" t="s">
        <v>821</v>
      </c>
      <c r="C1177" s="50" t="s">
        <v>840</v>
      </c>
      <c r="D1177" s="427" t="s">
        <v>1034</v>
      </c>
      <c r="E1177" s="426" t="s">
        <v>612</v>
      </c>
      <c r="F1177" s="349" t="s">
        <v>738</v>
      </c>
      <c r="G1177" s="86" t="s">
        <v>735</v>
      </c>
      <c r="H1177" s="65" t="s">
        <v>1053</v>
      </c>
      <c r="I1177" s="86" t="s">
        <v>92</v>
      </c>
      <c r="J1177" s="343">
        <v>1.9</v>
      </c>
      <c r="K1177" s="351" t="str">
        <f t="shared" si="95"/>
        <v>nio</v>
      </c>
      <c r="L1177" s="484" t="s">
        <v>804</v>
      </c>
      <c r="M1177" s="448" t="str">
        <f>IF(L1177="nio","",VLOOKUP(L1177,'3-Productie normen'!$B$31:$H$45,3,FALSE))</f>
        <v/>
      </c>
      <c r="N1177" s="353">
        <f t="shared" si="96"/>
        <v>0</v>
      </c>
      <c r="O1177" s="354">
        <f>IF(L1177="nio",0,IF(L1177&gt;0,VLOOKUP(H1177,'3-Productie normen'!A:P,VLOOKUP(L1177,'3-Productie normen'!$B$31:$C$45,2,FALSE),FALSE)))/VLOOKUP(B1177,'2-Kosten per locatie'!$A$13:$D$36,4,FALSE)</f>
        <v>0</v>
      </c>
      <c r="P1177" s="82">
        <f>VLOOKUP(H1177,'3-Productie normen'!A:T,20,FALSE)</f>
        <v>0</v>
      </c>
      <c r="Q1177" s="447" t="s">
        <v>1027</v>
      </c>
      <c r="S1177" s="356">
        <f t="shared" si="97"/>
        <v>0</v>
      </c>
    </row>
    <row r="1178" spans="1:19" ht="14.1" customHeight="1">
      <c r="A1178" s="72">
        <f t="shared" si="94"/>
        <v>1178</v>
      </c>
      <c r="B1178" s="50" t="s">
        <v>821</v>
      </c>
      <c r="C1178" s="50" t="s">
        <v>840</v>
      </c>
      <c r="D1178" s="427" t="s">
        <v>1034</v>
      </c>
      <c r="E1178" s="426" t="s">
        <v>612</v>
      </c>
      <c r="F1178" s="349" t="s">
        <v>739</v>
      </c>
      <c r="G1178" s="86" t="s">
        <v>256</v>
      </c>
      <c r="H1178" s="65" t="s">
        <v>731</v>
      </c>
      <c r="I1178" s="86" t="s">
        <v>789</v>
      </c>
      <c r="J1178" s="343">
        <v>51.2</v>
      </c>
      <c r="K1178" s="351">
        <f t="shared" si="95"/>
        <v>255</v>
      </c>
      <c r="L1178" s="484">
        <v>255</v>
      </c>
      <c r="M1178" s="448" t="str">
        <f>IF(L1178="nio","",VLOOKUP(L1178,'3-Productie normen'!$B$31:$H$45,3,FALSE))</f>
        <v>5 x per week (52 weken)</v>
      </c>
      <c r="N1178" s="353" t="e">
        <f t="shared" ref="N1178:N1241" si="98">IF(L1178="nio",0,IF(L1178&gt;0,L1178*J1178/O1178,0))</f>
        <v>#DIV/0!</v>
      </c>
      <c r="O1178" s="354">
        <f>IF(L1178="nio",0,IF(L1178&gt;0,VLOOKUP(H1178,'3-Productie normen'!A:P,VLOOKUP(L1178,'3-Productie normen'!$B$31:$C$45,2,FALSE),FALSE)))/VLOOKUP(B1178,'2-Kosten per locatie'!$A$13:$D$36,4,FALSE)</f>
        <v>0</v>
      </c>
      <c r="P1178" s="82" t="str">
        <f>VLOOKUP(H1178,'3-Productie normen'!A:T,20,FALSE)</f>
        <v>V</v>
      </c>
      <c r="Q1178" s="447"/>
      <c r="S1178" s="356">
        <f t="shared" si="97"/>
        <v>13056</v>
      </c>
    </row>
    <row r="1179" spans="1:19" ht="14.1" customHeight="1">
      <c r="A1179" s="72">
        <f t="shared" si="94"/>
        <v>1179</v>
      </c>
      <c r="B1179" s="50" t="s">
        <v>821</v>
      </c>
      <c r="C1179" s="50" t="s">
        <v>840</v>
      </c>
      <c r="D1179" s="427" t="s">
        <v>1034</v>
      </c>
      <c r="E1179" s="426" t="s">
        <v>612</v>
      </c>
      <c r="F1179" s="349" t="s">
        <v>739</v>
      </c>
      <c r="G1179" s="86" t="s">
        <v>256</v>
      </c>
      <c r="H1179" s="65" t="s">
        <v>731</v>
      </c>
      <c r="I1179" s="86" t="s">
        <v>180</v>
      </c>
      <c r="J1179" s="343">
        <v>1.5</v>
      </c>
      <c r="K1179" s="351">
        <f t="shared" si="95"/>
        <v>255</v>
      </c>
      <c r="L1179" s="484">
        <v>255</v>
      </c>
      <c r="M1179" s="448" t="str">
        <f>IF(L1179="nio","",VLOOKUP(L1179,'3-Productie normen'!$B$31:$H$45,3,FALSE))</f>
        <v>5 x per week (52 weken)</v>
      </c>
      <c r="N1179" s="353" t="e">
        <f t="shared" si="98"/>
        <v>#DIV/0!</v>
      </c>
      <c r="O1179" s="354">
        <f>IF(L1179="nio",0,IF(L1179&gt;0,VLOOKUP(H1179,'3-Productie normen'!A:P,VLOOKUP(L1179,'3-Productie normen'!$B$31:$C$45,2,FALSE),FALSE)))/VLOOKUP(B1179,'2-Kosten per locatie'!$A$13:$D$36,4,FALSE)</f>
        <v>0</v>
      </c>
      <c r="P1179" s="82" t="str">
        <f>VLOOKUP(H1179,'3-Productie normen'!A:T,20,FALSE)</f>
        <v>V</v>
      </c>
      <c r="Q1179" s="447"/>
      <c r="S1179" s="356">
        <f t="shared" si="97"/>
        <v>382.5</v>
      </c>
    </row>
    <row r="1180" spans="1:19" ht="14.1" customHeight="1">
      <c r="A1180" s="72">
        <f t="shared" si="94"/>
        <v>1180</v>
      </c>
      <c r="B1180" s="50" t="s">
        <v>821</v>
      </c>
      <c r="C1180" s="50" t="s">
        <v>840</v>
      </c>
      <c r="D1180" s="427" t="s">
        <v>1034</v>
      </c>
      <c r="E1180" s="426" t="s">
        <v>612</v>
      </c>
      <c r="F1180" s="349" t="s">
        <v>741</v>
      </c>
      <c r="G1180" s="86" t="s">
        <v>766</v>
      </c>
      <c r="H1180" s="63" t="s">
        <v>1040</v>
      </c>
      <c r="I1180" s="86" t="s">
        <v>780</v>
      </c>
      <c r="J1180" s="343">
        <v>1.4</v>
      </c>
      <c r="K1180" s="351">
        <f t="shared" si="95"/>
        <v>12</v>
      </c>
      <c r="L1180" s="484">
        <v>12</v>
      </c>
      <c r="M1180" s="448" t="str">
        <f>IF(L1180="nio","",VLOOKUP(L1180,'3-Productie normen'!$B$31:$H$45,3,FALSE))</f>
        <v>1 x per maand</v>
      </c>
      <c r="N1180" s="353" t="e">
        <f t="shared" si="98"/>
        <v>#DIV/0!</v>
      </c>
      <c r="O1180" s="354">
        <f>IF(L1180="nio",0,IF(L1180&gt;0,VLOOKUP(H1180,'3-Productie normen'!A:P,VLOOKUP(L1180,'3-Productie normen'!$B$31:$C$45,2,FALSE),FALSE)))/VLOOKUP(B1180,'2-Kosten per locatie'!$A$13:$D$36,4,FALSE)</f>
        <v>0</v>
      </c>
      <c r="P1180" s="82" t="str">
        <f>VLOOKUP(H1180,'3-Productie normen'!A:T,20,FALSE)</f>
        <v>V</v>
      </c>
      <c r="Q1180" s="447"/>
      <c r="S1180" s="356">
        <f t="shared" si="97"/>
        <v>16.799999999999997</v>
      </c>
    </row>
    <row r="1181" spans="1:19" ht="14.1" customHeight="1">
      <c r="A1181" s="72">
        <f t="shared" si="94"/>
        <v>1181</v>
      </c>
      <c r="B1181" s="50" t="s">
        <v>821</v>
      </c>
      <c r="C1181" s="50" t="s">
        <v>840</v>
      </c>
      <c r="D1181" s="427" t="s">
        <v>1034</v>
      </c>
      <c r="E1181" s="426" t="s">
        <v>612</v>
      </c>
      <c r="F1181" s="349" t="s">
        <v>742</v>
      </c>
      <c r="G1181" s="86" t="s">
        <v>253</v>
      </c>
      <c r="H1181" s="65" t="s">
        <v>731</v>
      </c>
      <c r="I1181" s="86" t="s">
        <v>789</v>
      </c>
      <c r="J1181" s="343">
        <v>8</v>
      </c>
      <c r="K1181" s="351">
        <f t="shared" si="95"/>
        <v>255</v>
      </c>
      <c r="L1181" s="484">
        <v>255</v>
      </c>
      <c r="M1181" s="448" t="str">
        <f>IF(L1181="nio","",VLOOKUP(L1181,'3-Productie normen'!$B$31:$H$45,3,FALSE))</f>
        <v>5 x per week (52 weken)</v>
      </c>
      <c r="N1181" s="353" t="e">
        <f t="shared" si="98"/>
        <v>#DIV/0!</v>
      </c>
      <c r="O1181" s="354">
        <f>IF(L1181="nio",0,IF(L1181&gt;0,VLOOKUP(H1181,'3-Productie normen'!A:P,VLOOKUP(L1181,'3-Productie normen'!$B$31:$C$45,2,FALSE),FALSE)))/VLOOKUP(B1181,'2-Kosten per locatie'!$A$13:$D$36,4,FALSE)</f>
        <v>0</v>
      </c>
      <c r="P1181" s="82" t="str">
        <f>VLOOKUP(H1181,'3-Productie normen'!A:T,20,FALSE)</f>
        <v>V</v>
      </c>
      <c r="Q1181" s="447"/>
      <c r="S1181" s="356">
        <f t="shared" si="97"/>
        <v>2040</v>
      </c>
    </row>
    <row r="1182" spans="1:19" ht="14.1" customHeight="1">
      <c r="A1182" s="72">
        <f t="shared" si="94"/>
        <v>1182</v>
      </c>
      <c r="B1182" s="50" t="s">
        <v>821</v>
      </c>
      <c r="C1182" s="50" t="s">
        <v>840</v>
      </c>
      <c r="D1182" s="427" t="s">
        <v>1034</v>
      </c>
      <c r="E1182" s="426" t="s">
        <v>612</v>
      </c>
      <c r="F1182" s="349" t="s">
        <v>743</v>
      </c>
      <c r="G1182" s="86" t="s">
        <v>253</v>
      </c>
      <c r="H1182" s="65" t="s">
        <v>731</v>
      </c>
      <c r="I1182" s="86" t="s">
        <v>789</v>
      </c>
      <c r="J1182" s="343">
        <v>6.95</v>
      </c>
      <c r="K1182" s="351">
        <f t="shared" si="95"/>
        <v>255</v>
      </c>
      <c r="L1182" s="484">
        <v>255</v>
      </c>
      <c r="M1182" s="448" t="str">
        <f>IF(L1182="nio","",VLOOKUP(L1182,'3-Productie normen'!$B$31:$H$45,3,FALSE))</f>
        <v>5 x per week (52 weken)</v>
      </c>
      <c r="N1182" s="353" t="e">
        <f t="shared" si="98"/>
        <v>#DIV/0!</v>
      </c>
      <c r="O1182" s="354">
        <f>IF(L1182="nio",0,IF(L1182&gt;0,VLOOKUP(H1182,'3-Productie normen'!A:P,VLOOKUP(L1182,'3-Productie normen'!$B$31:$C$45,2,FALSE),FALSE)))/VLOOKUP(B1182,'2-Kosten per locatie'!$A$13:$D$36,4,FALSE)</f>
        <v>0</v>
      </c>
      <c r="P1182" s="82" t="str">
        <f>VLOOKUP(H1182,'3-Productie normen'!A:T,20,FALSE)</f>
        <v>V</v>
      </c>
      <c r="Q1182" s="447"/>
      <c r="S1182" s="356">
        <f t="shared" si="97"/>
        <v>1772.25</v>
      </c>
    </row>
    <row r="1183" spans="1:19" ht="14.1" customHeight="1">
      <c r="A1183" s="72">
        <f t="shared" si="94"/>
        <v>1183</v>
      </c>
      <c r="B1183" s="50" t="s">
        <v>821</v>
      </c>
      <c r="C1183" s="50" t="s">
        <v>840</v>
      </c>
      <c r="D1183" s="427" t="s">
        <v>1034</v>
      </c>
      <c r="E1183" s="426" t="s">
        <v>612</v>
      </c>
      <c r="F1183" s="349" t="s">
        <v>744</v>
      </c>
      <c r="G1183" s="86" t="s">
        <v>226</v>
      </c>
      <c r="H1183" s="81" t="s">
        <v>16</v>
      </c>
      <c r="I1183" s="86" t="s">
        <v>91</v>
      </c>
      <c r="J1183" s="343">
        <v>10.31</v>
      </c>
      <c r="K1183" s="351">
        <f t="shared" si="95"/>
        <v>255</v>
      </c>
      <c r="L1183" s="484">
        <v>255</v>
      </c>
      <c r="M1183" s="448" t="str">
        <f>IF(L1183="nio","",VLOOKUP(L1183,'3-Productie normen'!$B$31:$H$45,3,FALSE))</f>
        <v>5 x per week (52 weken)</v>
      </c>
      <c r="N1183" s="353" t="e">
        <f t="shared" si="98"/>
        <v>#DIV/0!</v>
      </c>
      <c r="O1183" s="354">
        <f>IF(L1183="nio",0,IF(L1183&gt;0,VLOOKUP(H1183,'3-Productie normen'!A:P,VLOOKUP(L1183,'3-Productie normen'!$B$31:$C$45,2,FALSE),FALSE)))/VLOOKUP(B1183,'2-Kosten per locatie'!$A$13:$D$36,4,FALSE)</f>
        <v>0</v>
      </c>
      <c r="P1183" s="82" t="str">
        <f>VLOOKUP(H1183,'3-Productie normen'!A:T,20,FALSE)</f>
        <v>S</v>
      </c>
      <c r="Q1183" s="447"/>
      <c r="S1183" s="356">
        <f t="shared" si="97"/>
        <v>2629.05</v>
      </c>
    </row>
    <row r="1184" spans="1:19" ht="14.1" customHeight="1">
      <c r="A1184" s="72">
        <f t="shared" si="94"/>
        <v>1184</v>
      </c>
      <c r="B1184" s="50" t="s">
        <v>821</v>
      </c>
      <c r="C1184" s="50" t="s">
        <v>840</v>
      </c>
      <c r="D1184" s="427" t="s">
        <v>1034</v>
      </c>
      <c r="E1184" s="426" t="s">
        <v>612</v>
      </c>
      <c r="F1184" s="349" t="s">
        <v>745</v>
      </c>
      <c r="G1184" s="86" t="s">
        <v>256</v>
      </c>
      <c r="H1184" s="65" t="s">
        <v>731</v>
      </c>
      <c r="I1184" s="86" t="s">
        <v>789</v>
      </c>
      <c r="J1184" s="343">
        <v>71.900000000000006</v>
      </c>
      <c r="K1184" s="351">
        <f t="shared" ref="K1184:K1241" si="99">L1184</f>
        <v>255</v>
      </c>
      <c r="L1184" s="484">
        <v>255</v>
      </c>
      <c r="M1184" s="448" t="str">
        <f>IF(L1184="nio","",VLOOKUP(L1184,'3-Productie normen'!$B$31:$H$45,3,FALSE))</f>
        <v>5 x per week (52 weken)</v>
      </c>
      <c r="N1184" s="353" t="e">
        <f t="shared" si="98"/>
        <v>#DIV/0!</v>
      </c>
      <c r="O1184" s="354">
        <f>IF(L1184="nio",0,IF(L1184&gt;0,VLOOKUP(H1184,'3-Productie normen'!A:P,VLOOKUP(L1184,'3-Productie normen'!$B$31:$C$45,2,FALSE),FALSE)))/VLOOKUP(B1184,'2-Kosten per locatie'!$A$13:$D$36,4,FALSE)</f>
        <v>0</v>
      </c>
      <c r="P1184" s="82" t="str">
        <f>VLOOKUP(H1184,'3-Productie normen'!A:T,20,FALSE)</f>
        <v>V</v>
      </c>
      <c r="Q1184" s="447"/>
      <c r="S1184" s="356">
        <f t="shared" si="97"/>
        <v>18334.5</v>
      </c>
    </row>
    <row r="1185" spans="1:19" ht="14.1" customHeight="1">
      <c r="A1185" s="72">
        <f t="shared" si="94"/>
        <v>1185</v>
      </c>
      <c r="B1185" s="50" t="s">
        <v>821</v>
      </c>
      <c r="C1185" s="50" t="s">
        <v>840</v>
      </c>
      <c r="D1185" s="427" t="s">
        <v>1034</v>
      </c>
      <c r="E1185" s="426" t="s">
        <v>612</v>
      </c>
      <c r="F1185" s="349" t="s">
        <v>745</v>
      </c>
      <c r="G1185" s="86" t="s">
        <v>256</v>
      </c>
      <c r="H1185" s="65" t="s">
        <v>731</v>
      </c>
      <c r="I1185" s="86" t="s">
        <v>180</v>
      </c>
      <c r="J1185" s="343">
        <v>1.5</v>
      </c>
      <c r="K1185" s="351">
        <f t="shared" si="99"/>
        <v>255</v>
      </c>
      <c r="L1185" s="484">
        <v>255</v>
      </c>
      <c r="M1185" s="448" t="str">
        <f>IF(L1185="nio","",VLOOKUP(L1185,'3-Productie normen'!$B$31:$H$45,3,FALSE))</f>
        <v>5 x per week (52 weken)</v>
      </c>
      <c r="N1185" s="353" t="e">
        <f t="shared" si="98"/>
        <v>#DIV/0!</v>
      </c>
      <c r="O1185" s="354">
        <f>IF(L1185="nio",0,IF(L1185&gt;0,VLOOKUP(H1185,'3-Productie normen'!A:P,VLOOKUP(L1185,'3-Productie normen'!$B$31:$C$45,2,FALSE),FALSE)))/VLOOKUP(B1185,'2-Kosten per locatie'!$A$13:$D$36,4,FALSE)</f>
        <v>0</v>
      </c>
      <c r="P1185" s="82" t="str">
        <f>VLOOKUP(H1185,'3-Productie normen'!A:T,20,FALSE)</f>
        <v>V</v>
      </c>
      <c r="Q1185" s="447"/>
      <c r="S1185" s="356">
        <f t="shared" si="97"/>
        <v>382.5</v>
      </c>
    </row>
    <row r="1186" spans="1:19" ht="14.1" customHeight="1">
      <c r="A1186" s="72">
        <f t="shared" si="94"/>
        <v>1186</v>
      </c>
      <c r="B1186" s="50" t="s">
        <v>821</v>
      </c>
      <c r="C1186" s="50" t="s">
        <v>840</v>
      </c>
      <c r="D1186" s="427" t="s">
        <v>1034</v>
      </c>
      <c r="E1186" s="426" t="s">
        <v>612</v>
      </c>
      <c r="F1186" s="349" t="s">
        <v>746</v>
      </c>
      <c r="G1186" s="86" t="s">
        <v>253</v>
      </c>
      <c r="H1186" s="65" t="s">
        <v>731</v>
      </c>
      <c r="I1186" s="86" t="s">
        <v>789</v>
      </c>
      <c r="J1186" s="343">
        <v>12.8</v>
      </c>
      <c r="K1186" s="351">
        <f t="shared" si="99"/>
        <v>255</v>
      </c>
      <c r="L1186" s="484">
        <v>255</v>
      </c>
      <c r="M1186" s="448" t="str">
        <f>IF(L1186="nio","",VLOOKUP(L1186,'3-Productie normen'!$B$31:$H$45,3,FALSE))</f>
        <v>5 x per week (52 weken)</v>
      </c>
      <c r="N1186" s="353" t="e">
        <f t="shared" si="98"/>
        <v>#DIV/0!</v>
      </c>
      <c r="O1186" s="354">
        <f>IF(L1186="nio",0,IF(L1186&gt;0,VLOOKUP(H1186,'3-Productie normen'!A:P,VLOOKUP(L1186,'3-Productie normen'!$B$31:$C$45,2,FALSE),FALSE)))/VLOOKUP(B1186,'2-Kosten per locatie'!$A$13:$D$36,4,FALSE)</f>
        <v>0</v>
      </c>
      <c r="P1186" s="82" t="str">
        <f>VLOOKUP(H1186,'3-Productie normen'!A:T,20,FALSE)</f>
        <v>V</v>
      </c>
      <c r="Q1186" s="447"/>
      <c r="S1186" s="356">
        <f t="shared" si="97"/>
        <v>3264</v>
      </c>
    </row>
    <row r="1187" spans="1:19" ht="14.1" customHeight="1">
      <c r="A1187" s="72">
        <f t="shared" si="94"/>
        <v>1187</v>
      </c>
      <c r="B1187" s="50" t="s">
        <v>821</v>
      </c>
      <c r="C1187" s="50" t="s">
        <v>840</v>
      </c>
      <c r="D1187" s="427" t="s">
        <v>1034</v>
      </c>
      <c r="E1187" s="426" t="s">
        <v>612</v>
      </c>
      <c r="F1187" s="349" t="s">
        <v>747</v>
      </c>
      <c r="G1187" s="86" t="s">
        <v>1143</v>
      </c>
      <c r="H1187" s="65" t="s">
        <v>731</v>
      </c>
      <c r="I1187" s="86" t="s">
        <v>789</v>
      </c>
      <c r="J1187" s="343">
        <v>69.2</v>
      </c>
      <c r="K1187" s="351">
        <f t="shared" si="99"/>
        <v>255</v>
      </c>
      <c r="L1187" s="484">
        <v>255</v>
      </c>
      <c r="M1187" s="448" t="str">
        <f>IF(L1187="nio","",VLOOKUP(L1187,'3-Productie normen'!$B$31:$H$45,3,FALSE))</f>
        <v>5 x per week (52 weken)</v>
      </c>
      <c r="N1187" s="353" t="e">
        <f t="shared" si="98"/>
        <v>#DIV/0!</v>
      </c>
      <c r="O1187" s="354">
        <f>IF(L1187="nio",0,IF(L1187&gt;0,VLOOKUP(H1187,'3-Productie normen'!A:P,VLOOKUP(L1187,'3-Productie normen'!$B$31:$C$45,2,FALSE),FALSE)))/VLOOKUP(B1187,'2-Kosten per locatie'!$A$13:$D$36,4,FALSE)</f>
        <v>0</v>
      </c>
      <c r="P1187" s="82" t="str">
        <f>VLOOKUP(H1187,'3-Productie normen'!A:T,20,FALSE)</f>
        <v>V</v>
      </c>
      <c r="Q1187" s="447"/>
      <c r="S1187" s="356">
        <f t="shared" si="97"/>
        <v>17646</v>
      </c>
    </row>
    <row r="1188" spans="1:19" ht="14.1" customHeight="1">
      <c r="A1188" s="72">
        <f t="shared" si="94"/>
        <v>1188</v>
      </c>
      <c r="B1188" s="50" t="s">
        <v>821</v>
      </c>
      <c r="C1188" s="50" t="s">
        <v>840</v>
      </c>
      <c r="D1188" s="427" t="s">
        <v>1034</v>
      </c>
      <c r="E1188" s="426" t="s">
        <v>612</v>
      </c>
      <c r="F1188" s="349" t="s">
        <v>748</v>
      </c>
      <c r="G1188" s="86" t="s">
        <v>226</v>
      </c>
      <c r="H1188" s="86" t="s">
        <v>16</v>
      </c>
      <c r="I1188" s="86" t="s">
        <v>91</v>
      </c>
      <c r="J1188" s="343">
        <v>5.96</v>
      </c>
      <c r="K1188" s="351">
        <f t="shared" si="99"/>
        <v>255</v>
      </c>
      <c r="L1188" s="484">
        <v>255</v>
      </c>
      <c r="M1188" s="448" t="str">
        <f>IF(L1188="nio","",VLOOKUP(L1188,'3-Productie normen'!$B$31:$H$45,3,FALSE))</f>
        <v>5 x per week (52 weken)</v>
      </c>
      <c r="N1188" s="353" t="e">
        <f t="shared" si="98"/>
        <v>#DIV/0!</v>
      </c>
      <c r="O1188" s="354">
        <f>IF(L1188="nio",0,IF(L1188&gt;0,VLOOKUP(H1188,'3-Productie normen'!A:P,VLOOKUP(L1188,'3-Productie normen'!$B$31:$C$45,2,FALSE),FALSE)))/VLOOKUP(B1188,'2-Kosten per locatie'!$A$13:$D$36,4,FALSE)</f>
        <v>0</v>
      </c>
      <c r="P1188" s="82" t="str">
        <f>VLOOKUP(H1188,'3-Productie normen'!A:T,20,FALSE)</f>
        <v>S</v>
      </c>
      <c r="Q1188" s="447"/>
      <c r="S1188" s="356">
        <f t="shared" si="97"/>
        <v>1519.8</v>
      </c>
    </row>
    <row r="1189" spans="1:19" ht="14.1" customHeight="1">
      <c r="A1189" s="72">
        <f t="shared" si="94"/>
        <v>1189</v>
      </c>
      <c r="B1189" s="50" t="s">
        <v>821</v>
      </c>
      <c r="C1189" s="50" t="s">
        <v>840</v>
      </c>
      <c r="D1189" s="427" t="s">
        <v>1034</v>
      </c>
      <c r="E1189" s="426" t="s">
        <v>612</v>
      </c>
      <c r="F1189" s="349" t="s">
        <v>749</v>
      </c>
      <c r="G1189" s="86" t="s">
        <v>222</v>
      </c>
      <c r="H1189" s="50" t="s">
        <v>16</v>
      </c>
      <c r="I1189" s="86" t="s">
        <v>91</v>
      </c>
      <c r="J1189" s="343">
        <v>1.54</v>
      </c>
      <c r="K1189" s="351">
        <f t="shared" si="99"/>
        <v>255</v>
      </c>
      <c r="L1189" s="484">
        <v>255</v>
      </c>
      <c r="M1189" s="448" t="str">
        <f>IF(L1189="nio","",VLOOKUP(L1189,'3-Productie normen'!$B$31:$H$45,3,FALSE))</f>
        <v>5 x per week (52 weken)</v>
      </c>
      <c r="N1189" s="353" t="e">
        <f t="shared" si="98"/>
        <v>#DIV/0!</v>
      </c>
      <c r="O1189" s="354">
        <f>IF(L1189="nio",0,IF(L1189&gt;0,VLOOKUP(H1189,'3-Productie normen'!A:P,VLOOKUP(L1189,'3-Productie normen'!$B$31:$C$45,2,FALSE),FALSE)))/VLOOKUP(B1189,'2-Kosten per locatie'!$A$13:$D$36,4,FALSE)</f>
        <v>0</v>
      </c>
      <c r="P1189" s="82" t="str">
        <f>VLOOKUP(H1189,'3-Productie normen'!A:T,20,FALSE)</f>
        <v>S</v>
      </c>
      <c r="Q1189" s="447"/>
      <c r="S1189" s="356">
        <f t="shared" si="97"/>
        <v>392.7</v>
      </c>
    </row>
    <row r="1190" spans="1:19" ht="14.1" customHeight="1">
      <c r="A1190" s="72">
        <f t="shared" si="94"/>
        <v>1190</v>
      </c>
      <c r="B1190" s="50" t="s">
        <v>821</v>
      </c>
      <c r="C1190" s="50" t="s">
        <v>840</v>
      </c>
      <c r="D1190" s="427" t="s">
        <v>1034</v>
      </c>
      <c r="E1190" s="426" t="s">
        <v>612</v>
      </c>
      <c r="F1190" s="349" t="s">
        <v>750</v>
      </c>
      <c r="G1190" s="86" t="s">
        <v>89</v>
      </c>
      <c r="H1190" s="432" t="s">
        <v>198</v>
      </c>
      <c r="I1190" s="86" t="s">
        <v>784</v>
      </c>
      <c r="J1190" s="343">
        <v>7.41</v>
      </c>
      <c r="K1190" s="351">
        <f t="shared" si="99"/>
        <v>255</v>
      </c>
      <c r="L1190" s="484">
        <v>255</v>
      </c>
      <c r="M1190" s="448" t="str">
        <f>IF(L1190="nio","",VLOOKUP(L1190,'3-Productie normen'!$B$31:$H$45,3,FALSE))</f>
        <v>5 x per week (52 weken)</v>
      </c>
      <c r="N1190" s="353" t="e">
        <f t="shared" si="98"/>
        <v>#DIV/0!</v>
      </c>
      <c r="O1190" s="354">
        <f>IF(L1190="nio",0,IF(L1190&gt;0,VLOOKUP(H1190,'3-Productie normen'!A:P,VLOOKUP(L1190,'3-Productie normen'!$B$31:$C$45,2,FALSE),FALSE)))/VLOOKUP(B1190,'2-Kosten per locatie'!$A$13:$D$36,4,FALSE)</f>
        <v>0</v>
      </c>
      <c r="P1190" s="82" t="str">
        <f>VLOOKUP(H1190,'3-Productie normen'!A:T,20,FALSE)</f>
        <v>V</v>
      </c>
      <c r="Q1190" s="447"/>
      <c r="S1190" s="356">
        <f t="shared" si="97"/>
        <v>1889.55</v>
      </c>
    </row>
    <row r="1191" spans="1:19" ht="14.1" customHeight="1">
      <c r="A1191" s="72">
        <f t="shared" si="94"/>
        <v>1191</v>
      </c>
      <c r="B1191" s="50" t="s">
        <v>821</v>
      </c>
      <c r="C1191" s="50" t="s">
        <v>840</v>
      </c>
      <c r="D1191" s="427" t="s">
        <v>1034</v>
      </c>
      <c r="E1191" s="426" t="s">
        <v>612</v>
      </c>
      <c r="F1191" s="349" t="s">
        <v>751</v>
      </c>
      <c r="G1191" s="86" t="s">
        <v>732</v>
      </c>
      <c r="H1191" s="65" t="s">
        <v>1053</v>
      </c>
      <c r="I1191" s="86" t="s">
        <v>92</v>
      </c>
      <c r="J1191" s="343">
        <v>0.5</v>
      </c>
      <c r="K1191" s="351" t="str">
        <f t="shared" si="99"/>
        <v>nio</v>
      </c>
      <c r="L1191" s="484" t="s">
        <v>804</v>
      </c>
      <c r="M1191" s="448" t="str">
        <f>IF(L1191="nio","",VLOOKUP(L1191,'3-Productie normen'!$B$31:$H$45,3,FALSE))</f>
        <v/>
      </c>
      <c r="N1191" s="353">
        <f t="shared" si="98"/>
        <v>0</v>
      </c>
      <c r="O1191" s="354">
        <f>IF(L1191="nio",0,IF(L1191&gt;0,VLOOKUP(H1191,'3-Productie normen'!A:P,VLOOKUP(L1191,'3-Productie normen'!$B$31:$C$45,2,FALSE),FALSE)))/VLOOKUP(B1191,'2-Kosten per locatie'!$A$13:$D$36,4,FALSE)</f>
        <v>0</v>
      </c>
      <c r="P1191" s="82">
        <f>VLOOKUP(H1191,'3-Productie normen'!A:T,20,FALSE)</f>
        <v>0</v>
      </c>
      <c r="Q1191" s="447"/>
      <c r="S1191" s="356">
        <f t="shared" si="97"/>
        <v>0</v>
      </c>
    </row>
    <row r="1192" spans="1:19" ht="14.1" customHeight="1">
      <c r="A1192" s="72">
        <f t="shared" si="94"/>
        <v>1192</v>
      </c>
      <c r="B1192" s="50" t="s">
        <v>821</v>
      </c>
      <c r="C1192" s="50" t="s">
        <v>840</v>
      </c>
      <c r="D1192" s="427" t="s">
        <v>1034</v>
      </c>
      <c r="E1192" s="426" t="s">
        <v>612</v>
      </c>
      <c r="F1192" s="349" t="s">
        <v>752</v>
      </c>
      <c r="G1192" s="86" t="s">
        <v>771</v>
      </c>
      <c r="H1192" s="432" t="s">
        <v>198</v>
      </c>
      <c r="I1192" s="86" t="s">
        <v>789</v>
      </c>
      <c r="J1192" s="343">
        <v>5.08</v>
      </c>
      <c r="K1192" s="351">
        <f t="shared" si="99"/>
        <v>255</v>
      </c>
      <c r="L1192" s="484">
        <v>255</v>
      </c>
      <c r="M1192" s="448" t="str">
        <f>IF(L1192="nio","",VLOOKUP(L1192,'3-Productie normen'!$B$31:$H$45,3,FALSE))</f>
        <v>5 x per week (52 weken)</v>
      </c>
      <c r="N1192" s="353" t="e">
        <f t="shared" si="98"/>
        <v>#DIV/0!</v>
      </c>
      <c r="O1192" s="354">
        <f>IF(L1192="nio",0,IF(L1192&gt;0,VLOOKUP(H1192,'3-Productie normen'!A:P,VLOOKUP(L1192,'3-Productie normen'!$B$31:$C$45,2,FALSE),FALSE)))/VLOOKUP(B1192,'2-Kosten per locatie'!$A$13:$D$36,4,FALSE)</f>
        <v>0</v>
      </c>
      <c r="P1192" s="82" t="str">
        <f>VLOOKUP(H1192,'3-Productie normen'!A:T,20,FALSE)</f>
        <v>V</v>
      </c>
      <c r="Q1192" s="447"/>
      <c r="S1192" s="356">
        <f t="shared" si="97"/>
        <v>1295.4000000000001</v>
      </c>
    </row>
    <row r="1193" spans="1:19" ht="14.1" customHeight="1">
      <c r="A1193" s="72">
        <f t="shared" si="94"/>
        <v>1193</v>
      </c>
      <c r="B1193" s="50" t="s">
        <v>821</v>
      </c>
      <c r="C1193" s="50" t="s">
        <v>840</v>
      </c>
      <c r="D1193" s="427" t="s">
        <v>1034</v>
      </c>
      <c r="E1193" s="426" t="s">
        <v>612</v>
      </c>
      <c r="F1193" s="349" t="s">
        <v>753</v>
      </c>
      <c r="G1193" s="86" t="s">
        <v>368</v>
      </c>
      <c r="H1193" s="432" t="s">
        <v>198</v>
      </c>
      <c r="I1193" s="86" t="s">
        <v>789</v>
      </c>
      <c r="J1193" s="343">
        <v>8.6999999999999993</v>
      </c>
      <c r="K1193" s="351">
        <f t="shared" si="99"/>
        <v>255</v>
      </c>
      <c r="L1193" s="484">
        <v>255</v>
      </c>
      <c r="M1193" s="448" t="str">
        <f>IF(L1193="nio","",VLOOKUP(L1193,'3-Productie normen'!$B$31:$H$45,3,FALSE))</f>
        <v>5 x per week (52 weken)</v>
      </c>
      <c r="N1193" s="353" t="e">
        <f t="shared" si="98"/>
        <v>#DIV/0!</v>
      </c>
      <c r="O1193" s="354">
        <f>IF(L1193="nio",0,IF(L1193&gt;0,VLOOKUP(H1193,'3-Productie normen'!A:P,VLOOKUP(L1193,'3-Productie normen'!$B$31:$C$45,2,FALSE),FALSE)))/VLOOKUP(B1193,'2-Kosten per locatie'!$A$13:$D$36,4,FALSE)</f>
        <v>0</v>
      </c>
      <c r="P1193" s="82" t="str">
        <f>VLOOKUP(H1193,'3-Productie normen'!A:T,20,FALSE)</f>
        <v>V</v>
      </c>
      <c r="Q1193" s="447"/>
      <c r="S1193" s="356">
        <f t="shared" si="97"/>
        <v>2218.5</v>
      </c>
    </row>
    <row r="1194" spans="1:19" ht="14.1" customHeight="1">
      <c r="A1194" s="72">
        <f t="shared" si="94"/>
        <v>1194</v>
      </c>
      <c r="B1194" s="50" t="s">
        <v>821</v>
      </c>
      <c r="C1194" s="50" t="s">
        <v>840</v>
      </c>
      <c r="D1194" s="427" t="s">
        <v>1034</v>
      </c>
      <c r="E1194" s="426" t="s">
        <v>612</v>
      </c>
      <c r="F1194" s="349" t="s">
        <v>754</v>
      </c>
      <c r="G1194" s="86" t="s">
        <v>201</v>
      </c>
      <c r="H1194" s="432" t="s">
        <v>198</v>
      </c>
      <c r="I1194" s="86" t="s">
        <v>789</v>
      </c>
      <c r="J1194" s="343">
        <v>5.0830000000000002</v>
      </c>
      <c r="K1194" s="351">
        <f t="shared" si="99"/>
        <v>255</v>
      </c>
      <c r="L1194" s="484">
        <v>255</v>
      </c>
      <c r="M1194" s="448" t="str">
        <f>IF(L1194="nio","",VLOOKUP(L1194,'3-Productie normen'!$B$31:$H$45,3,FALSE))</f>
        <v>5 x per week (52 weken)</v>
      </c>
      <c r="N1194" s="353" t="e">
        <f t="shared" si="98"/>
        <v>#DIV/0!</v>
      </c>
      <c r="O1194" s="354">
        <f>IF(L1194="nio",0,IF(L1194&gt;0,VLOOKUP(H1194,'3-Productie normen'!A:P,VLOOKUP(L1194,'3-Productie normen'!$B$31:$C$45,2,FALSE),FALSE)))/VLOOKUP(B1194,'2-Kosten per locatie'!$A$13:$D$36,4,FALSE)</f>
        <v>0</v>
      </c>
      <c r="P1194" s="82" t="str">
        <f>VLOOKUP(H1194,'3-Productie normen'!A:T,20,FALSE)</f>
        <v>V</v>
      </c>
      <c r="Q1194" s="447"/>
      <c r="S1194" s="356">
        <f t="shared" si="97"/>
        <v>1296.165</v>
      </c>
    </row>
    <row r="1195" spans="1:19" ht="14.1" customHeight="1">
      <c r="A1195" s="72">
        <f t="shared" si="94"/>
        <v>1195</v>
      </c>
      <c r="B1195" s="50" t="s">
        <v>821</v>
      </c>
      <c r="C1195" s="50" t="s">
        <v>840</v>
      </c>
      <c r="D1195" s="427" t="s">
        <v>1034</v>
      </c>
      <c r="E1195" s="426" t="s">
        <v>612</v>
      </c>
      <c r="F1195" s="349" t="s">
        <v>755</v>
      </c>
      <c r="G1195" s="86" t="s">
        <v>766</v>
      </c>
      <c r="H1195" s="65" t="s">
        <v>1053</v>
      </c>
      <c r="I1195" s="86" t="s">
        <v>91</v>
      </c>
      <c r="J1195" s="343">
        <v>1.45</v>
      </c>
      <c r="K1195" s="351" t="str">
        <f t="shared" si="99"/>
        <v>nio</v>
      </c>
      <c r="L1195" s="484" t="s">
        <v>804</v>
      </c>
      <c r="M1195" s="448" t="str">
        <f>IF(L1195="nio","",VLOOKUP(L1195,'3-Productie normen'!$B$31:$H$45,3,FALSE))</f>
        <v/>
      </c>
      <c r="N1195" s="353">
        <f t="shared" si="98"/>
        <v>0</v>
      </c>
      <c r="O1195" s="354">
        <f>IF(L1195="nio",0,IF(L1195&gt;0,VLOOKUP(H1195,'3-Productie normen'!A:P,VLOOKUP(L1195,'3-Productie normen'!$B$31:$C$45,2,FALSE),FALSE)))/VLOOKUP(B1195,'2-Kosten per locatie'!$A$13:$D$36,4,FALSE)</f>
        <v>0</v>
      </c>
      <c r="P1195" s="82">
        <f>VLOOKUP(H1195,'3-Productie normen'!A:T,20,FALSE)</f>
        <v>0</v>
      </c>
      <c r="Q1195" s="447"/>
      <c r="S1195" s="356">
        <f t="shared" si="97"/>
        <v>0</v>
      </c>
    </row>
    <row r="1196" spans="1:19" ht="14.1" customHeight="1">
      <c r="A1196" s="72">
        <f t="shared" si="94"/>
        <v>1196</v>
      </c>
      <c r="B1196" s="50" t="s">
        <v>821</v>
      </c>
      <c r="C1196" s="50" t="s">
        <v>840</v>
      </c>
      <c r="D1196" s="427" t="s">
        <v>1034</v>
      </c>
      <c r="E1196" s="426" t="s">
        <v>612</v>
      </c>
      <c r="F1196" s="349" t="s">
        <v>756</v>
      </c>
      <c r="G1196" s="86" t="s">
        <v>222</v>
      </c>
      <c r="H1196" s="86" t="s">
        <v>16</v>
      </c>
      <c r="I1196" s="86" t="s">
        <v>91</v>
      </c>
      <c r="J1196" s="343">
        <v>5.0999999999999996</v>
      </c>
      <c r="K1196" s="351">
        <f t="shared" si="99"/>
        <v>255</v>
      </c>
      <c r="L1196" s="484">
        <v>255</v>
      </c>
      <c r="M1196" s="448" t="str">
        <f>IF(L1196="nio","",VLOOKUP(L1196,'3-Productie normen'!$B$31:$H$45,3,FALSE))</f>
        <v>5 x per week (52 weken)</v>
      </c>
      <c r="N1196" s="353" t="e">
        <f t="shared" si="98"/>
        <v>#DIV/0!</v>
      </c>
      <c r="O1196" s="354">
        <f>IF(L1196="nio",0,IF(L1196&gt;0,VLOOKUP(H1196,'3-Productie normen'!A:P,VLOOKUP(L1196,'3-Productie normen'!$B$31:$C$45,2,FALSE),FALSE)))/VLOOKUP(B1196,'2-Kosten per locatie'!$A$13:$D$36,4,FALSE)</f>
        <v>0</v>
      </c>
      <c r="P1196" s="82" t="str">
        <f>VLOOKUP(H1196,'3-Productie normen'!A:T,20,FALSE)</f>
        <v>S</v>
      </c>
      <c r="Q1196" s="447" t="s">
        <v>1028</v>
      </c>
      <c r="S1196" s="356">
        <f t="shared" si="97"/>
        <v>1300.5</v>
      </c>
    </row>
    <row r="1197" spans="1:19" ht="14.1" customHeight="1">
      <c r="A1197" s="72">
        <f t="shared" si="94"/>
        <v>1197</v>
      </c>
      <c r="B1197" s="50" t="s">
        <v>821</v>
      </c>
      <c r="C1197" s="50" t="s">
        <v>840</v>
      </c>
      <c r="D1197" s="427" t="s">
        <v>1034</v>
      </c>
      <c r="E1197" s="426" t="s">
        <v>612</v>
      </c>
      <c r="F1197" s="349" t="s">
        <v>757</v>
      </c>
      <c r="G1197" s="86" t="s">
        <v>209</v>
      </c>
      <c r="H1197" s="63" t="s">
        <v>1040</v>
      </c>
      <c r="I1197" s="86" t="s">
        <v>780</v>
      </c>
      <c r="J1197" s="343">
        <v>7.89</v>
      </c>
      <c r="K1197" s="351">
        <f t="shared" si="99"/>
        <v>12</v>
      </c>
      <c r="L1197" s="484">
        <v>12</v>
      </c>
      <c r="M1197" s="448" t="str">
        <f>IF(L1197="nio","",VLOOKUP(L1197,'3-Productie normen'!$B$31:$H$45,3,FALSE))</f>
        <v>1 x per maand</v>
      </c>
      <c r="N1197" s="353" t="e">
        <f t="shared" si="98"/>
        <v>#DIV/0!</v>
      </c>
      <c r="O1197" s="354">
        <f>IF(L1197="nio",0,IF(L1197&gt;0,VLOOKUP(H1197,'3-Productie normen'!A:P,VLOOKUP(L1197,'3-Productie normen'!$B$31:$C$45,2,FALSE),FALSE)))/VLOOKUP(B1197,'2-Kosten per locatie'!$A$13:$D$36,4,FALSE)</f>
        <v>0</v>
      </c>
      <c r="P1197" s="82" t="str">
        <f>VLOOKUP(H1197,'3-Productie normen'!A:T,20,FALSE)</f>
        <v>V</v>
      </c>
      <c r="Q1197" s="447"/>
      <c r="S1197" s="356">
        <f t="shared" si="97"/>
        <v>94.679999999999993</v>
      </c>
    </row>
    <row r="1198" spans="1:19" ht="14.1" customHeight="1">
      <c r="A1198" s="72">
        <f t="shared" si="94"/>
        <v>1198</v>
      </c>
      <c r="B1198" s="50" t="s">
        <v>821</v>
      </c>
      <c r="C1198" s="50" t="s">
        <v>840</v>
      </c>
      <c r="D1198" s="427" t="s">
        <v>1034</v>
      </c>
      <c r="E1198" s="426" t="s">
        <v>612</v>
      </c>
      <c r="F1198" s="349" t="s">
        <v>758</v>
      </c>
      <c r="G1198" s="86" t="s">
        <v>654</v>
      </c>
      <c r="H1198" s="63" t="s">
        <v>1040</v>
      </c>
      <c r="I1198" s="86" t="s">
        <v>91</v>
      </c>
      <c r="J1198" s="343">
        <v>6.8</v>
      </c>
      <c r="K1198" s="351">
        <f t="shared" si="99"/>
        <v>12</v>
      </c>
      <c r="L1198" s="484">
        <v>12</v>
      </c>
      <c r="M1198" s="448" t="str">
        <f>IF(L1198="nio","",VLOOKUP(L1198,'3-Productie normen'!$B$31:$H$45,3,FALSE))</f>
        <v>1 x per maand</v>
      </c>
      <c r="N1198" s="353" t="e">
        <f t="shared" si="98"/>
        <v>#DIV/0!</v>
      </c>
      <c r="O1198" s="354">
        <f>IF(L1198="nio",0,IF(L1198&gt;0,VLOOKUP(H1198,'3-Productie normen'!A:P,VLOOKUP(L1198,'3-Productie normen'!$B$31:$C$45,2,FALSE),FALSE)))/VLOOKUP(B1198,'2-Kosten per locatie'!$A$13:$D$36,4,FALSE)</f>
        <v>0</v>
      </c>
      <c r="P1198" s="82" t="str">
        <f>VLOOKUP(H1198,'3-Productie normen'!A:T,20,FALSE)</f>
        <v>V</v>
      </c>
      <c r="Q1198" s="447" t="s">
        <v>1029</v>
      </c>
      <c r="S1198" s="356">
        <f t="shared" si="97"/>
        <v>81.599999999999994</v>
      </c>
    </row>
    <row r="1199" spans="1:19" ht="14.1" customHeight="1">
      <c r="A1199" s="72">
        <f t="shared" si="94"/>
        <v>1199</v>
      </c>
      <c r="B1199" s="50" t="s">
        <v>821</v>
      </c>
      <c r="C1199" s="50" t="s">
        <v>840</v>
      </c>
      <c r="D1199" s="427" t="s">
        <v>1034</v>
      </c>
      <c r="E1199" s="426" t="s">
        <v>275</v>
      </c>
      <c r="F1199" s="349" t="s">
        <v>759</v>
      </c>
      <c r="G1199" s="86" t="s">
        <v>201</v>
      </c>
      <c r="H1199" s="432" t="s">
        <v>198</v>
      </c>
      <c r="I1199" s="86" t="s">
        <v>784</v>
      </c>
      <c r="J1199" s="343">
        <v>5.97</v>
      </c>
      <c r="K1199" s="351">
        <f t="shared" si="99"/>
        <v>255</v>
      </c>
      <c r="L1199" s="484">
        <v>255</v>
      </c>
      <c r="M1199" s="448" t="str">
        <f>IF(L1199="nio","",VLOOKUP(L1199,'3-Productie normen'!$B$31:$H$45,3,FALSE))</f>
        <v>5 x per week (52 weken)</v>
      </c>
      <c r="N1199" s="353" t="e">
        <f t="shared" si="98"/>
        <v>#DIV/0!</v>
      </c>
      <c r="O1199" s="354">
        <f>IF(L1199="nio",0,IF(L1199&gt;0,VLOOKUP(H1199,'3-Productie normen'!A:P,VLOOKUP(L1199,'3-Productie normen'!$B$31:$C$45,2,FALSE),FALSE)))/VLOOKUP(B1199,'2-Kosten per locatie'!$A$13:$D$36,4,FALSE)</f>
        <v>0</v>
      </c>
      <c r="P1199" s="82" t="str">
        <f>VLOOKUP(H1199,'3-Productie normen'!A:T,20,FALSE)</f>
        <v>V</v>
      </c>
      <c r="Q1199" s="447"/>
      <c r="S1199" s="356">
        <f t="shared" si="97"/>
        <v>1522.35</v>
      </c>
    </row>
    <row r="1200" spans="1:19" ht="14.1" customHeight="1">
      <c r="A1200" s="72">
        <f t="shared" si="94"/>
        <v>1200</v>
      </c>
      <c r="B1200" s="50" t="s">
        <v>821</v>
      </c>
      <c r="C1200" s="50" t="s">
        <v>840</v>
      </c>
      <c r="D1200" s="427" t="s">
        <v>1034</v>
      </c>
      <c r="E1200" s="426" t="s">
        <v>275</v>
      </c>
      <c r="F1200" s="349" t="s">
        <v>760</v>
      </c>
      <c r="G1200" s="86" t="s">
        <v>239</v>
      </c>
      <c r="H1200" s="65" t="s">
        <v>731</v>
      </c>
      <c r="I1200" s="86" t="s">
        <v>780</v>
      </c>
      <c r="J1200" s="343">
        <v>69.3</v>
      </c>
      <c r="K1200" s="351">
        <f t="shared" si="99"/>
        <v>255</v>
      </c>
      <c r="L1200" s="484">
        <v>255</v>
      </c>
      <c r="M1200" s="448" t="str">
        <f>IF(L1200="nio","",VLOOKUP(L1200,'3-Productie normen'!$B$31:$H$45,3,FALSE))</f>
        <v>5 x per week (52 weken)</v>
      </c>
      <c r="N1200" s="353" t="e">
        <f t="shared" si="98"/>
        <v>#DIV/0!</v>
      </c>
      <c r="O1200" s="354">
        <f>IF(L1200="nio",0,IF(L1200&gt;0,VLOOKUP(H1200,'3-Productie normen'!A:P,VLOOKUP(L1200,'3-Productie normen'!$B$31:$C$45,2,FALSE),FALSE)))/VLOOKUP(B1200,'2-Kosten per locatie'!$A$13:$D$36,4,FALSE)</f>
        <v>0</v>
      </c>
      <c r="P1200" s="82" t="str">
        <f>VLOOKUP(H1200,'3-Productie normen'!A:T,20,FALSE)</f>
        <v>V</v>
      </c>
      <c r="Q1200" s="447"/>
      <c r="S1200" s="356">
        <f t="shared" si="97"/>
        <v>17671.5</v>
      </c>
    </row>
    <row r="1201" spans="1:19" ht="14.1" customHeight="1">
      <c r="A1201" s="72">
        <f t="shared" si="94"/>
        <v>1201</v>
      </c>
      <c r="B1201" s="50" t="s">
        <v>821</v>
      </c>
      <c r="C1201" s="50" t="s">
        <v>840</v>
      </c>
      <c r="D1201" s="427" t="s">
        <v>1034</v>
      </c>
      <c r="E1201" s="426" t="s">
        <v>275</v>
      </c>
      <c r="F1201" s="349" t="s">
        <v>772</v>
      </c>
      <c r="G1201" s="86" t="s">
        <v>201</v>
      </c>
      <c r="H1201" s="86" t="s">
        <v>16</v>
      </c>
      <c r="I1201" s="86" t="s">
        <v>91</v>
      </c>
      <c r="J1201" s="343">
        <v>2.69</v>
      </c>
      <c r="K1201" s="351">
        <f t="shared" si="99"/>
        <v>255</v>
      </c>
      <c r="L1201" s="484">
        <v>255</v>
      </c>
      <c r="M1201" s="448" t="str">
        <f>IF(L1201="nio","",VLOOKUP(L1201,'3-Productie normen'!$B$31:$H$45,3,FALSE))</f>
        <v>5 x per week (52 weken)</v>
      </c>
      <c r="N1201" s="353" t="e">
        <f t="shared" si="98"/>
        <v>#DIV/0!</v>
      </c>
      <c r="O1201" s="354">
        <f>IF(L1201="nio",0,IF(L1201&gt;0,VLOOKUP(H1201,'3-Productie normen'!A:P,VLOOKUP(L1201,'3-Productie normen'!$B$31:$C$45,2,FALSE),FALSE)))/VLOOKUP(B1201,'2-Kosten per locatie'!$A$13:$D$36,4,FALSE)</f>
        <v>0</v>
      </c>
      <c r="P1201" s="82" t="str">
        <f>VLOOKUP(H1201,'3-Productie normen'!A:T,20,FALSE)</f>
        <v>S</v>
      </c>
      <c r="Q1201" s="447"/>
      <c r="S1201" s="356">
        <f t="shared" si="97"/>
        <v>685.94999999999993</v>
      </c>
    </row>
    <row r="1202" spans="1:19" ht="14.1" customHeight="1">
      <c r="A1202" s="72">
        <f t="shared" si="94"/>
        <v>1202</v>
      </c>
      <c r="B1202" s="50" t="s">
        <v>821</v>
      </c>
      <c r="C1202" s="50" t="s">
        <v>840</v>
      </c>
      <c r="D1202" s="427" t="s">
        <v>1034</v>
      </c>
      <c r="E1202" s="426" t="s">
        <v>275</v>
      </c>
      <c r="F1202" s="349" t="s">
        <v>773</v>
      </c>
      <c r="G1202" s="86" t="s">
        <v>222</v>
      </c>
      <c r="H1202" s="86" t="s">
        <v>16</v>
      </c>
      <c r="I1202" s="86" t="s">
        <v>91</v>
      </c>
      <c r="J1202" s="343">
        <v>1.3</v>
      </c>
      <c r="K1202" s="351">
        <f t="shared" si="99"/>
        <v>255</v>
      </c>
      <c r="L1202" s="484">
        <v>255</v>
      </c>
      <c r="M1202" s="448" t="str">
        <f>IF(L1202="nio","",VLOOKUP(L1202,'3-Productie normen'!$B$31:$H$45,3,FALSE))</f>
        <v>5 x per week (52 weken)</v>
      </c>
      <c r="N1202" s="353" t="e">
        <f t="shared" si="98"/>
        <v>#DIV/0!</v>
      </c>
      <c r="O1202" s="354">
        <f>IF(L1202="nio",0,IF(L1202&gt;0,VLOOKUP(H1202,'3-Productie normen'!A:P,VLOOKUP(L1202,'3-Productie normen'!$B$31:$C$45,2,FALSE),FALSE)))/VLOOKUP(B1202,'2-Kosten per locatie'!$A$13:$D$36,4,FALSE)</f>
        <v>0</v>
      </c>
      <c r="P1202" s="82" t="str">
        <f>VLOOKUP(H1202,'3-Productie normen'!A:T,20,FALSE)</f>
        <v>S</v>
      </c>
      <c r="Q1202" s="447"/>
      <c r="S1202" s="356">
        <f t="shared" ref="S1202:S1246" si="100">IF(L1202="nio",0,K1202*J1202)</f>
        <v>331.5</v>
      </c>
    </row>
    <row r="1203" spans="1:19" ht="14.1" customHeight="1">
      <c r="A1203" s="72">
        <f t="shared" si="94"/>
        <v>1203</v>
      </c>
      <c r="B1203" s="50" t="s">
        <v>821</v>
      </c>
      <c r="C1203" s="50" t="s">
        <v>840</v>
      </c>
      <c r="D1203" s="427" t="s">
        <v>1034</v>
      </c>
      <c r="E1203" s="426" t="s">
        <v>275</v>
      </c>
      <c r="F1203" s="349" t="s">
        <v>774</v>
      </c>
      <c r="G1203" s="86" t="s">
        <v>201</v>
      </c>
      <c r="H1203" s="86" t="s">
        <v>16</v>
      </c>
      <c r="I1203" s="86" t="s">
        <v>91</v>
      </c>
      <c r="J1203" s="343">
        <v>2.69</v>
      </c>
      <c r="K1203" s="351">
        <f t="shared" si="99"/>
        <v>255</v>
      </c>
      <c r="L1203" s="484">
        <v>255</v>
      </c>
      <c r="M1203" s="448" t="str">
        <f>IF(L1203="nio","",VLOOKUP(L1203,'3-Productie normen'!$B$31:$H$45,3,FALSE))</f>
        <v>5 x per week (52 weken)</v>
      </c>
      <c r="N1203" s="353" t="e">
        <f t="shared" si="98"/>
        <v>#DIV/0!</v>
      </c>
      <c r="O1203" s="354">
        <f>IF(L1203="nio",0,IF(L1203&gt;0,VLOOKUP(H1203,'3-Productie normen'!A:P,VLOOKUP(L1203,'3-Productie normen'!$B$31:$C$45,2,FALSE),FALSE)))/VLOOKUP(B1203,'2-Kosten per locatie'!$A$13:$D$36,4,FALSE)</f>
        <v>0</v>
      </c>
      <c r="P1203" s="82" t="str">
        <f>VLOOKUP(H1203,'3-Productie normen'!A:T,20,FALSE)</f>
        <v>S</v>
      </c>
      <c r="Q1203" s="447"/>
      <c r="S1203" s="356">
        <f t="shared" si="100"/>
        <v>685.94999999999993</v>
      </c>
    </row>
    <row r="1204" spans="1:19" ht="14.1" customHeight="1">
      <c r="A1204" s="72">
        <f t="shared" si="94"/>
        <v>1204</v>
      </c>
      <c r="B1204" s="50" t="s">
        <v>821</v>
      </c>
      <c r="C1204" s="50" t="s">
        <v>840</v>
      </c>
      <c r="D1204" s="427" t="s">
        <v>1034</v>
      </c>
      <c r="E1204" s="426" t="s">
        <v>275</v>
      </c>
      <c r="F1204" s="349" t="s">
        <v>775</v>
      </c>
      <c r="G1204" s="86" t="s">
        <v>222</v>
      </c>
      <c r="H1204" s="86" t="s">
        <v>16</v>
      </c>
      <c r="I1204" s="86" t="s">
        <v>91</v>
      </c>
      <c r="J1204" s="343">
        <v>1.3</v>
      </c>
      <c r="K1204" s="351">
        <f t="shared" si="99"/>
        <v>255</v>
      </c>
      <c r="L1204" s="484">
        <v>255</v>
      </c>
      <c r="M1204" s="448" t="str">
        <f>IF(L1204="nio","",VLOOKUP(L1204,'3-Productie normen'!$B$31:$H$45,3,FALSE))</f>
        <v>5 x per week (52 weken)</v>
      </c>
      <c r="N1204" s="353" t="e">
        <f t="shared" si="98"/>
        <v>#DIV/0!</v>
      </c>
      <c r="O1204" s="354">
        <f>IF(L1204="nio",0,IF(L1204&gt;0,VLOOKUP(H1204,'3-Productie normen'!A:P,VLOOKUP(L1204,'3-Productie normen'!$B$31:$C$45,2,FALSE),FALSE)))/VLOOKUP(B1204,'2-Kosten per locatie'!$A$13:$D$36,4,FALSE)</f>
        <v>0</v>
      </c>
      <c r="P1204" s="82" t="str">
        <f>VLOOKUP(H1204,'3-Productie normen'!A:T,20,FALSE)</f>
        <v>S</v>
      </c>
      <c r="Q1204" s="447"/>
      <c r="S1204" s="356">
        <f t="shared" si="100"/>
        <v>331.5</v>
      </c>
    </row>
    <row r="1205" spans="1:19" ht="14.1" customHeight="1">
      <c r="A1205" s="72">
        <f t="shared" si="94"/>
        <v>1205</v>
      </c>
      <c r="B1205" s="50" t="s">
        <v>821</v>
      </c>
      <c r="C1205" s="50" t="s">
        <v>840</v>
      </c>
      <c r="D1205" s="427" t="s">
        <v>1034</v>
      </c>
      <c r="E1205" s="426" t="s">
        <v>275</v>
      </c>
      <c r="F1205" s="349" t="s">
        <v>761</v>
      </c>
      <c r="G1205" s="86" t="s">
        <v>201</v>
      </c>
      <c r="H1205" s="432" t="s">
        <v>198</v>
      </c>
      <c r="I1205" s="86" t="s">
        <v>780</v>
      </c>
      <c r="J1205" s="343">
        <v>6</v>
      </c>
      <c r="K1205" s="351">
        <f t="shared" si="99"/>
        <v>255</v>
      </c>
      <c r="L1205" s="484">
        <v>255</v>
      </c>
      <c r="M1205" s="448" t="str">
        <f>IF(L1205="nio","",VLOOKUP(L1205,'3-Productie normen'!$B$31:$H$45,3,FALSE))</f>
        <v>5 x per week (52 weken)</v>
      </c>
      <c r="N1205" s="353" t="e">
        <f t="shared" si="98"/>
        <v>#DIV/0!</v>
      </c>
      <c r="O1205" s="354">
        <f>IF(L1205="nio",0,IF(L1205&gt;0,VLOOKUP(H1205,'3-Productie normen'!A:P,VLOOKUP(L1205,'3-Productie normen'!$B$31:$C$45,2,FALSE),FALSE)))/VLOOKUP(B1205,'2-Kosten per locatie'!$A$13:$D$36,4,FALSE)</f>
        <v>0</v>
      </c>
      <c r="P1205" s="82" t="str">
        <f>VLOOKUP(H1205,'3-Productie normen'!A:T,20,FALSE)</f>
        <v>V</v>
      </c>
      <c r="Q1205" s="447"/>
      <c r="S1205" s="356">
        <f t="shared" si="100"/>
        <v>1530</v>
      </c>
    </row>
    <row r="1206" spans="1:19" ht="14.1" customHeight="1">
      <c r="A1206" s="72">
        <f t="shared" si="94"/>
        <v>1206</v>
      </c>
      <c r="B1206" s="50" t="s">
        <v>821</v>
      </c>
      <c r="C1206" s="50" t="s">
        <v>840</v>
      </c>
      <c r="D1206" s="427" t="s">
        <v>1034</v>
      </c>
      <c r="E1206" s="426" t="s">
        <v>275</v>
      </c>
      <c r="F1206" s="349" t="s">
        <v>762</v>
      </c>
      <c r="G1206" s="86" t="s">
        <v>388</v>
      </c>
      <c r="H1206" s="86" t="s">
        <v>203</v>
      </c>
      <c r="I1206" s="86" t="s">
        <v>780</v>
      </c>
      <c r="J1206" s="343">
        <v>12.8</v>
      </c>
      <c r="K1206" s="351">
        <f t="shared" si="99"/>
        <v>104</v>
      </c>
      <c r="L1206" s="484">
        <v>104</v>
      </c>
      <c r="M1206" s="448" t="str">
        <f>IF(L1206="nio","",VLOOKUP(L1206,'3-Productie normen'!$B$31:$H$45,3,FALSE))</f>
        <v>2x per week (52 weken)</v>
      </c>
      <c r="N1206" s="353" t="e">
        <f t="shared" si="98"/>
        <v>#DIV/0!</v>
      </c>
      <c r="O1206" s="354">
        <f>IF(L1206="nio",0,IF(L1206&gt;0,VLOOKUP(H1206,'3-Productie normen'!A:P,VLOOKUP(L1206,'3-Productie normen'!$B$31:$C$45,2,FALSE),FALSE)))/VLOOKUP(B1206,'2-Kosten per locatie'!$A$13:$D$36,4,FALSE)</f>
        <v>0</v>
      </c>
      <c r="P1206" s="82" t="str">
        <f>VLOOKUP(H1206,'3-Productie normen'!A:T,20,FALSE)</f>
        <v>B</v>
      </c>
      <c r="Q1206" s="447"/>
      <c r="S1206" s="356">
        <f t="shared" si="100"/>
        <v>1331.2</v>
      </c>
    </row>
    <row r="1207" spans="1:19" ht="14.1" customHeight="1">
      <c r="A1207" s="72">
        <f t="shared" si="94"/>
        <v>1207</v>
      </c>
      <c r="B1207" s="50" t="s">
        <v>821</v>
      </c>
      <c r="C1207" s="50" t="s">
        <v>840</v>
      </c>
      <c r="D1207" s="427" t="s">
        <v>1034</v>
      </c>
      <c r="E1207" s="426" t="s">
        <v>275</v>
      </c>
      <c r="F1207" s="349" t="s">
        <v>763</v>
      </c>
      <c r="G1207" s="86" t="s">
        <v>209</v>
      </c>
      <c r="H1207" s="65" t="s">
        <v>1053</v>
      </c>
      <c r="I1207" s="86" t="s">
        <v>780</v>
      </c>
      <c r="J1207" s="343">
        <v>2.2690000000000001</v>
      </c>
      <c r="K1207" s="351" t="str">
        <f t="shared" si="99"/>
        <v>nio</v>
      </c>
      <c r="L1207" s="484" t="s">
        <v>804</v>
      </c>
      <c r="M1207" s="448" t="str">
        <f>IF(L1207="nio","",VLOOKUP(L1207,'3-Productie normen'!$B$31:$H$45,3,FALSE))</f>
        <v/>
      </c>
      <c r="N1207" s="353">
        <f t="shared" si="98"/>
        <v>0</v>
      </c>
      <c r="O1207" s="354">
        <f>IF(L1207="nio",0,IF(L1207&gt;0,VLOOKUP(H1207,'3-Productie normen'!A:P,VLOOKUP(L1207,'3-Productie normen'!$B$31:$C$45,2,FALSE),FALSE)))/VLOOKUP(B1207,'2-Kosten per locatie'!$A$13:$D$36,4,FALSE)</f>
        <v>0</v>
      </c>
      <c r="P1207" s="82">
        <f>VLOOKUP(H1207,'3-Productie normen'!A:T,20,FALSE)</f>
        <v>0</v>
      </c>
      <c r="Q1207" s="447"/>
      <c r="S1207" s="356">
        <f t="shared" si="100"/>
        <v>0</v>
      </c>
    </row>
    <row r="1208" spans="1:19" ht="14.1" customHeight="1">
      <c r="A1208" s="72">
        <f t="shared" si="94"/>
        <v>1208</v>
      </c>
      <c r="B1208" s="50" t="s">
        <v>821</v>
      </c>
      <c r="C1208" s="50" t="s">
        <v>840</v>
      </c>
      <c r="D1208" s="427" t="s">
        <v>1034</v>
      </c>
      <c r="E1208" s="426" t="s">
        <v>275</v>
      </c>
      <c r="F1208" s="349" t="s">
        <v>764</v>
      </c>
      <c r="G1208" s="87" t="s">
        <v>279</v>
      </c>
      <c r="H1208" s="63" t="s">
        <v>151</v>
      </c>
      <c r="I1208" s="86" t="s">
        <v>780</v>
      </c>
      <c r="J1208" s="343">
        <v>17.600000000000001</v>
      </c>
      <c r="K1208" s="351">
        <f t="shared" si="99"/>
        <v>104</v>
      </c>
      <c r="L1208" s="484">
        <v>104</v>
      </c>
      <c r="M1208" s="448" t="str">
        <f>IF(L1208="nio","",VLOOKUP(L1208,'3-Productie normen'!$B$31:$H$45,3,FALSE))</f>
        <v>2x per week (52 weken)</v>
      </c>
      <c r="N1208" s="353" t="e">
        <f t="shared" si="98"/>
        <v>#DIV/0!</v>
      </c>
      <c r="O1208" s="354">
        <f>IF(L1208="nio",0,IF(L1208&gt;0,VLOOKUP(H1208,'3-Productie normen'!A:P,VLOOKUP(L1208,'3-Productie normen'!$B$31:$C$45,2,FALSE),FALSE)))/VLOOKUP(B1208,'2-Kosten per locatie'!$A$13:$D$36,4,FALSE)</f>
        <v>0</v>
      </c>
      <c r="P1208" s="82" t="str">
        <f>VLOOKUP(H1208,'3-Productie normen'!A:T,20,FALSE)</f>
        <v>V</v>
      </c>
      <c r="Q1208" s="447"/>
      <c r="S1208" s="356">
        <f t="shared" si="100"/>
        <v>1830.4</v>
      </c>
    </row>
    <row r="1209" spans="1:19" ht="14.1" customHeight="1">
      <c r="A1209" s="72">
        <f t="shared" si="94"/>
        <v>1209</v>
      </c>
      <c r="B1209" s="50" t="s">
        <v>821</v>
      </c>
      <c r="C1209" s="50" t="s">
        <v>840</v>
      </c>
      <c r="D1209" s="427" t="s">
        <v>1034</v>
      </c>
      <c r="E1209" s="426" t="s">
        <v>275</v>
      </c>
      <c r="F1209" s="349" t="s">
        <v>765</v>
      </c>
      <c r="G1209" s="86" t="s">
        <v>398</v>
      </c>
      <c r="H1209" s="50" t="s">
        <v>203</v>
      </c>
      <c r="I1209" s="86" t="s">
        <v>780</v>
      </c>
      <c r="J1209" s="343">
        <v>6</v>
      </c>
      <c r="K1209" s="351">
        <f t="shared" si="99"/>
        <v>104</v>
      </c>
      <c r="L1209" s="484">
        <v>104</v>
      </c>
      <c r="M1209" s="448" t="str">
        <f>IF(L1209="nio","",VLOOKUP(L1209,'3-Productie normen'!$B$31:$H$45,3,FALSE))</f>
        <v>2x per week (52 weken)</v>
      </c>
      <c r="N1209" s="353" t="e">
        <f t="shared" si="98"/>
        <v>#DIV/0!</v>
      </c>
      <c r="O1209" s="354">
        <f>IF(L1209="nio",0,IF(L1209&gt;0,VLOOKUP(H1209,'3-Productie normen'!A:P,VLOOKUP(L1209,'3-Productie normen'!$B$31:$C$45,2,FALSE),FALSE)))/VLOOKUP(B1209,'2-Kosten per locatie'!$A$13:$D$36,4,FALSE)</f>
        <v>0</v>
      </c>
      <c r="P1209" s="82" t="str">
        <f>VLOOKUP(H1209,'3-Productie normen'!A:T,20,FALSE)</f>
        <v>B</v>
      </c>
      <c r="Q1209" s="447"/>
      <c r="S1209" s="356">
        <f t="shared" si="100"/>
        <v>624</v>
      </c>
    </row>
    <row r="1210" spans="1:19" ht="14.1" customHeight="1">
      <c r="A1210" s="72">
        <f t="shared" si="94"/>
        <v>1210</v>
      </c>
      <c r="B1210" s="50" t="s">
        <v>822</v>
      </c>
      <c r="C1210" s="50" t="s">
        <v>841</v>
      </c>
      <c r="D1210" s="427" t="s">
        <v>1034</v>
      </c>
      <c r="E1210" s="426" t="s">
        <v>612</v>
      </c>
      <c r="F1210" s="349" t="s">
        <v>197</v>
      </c>
      <c r="G1210" s="86" t="s">
        <v>89</v>
      </c>
      <c r="H1210" s="432" t="s">
        <v>198</v>
      </c>
      <c r="I1210" s="86" t="s">
        <v>779</v>
      </c>
      <c r="J1210" s="343">
        <v>10.1</v>
      </c>
      <c r="K1210" s="351">
        <f t="shared" si="99"/>
        <v>255</v>
      </c>
      <c r="L1210" s="484">
        <v>255</v>
      </c>
      <c r="M1210" s="448" t="str">
        <f>IF(L1210="nio","",VLOOKUP(L1210,'3-Productie normen'!$B$31:$H$45,3,FALSE))</f>
        <v>5 x per week (52 weken)</v>
      </c>
      <c r="N1210" s="353" t="e">
        <f t="shared" si="98"/>
        <v>#DIV/0!</v>
      </c>
      <c r="O1210" s="354">
        <f>IF(L1210="nio",0,IF(L1210&gt;0,VLOOKUP(H1210,'3-Productie normen'!A:P,VLOOKUP(L1210,'3-Productie normen'!$B$31:$C$45,2,FALSE),FALSE)))/VLOOKUP(B1210,'2-Kosten per locatie'!$A$13:$D$36,4,FALSE)</f>
        <v>0</v>
      </c>
      <c r="P1210" s="82" t="str">
        <f>VLOOKUP(H1210,'3-Productie normen'!A:T,20,FALSE)</f>
        <v>V</v>
      </c>
      <c r="Q1210" s="447"/>
      <c r="S1210" s="356">
        <f t="shared" si="100"/>
        <v>2575.5</v>
      </c>
    </row>
    <row r="1211" spans="1:19" ht="14.1" customHeight="1">
      <c r="A1211" s="72">
        <f t="shared" si="94"/>
        <v>1211</v>
      </c>
      <c r="B1211" s="50" t="s">
        <v>822</v>
      </c>
      <c r="C1211" s="50" t="s">
        <v>841</v>
      </c>
      <c r="D1211" s="427" t="s">
        <v>1034</v>
      </c>
      <c r="E1211" s="426" t="s">
        <v>612</v>
      </c>
      <c r="F1211" s="349" t="s">
        <v>200</v>
      </c>
      <c r="G1211" s="86" t="s">
        <v>201</v>
      </c>
      <c r="H1211" s="432" t="s">
        <v>198</v>
      </c>
      <c r="I1211" s="86" t="s">
        <v>780</v>
      </c>
      <c r="J1211" s="343">
        <v>49.13</v>
      </c>
      <c r="K1211" s="351">
        <f t="shared" si="99"/>
        <v>255</v>
      </c>
      <c r="L1211" s="484">
        <v>255</v>
      </c>
      <c r="M1211" s="448" t="str">
        <f>IF(L1211="nio","",VLOOKUP(L1211,'3-Productie normen'!$B$31:$H$45,3,FALSE))</f>
        <v>5 x per week (52 weken)</v>
      </c>
      <c r="N1211" s="353" t="e">
        <f t="shared" si="98"/>
        <v>#DIV/0!</v>
      </c>
      <c r="O1211" s="354">
        <f>IF(L1211="nio",0,IF(L1211&gt;0,VLOOKUP(H1211,'3-Productie normen'!A:P,VLOOKUP(L1211,'3-Productie normen'!$B$31:$C$45,2,FALSE),FALSE)))/VLOOKUP(B1211,'2-Kosten per locatie'!$A$13:$D$36,4,FALSE)</f>
        <v>0</v>
      </c>
      <c r="P1211" s="82" t="str">
        <f>VLOOKUP(H1211,'3-Productie normen'!A:T,20,FALSE)</f>
        <v>V</v>
      </c>
      <c r="Q1211" s="447"/>
      <c r="S1211" s="356">
        <f t="shared" si="100"/>
        <v>12528.150000000001</v>
      </c>
    </row>
    <row r="1212" spans="1:19" ht="14.1" customHeight="1">
      <c r="A1212" s="72">
        <f t="shared" si="94"/>
        <v>1212</v>
      </c>
      <c r="B1212" s="50" t="s">
        <v>822</v>
      </c>
      <c r="C1212" s="50" t="s">
        <v>841</v>
      </c>
      <c r="D1212" s="427" t="s">
        <v>1034</v>
      </c>
      <c r="E1212" s="426" t="s">
        <v>612</v>
      </c>
      <c r="F1212" s="349" t="s">
        <v>202</v>
      </c>
      <c r="G1212" s="86" t="s">
        <v>238</v>
      </c>
      <c r="H1212" s="65" t="s">
        <v>731</v>
      </c>
      <c r="I1212" s="86" t="s">
        <v>780</v>
      </c>
      <c r="J1212" s="343">
        <v>50.14</v>
      </c>
      <c r="K1212" s="351">
        <f t="shared" si="99"/>
        <v>255</v>
      </c>
      <c r="L1212" s="484">
        <v>255</v>
      </c>
      <c r="M1212" s="448" t="str">
        <f>IF(L1212="nio","",VLOOKUP(L1212,'3-Productie normen'!$B$31:$H$45,3,FALSE))</f>
        <v>5 x per week (52 weken)</v>
      </c>
      <c r="N1212" s="353" t="e">
        <f t="shared" si="98"/>
        <v>#DIV/0!</v>
      </c>
      <c r="O1212" s="354">
        <f>IF(L1212="nio",0,IF(L1212&gt;0,VLOOKUP(H1212,'3-Productie normen'!A:P,VLOOKUP(L1212,'3-Productie normen'!$B$31:$C$45,2,FALSE),FALSE)))/VLOOKUP(B1212,'2-Kosten per locatie'!$A$13:$D$36,4,FALSE)</f>
        <v>0</v>
      </c>
      <c r="P1212" s="82" t="str">
        <f>VLOOKUP(H1212,'3-Productie normen'!A:T,20,FALSE)</f>
        <v>V</v>
      </c>
      <c r="Q1212" s="447"/>
      <c r="S1212" s="356">
        <f t="shared" si="100"/>
        <v>12785.7</v>
      </c>
    </row>
    <row r="1213" spans="1:19" ht="14.1" customHeight="1">
      <c r="A1213" s="72">
        <f t="shared" si="94"/>
        <v>1213</v>
      </c>
      <c r="B1213" s="50" t="s">
        <v>822</v>
      </c>
      <c r="C1213" s="50" t="s">
        <v>841</v>
      </c>
      <c r="D1213" s="427" t="s">
        <v>1034</v>
      </c>
      <c r="E1213" s="426" t="s">
        <v>612</v>
      </c>
      <c r="F1213" s="349" t="s">
        <v>205</v>
      </c>
      <c r="G1213" s="86" t="s">
        <v>256</v>
      </c>
      <c r="H1213" s="65" t="s">
        <v>731</v>
      </c>
      <c r="I1213" s="86" t="s">
        <v>780</v>
      </c>
      <c r="J1213" s="343">
        <v>13.19</v>
      </c>
      <c r="K1213" s="351">
        <f t="shared" si="99"/>
        <v>255</v>
      </c>
      <c r="L1213" s="484">
        <v>255</v>
      </c>
      <c r="M1213" s="448" t="str">
        <f>IF(L1213="nio","",VLOOKUP(L1213,'3-Productie normen'!$B$31:$H$45,3,FALSE))</f>
        <v>5 x per week (52 weken)</v>
      </c>
      <c r="N1213" s="353" t="e">
        <f t="shared" si="98"/>
        <v>#DIV/0!</v>
      </c>
      <c r="O1213" s="354">
        <f>IF(L1213="nio",0,IF(L1213&gt;0,VLOOKUP(H1213,'3-Productie normen'!A:P,VLOOKUP(L1213,'3-Productie normen'!$B$31:$C$45,2,FALSE),FALSE)))/VLOOKUP(B1213,'2-Kosten per locatie'!$A$13:$D$36,4,FALSE)</f>
        <v>0</v>
      </c>
      <c r="P1213" s="82" t="str">
        <f>VLOOKUP(H1213,'3-Productie normen'!A:T,20,FALSE)</f>
        <v>V</v>
      </c>
      <c r="Q1213" s="447"/>
      <c r="S1213" s="356">
        <f t="shared" si="100"/>
        <v>3363.45</v>
      </c>
    </row>
    <row r="1214" spans="1:19" ht="14.1" customHeight="1">
      <c r="A1214" s="72">
        <f t="shared" si="94"/>
        <v>1214</v>
      </c>
      <c r="B1214" s="50" t="s">
        <v>822</v>
      </c>
      <c r="C1214" s="50" t="s">
        <v>841</v>
      </c>
      <c r="D1214" s="427" t="s">
        <v>1034</v>
      </c>
      <c r="E1214" s="426" t="s">
        <v>612</v>
      </c>
      <c r="F1214" s="349" t="s">
        <v>207</v>
      </c>
      <c r="G1214" s="86" t="s">
        <v>368</v>
      </c>
      <c r="H1214" s="431" t="s">
        <v>198</v>
      </c>
      <c r="I1214" s="86" t="s">
        <v>780</v>
      </c>
      <c r="J1214" s="343">
        <v>11.93</v>
      </c>
      <c r="K1214" s="351">
        <f t="shared" si="99"/>
        <v>255</v>
      </c>
      <c r="L1214" s="484">
        <v>255</v>
      </c>
      <c r="M1214" s="448" t="str">
        <f>IF(L1214="nio","",VLOOKUP(L1214,'3-Productie normen'!$B$31:$H$45,3,FALSE))</f>
        <v>5 x per week (52 weken)</v>
      </c>
      <c r="N1214" s="353" t="e">
        <f t="shared" si="98"/>
        <v>#DIV/0!</v>
      </c>
      <c r="O1214" s="354">
        <f>IF(L1214="nio",0,IF(L1214&gt;0,VLOOKUP(H1214,'3-Productie normen'!A:P,VLOOKUP(L1214,'3-Productie normen'!$B$31:$C$45,2,FALSE),FALSE)))/VLOOKUP(B1214,'2-Kosten per locatie'!$A$13:$D$36,4,FALSE)</f>
        <v>0</v>
      </c>
      <c r="P1214" s="82" t="str">
        <f>VLOOKUP(H1214,'3-Productie normen'!A:T,20,FALSE)</f>
        <v>V</v>
      </c>
      <c r="Q1214" s="447"/>
      <c r="S1214" s="356">
        <f t="shared" si="100"/>
        <v>3042.15</v>
      </c>
    </row>
    <row r="1215" spans="1:19" ht="14.1" customHeight="1">
      <c r="A1215" s="72">
        <f t="shared" si="94"/>
        <v>1215</v>
      </c>
      <c r="B1215" s="50" t="s">
        <v>822</v>
      </c>
      <c r="C1215" s="50" t="s">
        <v>841</v>
      </c>
      <c r="D1215" s="427" t="s">
        <v>1034</v>
      </c>
      <c r="E1215" s="426" t="s">
        <v>612</v>
      </c>
      <c r="F1215" s="349" t="s">
        <v>208</v>
      </c>
      <c r="G1215" s="86" t="s">
        <v>388</v>
      </c>
      <c r="H1215" s="86" t="s">
        <v>203</v>
      </c>
      <c r="I1215" s="86" t="s">
        <v>780</v>
      </c>
      <c r="J1215" s="343">
        <v>12.678599999999999</v>
      </c>
      <c r="K1215" s="351">
        <f t="shared" si="99"/>
        <v>104</v>
      </c>
      <c r="L1215" s="484">
        <v>104</v>
      </c>
      <c r="M1215" s="448" t="str">
        <f>IF(L1215="nio","",VLOOKUP(L1215,'3-Productie normen'!$B$31:$H$45,3,FALSE))</f>
        <v>2x per week (52 weken)</v>
      </c>
      <c r="N1215" s="353" t="e">
        <f t="shared" si="98"/>
        <v>#DIV/0!</v>
      </c>
      <c r="O1215" s="354">
        <f>IF(L1215="nio",0,IF(L1215&gt;0,VLOOKUP(H1215,'3-Productie normen'!A:P,VLOOKUP(L1215,'3-Productie normen'!$B$31:$C$45,2,FALSE),FALSE)))/VLOOKUP(B1215,'2-Kosten per locatie'!$A$13:$D$36,4,FALSE)</f>
        <v>0</v>
      </c>
      <c r="P1215" s="82" t="str">
        <f>VLOOKUP(H1215,'3-Productie normen'!A:T,20,FALSE)</f>
        <v>B</v>
      </c>
      <c r="Q1215" s="447"/>
      <c r="S1215" s="356">
        <f t="shared" si="100"/>
        <v>1318.5744</v>
      </c>
    </row>
    <row r="1216" spans="1:19" ht="14.1" customHeight="1">
      <c r="A1216" s="72">
        <f t="shared" si="94"/>
        <v>1216</v>
      </c>
      <c r="B1216" s="50" t="s">
        <v>822</v>
      </c>
      <c r="C1216" s="50" t="s">
        <v>841</v>
      </c>
      <c r="D1216" s="427" t="s">
        <v>1034</v>
      </c>
      <c r="E1216" s="426" t="s">
        <v>612</v>
      </c>
      <c r="F1216" s="349" t="s">
        <v>210</v>
      </c>
      <c r="G1216" s="86" t="s">
        <v>388</v>
      </c>
      <c r="H1216" s="81" t="s">
        <v>203</v>
      </c>
      <c r="I1216" s="86" t="s">
        <v>780</v>
      </c>
      <c r="J1216" s="343">
        <v>13.305072000000001</v>
      </c>
      <c r="K1216" s="351">
        <f t="shared" si="99"/>
        <v>104</v>
      </c>
      <c r="L1216" s="484">
        <v>104</v>
      </c>
      <c r="M1216" s="448" t="str">
        <f>IF(L1216="nio","",VLOOKUP(L1216,'3-Productie normen'!$B$31:$H$45,3,FALSE))</f>
        <v>2x per week (52 weken)</v>
      </c>
      <c r="N1216" s="353" t="e">
        <f t="shared" si="98"/>
        <v>#DIV/0!</v>
      </c>
      <c r="O1216" s="354">
        <f>IF(L1216="nio",0,IF(L1216&gt;0,VLOOKUP(H1216,'3-Productie normen'!A:P,VLOOKUP(L1216,'3-Productie normen'!$B$31:$C$45,2,FALSE),FALSE)))/VLOOKUP(B1216,'2-Kosten per locatie'!$A$13:$D$36,4,FALSE)</f>
        <v>0</v>
      </c>
      <c r="P1216" s="82" t="str">
        <f>VLOOKUP(H1216,'3-Productie normen'!A:T,20,FALSE)</f>
        <v>B</v>
      </c>
      <c r="Q1216" s="447"/>
      <c r="S1216" s="356">
        <f t="shared" si="100"/>
        <v>1383.727488</v>
      </c>
    </row>
    <row r="1217" spans="1:19" ht="14.1" customHeight="1">
      <c r="A1217" s="72">
        <f t="shared" si="94"/>
        <v>1217</v>
      </c>
      <c r="B1217" s="50" t="s">
        <v>822</v>
      </c>
      <c r="C1217" s="50" t="s">
        <v>841</v>
      </c>
      <c r="D1217" s="427" t="s">
        <v>1034</v>
      </c>
      <c r="E1217" s="426" t="s">
        <v>612</v>
      </c>
      <c r="F1217" s="349" t="s">
        <v>211</v>
      </c>
      <c r="G1217" s="86" t="s">
        <v>776</v>
      </c>
      <c r="H1217" s="65" t="s">
        <v>731</v>
      </c>
      <c r="I1217" s="86" t="s">
        <v>780</v>
      </c>
      <c r="J1217" s="343">
        <v>8.6</v>
      </c>
      <c r="K1217" s="351">
        <f t="shared" si="99"/>
        <v>255</v>
      </c>
      <c r="L1217" s="484">
        <v>255</v>
      </c>
      <c r="M1217" s="448" t="str">
        <f>IF(L1217="nio","",VLOOKUP(L1217,'3-Productie normen'!$B$31:$H$45,3,FALSE))</f>
        <v>5 x per week (52 weken)</v>
      </c>
      <c r="N1217" s="353" t="e">
        <f t="shared" si="98"/>
        <v>#DIV/0!</v>
      </c>
      <c r="O1217" s="354">
        <f>IF(L1217="nio",0,IF(L1217&gt;0,VLOOKUP(H1217,'3-Productie normen'!A:P,VLOOKUP(L1217,'3-Productie normen'!$B$31:$C$45,2,FALSE),FALSE)))/VLOOKUP(B1217,'2-Kosten per locatie'!$A$13:$D$36,4,FALSE)</f>
        <v>0</v>
      </c>
      <c r="P1217" s="82" t="str">
        <f>VLOOKUP(H1217,'3-Productie normen'!A:T,20,FALSE)</f>
        <v>V</v>
      </c>
      <c r="Q1217" s="447"/>
      <c r="S1217" s="356">
        <f t="shared" si="100"/>
        <v>2193</v>
      </c>
    </row>
    <row r="1218" spans="1:19" ht="14.1" customHeight="1">
      <c r="A1218" s="72">
        <f t="shared" si="94"/>
        <v>1218</v>
      </c>
      <c r="B1218" s="50" t="s">
        <v>822</v>
      </c>
      <c r="C1218" s="50" t="s">
        <v>841</v>
      </c>
      <c r="D1218" s="427" t="s">
        <v>1034</v>
      </c>
      <c r="E1218" s="426" t="s">
        <v>612</v>
      </c>
      <c r="F1218" s="349" t="s">
        <v>213</v>
      </c>
      <c r="G1218" s="86" t="s">
        <v>253</v>
      </c>
      <c r="H1218" s="65" t="s">
        <v>731</v>
      </c>
      <c r="I1218" s="86" t="s">
        <v>780</v>
      </c>
      <c r="J1218" s="343">
        <v>8</v>
      </c>
      <c r="K1218" s="351">
        <f t="shared" si="99"/>
        <v>255</v>
      </c>
      <c r="L1218" s="484">
        <v>255</v>
      </c>
      <c r="M1218" s="448" t="str">
        <f>IF(L1218="nio","",VLOOKUP(L1218,'3-Productie normen'!$B$31:$H$45,3,FALSE))</f>
        <v>5 x per week (52 weken)</v>
      </c>
      <c r="N1218" s="353" t="e">
        <f t="shared" si="98"/>
        <v>#DIV/0!</v>
      </c>
      <c r="O1218" s="354">
        <f>IF(L1218="nio",0,IF(L1218&gt;0,VLOOKUP(H1218,'3-Productie normen'!A:P,VLOOKUP(L1218,'3-Productie normen'!$B$31:$C$45,2,FALSE),FALSE)))/VLOOKUP(B1218,'2-Kosten per locatie'!$A$13:$D$36,4,FALSE)</f>
        <v>0</v>
      </c>
      <c r="P1218" s="82" t="str">
        <f>VLOOKUP(H1218,'3-Productie normen'!A:T,20,FALSE)</f>
        <v>V</v>
      </c>
      <c r="Q1218" s="447"/>
      <c r="S1218" s="356">
        <f t="shared" si="100"/>
        <v>2040</v>
      </c>
    </row>
    <row r="1219" spans="1:19" ht="14.1" customHeight="1">
      <c r="A1219" s="72">
        <f t="shared" si="94"/>
        <v>1219</v>
      </c>
      <c r="B1219" s="50" t="s">
        <v>822</v>
      </c>
      <c r="C1219" s="50" t="s">
        <v>841</v>
      </c>
      <c r="D1219" s="427" t="s">
        <v>1034</v>
      </c>
      <c r="E1219" s="426" t="s">
        <v>612</v>
      </c>
      <c r="F1219" s="349" t="s">
        <v>214</v>
      </c>
      <c r="G1219" s="86" t="s">
        <v>253</v>
      </c>
      <c r="H1219" s="65" t="s">
        <v>731</v>
      </c>
      <c r="I1219" s="86" t="s">
        <v>780</v>
      </c>
      <c r="J1219" s="343">
        <v>7.88</v>
      </c>
      <c r="K1219" s="351">
        <f t="shared" si="99"/>
        <v>255</v>
      </c>
      <c r="L1219" s="484">
        <v>255</v>
      </c>
      <c r="M1219" s="448" t="str">
        <f>IF(L1219="nio","",VLOOKUP(L1219,'3-Productie normen'!$B$31:$H$45,3,FALSE))</f>
        <v>5 x per week (52 weken)</v>
      </c>
      <c r="N1219" s="353" t="e">
        <f t="shared" si="98"/>
        <v>#DIV/0!</v>
      </c>
      <c r="O1219" s="354">
        <f>IF(L1219="nio",0,IF(L1219&gt;0,VLOOKUP(H1219,'3-Productie normen'!A:P,VLOOKUP(L1219,'3-Productie normen'!$B$31:$C$45,2,FALSE),FALSE)))/VLOOKUP(B1219,'2-Kosten per locatie'!$A$13:$D$36,4,FALSE)</f>
        <v>0</v>
      </c>
      <c r="P1219" s="82" t="str">
        <f>VLOOKUP(H1219,'3-Productie normen'!A:T,20,FALSE)</f>
        <v>V</v>
      </c>
      <c r="Q1219" s="447"/>
      <c r="S1219" s="356">
        <f t="shared" si="100"/>
        <v>2009.3999999999999</v>
      </c>
    </row>
    <row r="1220" spans="1:19" ht="14.1" customHeight="1">
      <c r="A1220" s="72">
        <f t="shared" si="94"/>
        <v>1220</v>
      </c>
      <c r="B1220" s="50" t="s">
        <v>822</v>
      </c>
      <c r="C1220" s="50" t="s">
        <v>841</v>
      </c>
      <c r="D1220" s="427" t="s">
        <v>1034</v>
      </c>
      <c r="E1220" s="426" t="s">
        <v>612</v>
      </c>
      <c r="F1220" s="349" t="s">
        <v>216</v>
      </c>
      <c r="G1220" s="86" t="s">
        <v>256</v>
      </c>
      <c r="H1220" s="65" t="s">
        <v>731</v>
      </c>
      <c r="I1220" s="86" t="s">
        <v>780</v>
      </c>
      <c r="J1220" s="343">
        <v>19.38</v>
      </c>
      <c r="K1220" s="351">
        <f t="shared" si="99"/>
        <v>255</v>
      </c>
      <c r="L1220" s="484">
        <v>255</v>
      </c>
      <c r="M1220" s="448" t="str">
        <f>IF(L1220="nio","",VLOOKUP(L1220,'3-Productie normen'!$B$31:$H$45,3,FALSE))</f>
        <v>5 x per week (52 weken)</v>
      </c>
      <c r="N1220" s="353" t="e">
        <f t="shared" si="98"/>
        <v>#DIV/0!</v>
      </c>
      <c r="O1220" s="354">
        <f>IF(L1220="nio",0,IF(L1220&gt;0,VLOOKUP(H1220,'3-Productie normen'!A:P,VLOOKUP(L1220,'3-Productie normen'!$B$31:$C$45,2,FALSE),FALSE)))/VLOOKUP(B1220,'2-Kosten per locatie'!$A$13:$D$36,4,FALSE)</f>
        <v>0</v>
      </c>
      <c r="P1220" s="82" t="str">
        <f>VLOOKUP(H1220,'3-Productie normen'!A:T,20,FALSE)</f>
        <v>V</v>
      </c>
      <c r="Q1220" s="447"/>
      <c r="S1220" s="356">
        <f t="shared" si="100"/>
        <v>4941.8999999999996</v>
      </c>
    </row>
    <row r="1221" spans="1:19" ht="14.1" customHeight="1">
      <c r="A1221" s="72">
        <f t="shared" si="94"/>
        <v>1221</v>
      </c>
      <c r="B1221" s="50" t="s">
        <v>822</v>
      </c>
      <c r="C1221" s="50" t="s">
        <v>841</v>
      </c>
      <c r="D1221" s="427" t="s">
        <v>1034</v>
      </c>
      <c r="E1221" s="426" t="s">
        <v>612</v>
      </c>
      <c r="F1221" s="349" t="s">
        <v>217</v>
      </c>
      <c r="G1221" s="86" t="s">
        <v>777</v>
      </c>
      <c r="H1221" s="81" t="s">
        <v>16</v>
      </c>
      <c r="I1221" s="86" t="s">
        <v>781</v>
      </c>
      <c r="J1221" s="343">
        <v>8.09</v>
      </c>
      <c r="K1221" s="351">
        <f t="shared" si="99"/>
        <v>255</v>
      </c>
      <c r="L1221" s="484">
        <v>255</v>
      </c>
      <c r="M1221" s="448" t="str">
        <f>IF(L1221="nio","",VLOOKUP(L1221,'3-Productie normen'!$B$31:$H$45,3,FALSE))</f>
        <v>5 x per week (52 weken)</v>
      </c>
      <c r="N1221" s="353" t="e">
        <f t="shared" si="98"/>
        <v>#DIV/0!</v>
      </c>
      <c r="O1221" s="354">
        <f>IF(L1221="nio",0,IF(L1221&gt;0,VLOOKUP(H1221,'3-Productie normen'!A:P,VLOOKUP(L1221,'3-Productie normen'!$B$31:$C$45,2,FALSE),FALSE)))/VLOOKUP(B1221,'2-Kosten per locatie'!$A$13:$D$36,4,FALSE)</f>
        <v>0</v>
      </c>
      <c r="P1221" s="82" t="str">
        <f>VLOOKUP(H1221,'3-Productie normen'!A:T,20,FALSE)</f>
        <v>S</v>
      </c>
      <c r="Q1221" s="447"/>
      <c r="S1221" s="356">
        <f t="shared" si="100"/>
        <v>2062.9499999999998</v>
      </c>
    </row>
    <row r="1222" spans="1:19" ht="14.1" customHeight="1">
      <c r="A1222" s="72">
        <f t="shared" si="94"/>
        <v>1222</v>
      </c>
      <c r="B1222" s="50" t="s">
        <v>822</v>
      </c>
      <c r="C1222" s="50" t="s">
        <v>841</v>
      </c>
      <c r="D1222" s="427" t="s">
        <v>1034</v>
      </c>
      <c r="E1222" s="426" t="s">
        <v>612</v>
      </c>
      <c r="F1222" s="349" t="s">
        <v>218</v>
      </c>
      <c r="G1222" s="86" t="s">
        <v>256</v>
      </c>
      <c r="H1222" s="65" t="s">
        <v>731</v>
      </c>
      <c r="I1222" s="86" t="s">
        <v>780</v>
      </c>
      <c r="J1222" s="343">
        <v>29.87</v>
      </c>
      <c r="K1222" s="351">
        <f t="shared" si="99"/>
        <v>255</v>
      </c>
      <c r="L1222" s="484">
        <v>255</v>
      </c>
      <c r="M1222" s="448" t="str">
        <f>IF(L1222="nio","",VLOOKUP(L1222,'3-Productie normen'!$B$31:$H$45,3,FALSE))</f>
        <v>5 x per week (52 weken)</v>
      </c>
      <c r="N1222" s="353" t="e">
        <f t="shared" si="98"/>
        <v>#DIV/0!</v>
      </c>
      <c r="O1222" s="354">
        <f>IF(L1222="nio",0,IF(L1222&gt;0,VLOOKUP(H1222,'3-Productie normen'!A:P,VLOOKUP(L1222,'3-Productie normen'!$B$31:$C$45,2,FALSE),FALSE)))/VLOOKUP(B1222,'2-Kosten per locatie'!$A$13:$D$36,4,FALSE)</f>
        <v>0</v>
      </c>
      <c r="P1222" s="82" t="str">
        <f>VLOOKUP(H1222,'3-Productie normen'!A:T,20,FALSE)</f>
        <v>V</v>
      </c>
      <c r="Q1222" s="447"/>
      <c r="S1222" s="356">
        <f t="shared" si="100"/>
        <v>7616.85</v>
      </c>
    </row>
    <row r="1223" spans="1:19" ht="14.1" customHeight="1">
      <c r="A1223" s="72">
        <f t="shared" si="94"/>
        <v>1223</v>
      </c>
      <c r="B1223" s="50" t="s">
        <v>822</v>
      </c>
      <c r="C1223" s="50" t="s">
        <v>841</v>
      </c>
      <c r="D1223" s="427" t="s">
        <v>1034</v>
      </c>
      <c r="E1223" s="426" t="s">
        <v>612</v>
      </c>
      <c r="F1223" s="349" t="s">
        <v>219</v>
      </c>
      <c r="G1223" s="86" t="s">
        <v>256</v>
      </c>
      <c r="H1223" s="65" t="s">
        <v>731</v>
      </c>
      <c r="I1223" s="86" t="s">
        <v>780</v>
      </c>
      <c r="J1223" s="343">
        <v>7.95</v>
      </c>
      <c r="K1223" s="351">
        <f t="shared" si="99"/>
        <v>255</v>
      </c>
      <c r="L1223" s="484">
        <v>255</v>
      </c>
      <c r="M1223" s="448" t="str">
        <f>IF(L1223="nio","",VLOOKUP(L1223,'3-Productie normen'!$B$31:$H$45,3,FALSE))</f>
        <v>5 x per week (52 weken)</v>
      </c>
      <c r="N1223" s="353" t="e">
        <f t="shared" si="98"/>
        <v>#DIV/0!</v>
      </c>
      <c r="O1223" s="354">
        <f>IF(L1223="nio",0,IF(L1223&gt;0,VLOOKUP(H1223,'3-Productie normen'!A:P,VLOOKUP(L1223,'3-Productie normen'!$B$31:$C$45,2,FALSE),FALSE)))/VLOOKUP(B1223,'2-Kosten per locatie'!$A$13:$D$36,4,FALSE)</f>
        <v>0</v>
      </c>
      <c r="P1223" s="82" t="str">
        <f>VLOOKUP(H1223,'3-Productie normen'!A:T,20,FALSE)</f>
        <v>V</v>
      </c>
      <c r="Q1223" s="447"/>
      <c r="S1223" s="356">
        <f t="shared" si="100"/>
        <v>2027.25</v>
      </c>
    </row>
    <row r="1224" spans="1:19" ht="14.1" customHeight="1">
      <c r="A1224" s="72">
        <f t="shared" si="94"/>
        <v>1224</v>
      </c>
      <c r="B1224" s="50" t="s">
        <v>822</v>
      </c>
      <c r="C1224" s="50" t="s">
        <v>841</v>
      </c>
      <c r="D1224" s="427" t="s">
        <v>1034</v>
      </c>
      <c r="E1224" s="426" t="s">
        <v>612</v>
      </c>
      <c r="F1224" s="349" t="s">
        <v>220</v>
      </c>
      <c r="G1224" s="86" t="s">
        <v>253</v>
      </c>
      <c r="H1224" s="65" t="s">
        <v>731</v>
      </c>
      <c r="I1224" s="86" t="s">
        <v>780</v>
      </c>
      <c r="J1224" s="343">
        <v>7.41</v>
      </c>
      <c r="K1224" s="351">
        <f t="shared" si="99"/>
        <v>255</v>
      </c>
      <c r="L1224" s="484">
        <v>255</v>
      </c>
      <c r="M1224" s="448" t="str">
        <f>IF(L1224="nio","",VLOOKUP(L1224,'3-Productie normen'!$B$31:$H$45,3,FALSE))</f>
        <v>5 x per week (52 weken)</v>
      </c>
      <c r="N1224" s="353" t="e">
        <f t="shared" si="98"/>
        <v>#DIV/0!</v>
      </c>
      <c r="O1224" s="354">
        <f>IF(L1224="nio",0,IF(L1224&gt;0,VLOOKUP(H1224,'3-Productie normen'!A:P,VLOOKUP(L1224,'3-Productie normen'!$B$31:$C$45,2,FALSE),FALSE)))/VLOOKUP(B1224,'2-Kosten per locatie'!$A$13:$D$36,4,FALSE)</f>
        <v>0</v>
      </c>
      <c r="P1224" s="82" t="str">
        <f>VLOOKUP(H1224,'3-Productie normen'!A:T,20,FALSE)</f>
        <v>V</v>
      </c>
      <c r="Q1224" s="447"/>
      <c r="S1224" s="356">
        <f t="shared" si="100"/>
        <v>1889.55</v>
      </c>
    </row>
    <row r="1225" spans="1:19" ht="14.1" customHeight="1">
      <c r="A1225" s="72">
        <f t="shared" si="94"/>
        <v>1225</v>
      </c>
      <c r="B1225" s="50" t="s">
        <v>822</v>
      </c>
      <c r="C1225" s="50" t="s">
        <v>841</v>
      </c>
      <c r="D1225" s="427" t="s">
        <v>1034</v>
      </c>
      <c r="E1225" s="426" t="s">
        <v>612</v>
      </c>
      <c r="F1225" s="349" t="s">
        <v>221</v>
      </c>
      <c r="G1225" s="86" t="s">
        <v>256</v>
      </c>
      <c r="H1225" s="65" t="s">
        <v>731</v>
      </c>
      <c r="I1225" s="86" t="s">
        <v>780</v>
      </c>
      <c r="J1225" s="343">
        <v>36.44</v>
      </c>
      <c r="K1225" s="351">
        <f t="shared" si="99"/>
        <v>255</v>
      </c>
      <c r="L1225" s="484">
        <v>255</v>
      </c>
      <c r="M1225" s="448" t="str">
        <f>IF(L1225="nio","",VLOOKUP(L1225,'3-Productie normen'!$B$31:$H$45,3,FALSE))</f>
        <v>5 x per week (52 weken)</v>
      </c>
      <c r="N1225" s="353" t="e">
        <f t="shared" si="98"/>
        <v>#DIV/0!</v>
      </c>
      <c r="O1225" s="354">
        <f>IF(L1225="nio",0,IF(L1225&gt;0,VLOOKUP(H1225,'3-Productie normen'!A:P,VLOOKUP(L1225,'3-Productie normen'!$B$31:$C$45,2,FALSE),FALSE)))/VLOOKUP(B1225,'2-Kosten per locatie'!$A$13:$D$36,4,FALSE)</f>
        <v>0</v>
      </c>
      <c r="P1225" s="82" t="str">
        <f>VLOOKUP(H1225,'3-Productie normen'!A:T,20,FALSE)</f>
        <v>V</v>
      </c>
      <c r="Q1225" s="447"/>
      <c r="S1225" s="356">
        <f t="shared" si="100"/>
        <v>9292.1999999999989</v>
      </c>
    </row>
    <row r="1226" spans="1:19" ht="14.1" customHeight="1">
      <c r="A1226" s="72">
        <f t="shared" si="94"/>
        <v>1226</v>
      </c>
      <c r="B1226" s="50" t="s">
        <v>822</v>
      </c>
      <c r="C1226" s="50" t="s">
        <v>841</v>
      </c>
      <c r="D1226" s="427" t="s">
        <v>1034</v>
      </c>
      <c r="E1226" s="426" t="s">
        <v>612</v>
      </c>
      <c r="F1226" s="349" t="s">
        <v>223</v>
      </c>
      <c r="G1226" s="431" t="s">
        <v>229</v>
      </c>
      <c r="H1226" s="433" t="s">
        <v>198</v>
      </c>
      <c r="I1226" s="86" t="s">
        <v>780</v>
      </c>
      <c r="J1226" s="343">
        <v>17.46</v>
      </c>
      <c r="K1226" s="351">
        <f t="shared" si="99"/>
        <v>255</v>
      </c>
      <c r="L1226" s="484">
        <v>255</v>
      </c>
      <c r="M1226" s="448" t="str">
        <f>IF(L1226="nio","",VLOOKUP(L1226,'3-Productie normen'!$B$31:$H$45,3,FALSE))</f>
        <v>5 x per week (52 weken)</v>
      </c>
      <c r="N1226" s="353" t="e">
        <f t="shared" si="98"/>
        <v>#DIV/0!</v>
      </c>
      <c r="O1226" s="354">
        <f>IF(L1226="nio",0,IF(L1226&gt;0,VLOOKUP(H1226,'3-Productie normen'!A:P,VLOOKUP(L1226,'3-Productie normen'!$B$31:$C$45,2,FALSE),FALSE)))/VLOOKUP(B1226,'2-Kosten per locatie'!$A$13:$D$36,4,FALSE)</f>
        <v>0</v>
      </c>
      <c r="P1226" s="82" t="str">
        <f>VLOOKUP(H1226,'3-Productie normen'!A:T,20,FALSE)</f>
        <v>V</v>
      </c>
      <c r="Q1226" s="447"/>
      <c r="S1226" s="356">
        <f t="shared" si="100"/>
        <v>4452.3</v>
      </c>
    </row>
    <row r="1227" spans="1:19" ht="14.1" customHeight="1">
      <c r="A1227" s="72">
        <f t="shared" ref="A1227:A1282" si="101">A1226+1</f>
        <v>1227</v>
      </c>
      <c r="B1227" s="50" t="s">
        <v>822</v>
      </c>
      <c r="C1227" s="50" t="s">
        <v>841</v>
      </c>
      <c r="D1227" s="427" t="s">
        <v>1034</v>
      </c>
      <c r="E1227" s="426" t="s">
        <v>612</v>
      </c>
      <c r="F1227" s="349" t="s">
        <v>224</v>
      </c>
      <c r="G1227" s="86" t="s">
        <v>253</v>
      </c>
      <c r="H1227" s="65" t="s">
        <v>731</v>
      </c>
      <c r="I1227" s="86" t="s">
        <v>780</v>
      </c>
      <c r="J1227" s="343">
        <v>8.7100000000000009</v>
      </c>
      <c r="K1227" s="351">
        <f t="shared" si="99"/>
        <v>255</v>
      </c>
      <c r="L1227" s="484">
        <v>255</v>
      </c>
      <c r="M1227" s="448" t="str">
        <f>IF(L1227="nio","",VLOOKUP(L1227,'3-Productie normen'!$B$31:$H$45,3,FALSE))</f>
        <v>5 x per week (52 weken)</v>
      </c>
      <c r="N1227" s="353" t="e">
        <f t="shared" si="98"/>
        <v>#DIV/0!</v>
      </c>
      <c r="O1227" s="354">
        <f>IF(L1227="nio",0,IF(L1227&gt;0,VLOOKUP(H1227,'3-Productie normen'!A:P,VLOOKUP(L1227,'3-Productie normen'!$B$31:$C$45,2,FALSE),FALSE)))/VLOOKUP(B1227,'2-Kosten per locatie'!$A$13:$D$36,4,FALSE)</f>
        <v>0</v>
      </c>
      <c r="P1227" s="82" t="str">
        <f>VLOOKUP(H1227,'3-Productie normen'!A:T,20,FALSE)</f>
        <v>V</v>
      </c>
      <c r="Q1227" s="447"/>
      <c r="S1227" s="356">
        <f t="shared" si="100"/>
        <v>2221.0500000000002</v>
      </c>
    </row>
    <row r="1228" spans="1:19" ht="14.1" customHeight="1">
      <c r="A1228" s="72">
        <f t="shared" si="101"/>
        <v>1228</v>
      </c>
      <c r="B1228" s="50" t="s">
        <v>822</v>
      </c>
      <c r="C1228" s="50" t="s">
        <v>841</v>
      </c>
      <c r="D1228" s="427" t="s">
        <v>1034</v>
      </c>
      <c r="E1228" s="426" t="s">
        <v>612</v>
      </c>
      <c r="F1228" s="349" t="s">
        <v>225</v>
      </c>
      <c r="G1228" s="86" t="s">
        <v>253</v>
      </c>
      <c r="H1228" s="65" t="s">
        <v>731</v>
      </c>
      <c r="I1228" s="86" t="s">
        <v>780</v>
      </c>
      <c r="J1228" s="343">
        <v>8.7100000000000009</v>
      </c>
      <c r="K1228" s="351">
        <f t="shared" si="99"/>
        <v>255</v>
      </c>
      <c r="L1228" s="484">
        <v>255</v>
      </c>
      <c r="M1228" s="448" t="str">
        <f>IF(L1228="nio","",VLOOKUP(L1228,'3-Productie normen'!$B$31:$H$45,3,FALSE))</f>
        <v>5 x per week (52 weken)</v>
      </c>
      <c r="N1228" s="353" t="e">
        <f t="shared" si="98"/>
        <v>#DIV/0!</v>
      </c>
      <c r="O1228" s="354">
        <f>IF(L1228="nio",0,IF(L1228&gt;0,VLOOKUP(H1228,'3-Productie normen'!A:P,VLOOKUP(L1228,'3-Productie normen'!$B$31:$C$45,2,FALSE),FALSE)))/VLOOKUP(B1228,'2-Kosten per locatie'!$A$13:$D$36,4,FALSE)</f>
        <v>0</v>
      </c>
      <c r="P1228" s="82" t="str">
        <f>VLOOKUP(H1228,'3-Productie normen'!A:T,20,FALSE)</f>
        <v>V</v>
      </c>
      <c r="Q1228" s="447"/>
      <c r="S1228" s="356">
        <f t="shared" si="100"/>
        <v>2221.0500000000002</v>
      </c>
    </row>
    <row r="1229" spans="1:19" ht="14.1" customHeight="1">
      <c r="A1229" s="72">
        <f t="shared" si="101"/>
        <v>1229</v>
      </c>
      <c r="B1229" s="50" t="s">
        <v>822</v>
      </c>
      <c r="C1229" s="50" t="s">
        <v>841</v>
      </c>
      <c r="D1229" s="427" t="s">
        <v>1034</v>
      </c>
      <c r="E1229" s="426" t="s">
        <v>612</v>
      </c>
      <c r="F1229" s="349" t="s">
        <v>227</v>
      </c>
      <c r="G1229" s="86" t="s">
        <v>777</v>
      </c>
      <c r="H1229" s="81" t="s">
        <v>16</v>
      </c>
      <c r="I1229" s="86" t="s">
        <v>781</v>
      </c>
      <c r="J1229" s="343">
        <v>17.420000000000002</v>
      </c>
      <c r="K1229" s="351">
        <f t="shared" si="99"/>
        <v>255</v>
      </c>
      <c r="L1229" s="484">
        <v>255</v>
      </c>
      <c r="M1229" s="448" t="str">
        <f>IF(L1229="nio","",VLOOKUP(L1229,'3-Productie normen'!$B$31:$H$45,3,FALSE))</f>
        <v>5 x per week (52 weken)</v>
      </c>
      <c r="N1229" s="353" t="e">
        <f t="shared" si="98"/>
        <v>#DIV/0!</v>
      </c>
      <c r="O1229" s="354">
        <f>IF(L1229="nio",0,IF(L1229&gt;0,VLOOKUP(H1229,'3-Productie normen'!A:P,VLOOKUP(L1229,'3-Productie normen'!$B$31:$C$45,2,FALSE),FALSE)))/VLOOKUP(B1229,'2-Kosten per locatie'!$A$13:$D$36,4,FALSE)</f>
        <v>0</v>
      </c>
      <c r="P1229" s="82" t="str">
        <f>VLOOKUP(H1229,'3-Productie normen'!A:T,20,FALSE)</f>
        <v>S</v>
      </c>
      <c r="Q1229" s="447"/>
      <c r="S1229" s="356">
        <f t="shared" si="100"/>
        <v>4442.1000000000004</v>
      </c>
    </row>
    <row r="1230" spans="1:19" ht="14.1" customHeight="1">
      <c r="A1230" s="72">
        <f t="shared" si="101"/>
        <v>1230</v>
      </c>
      <c r="B1230" s="50" t="s">
        <v>822</v>
      </c>
      <c r="C1230" s="50" t="s">
        <v>841</v>
      </c>
      <c r="D1230" s="427" t="s">
        <v>1034</v>
      </c>
      <c r="E1230" s="426" t="s">
        <v>612</v>
      </c>
      <c r="F1230" s="349" t="s">
        <v>228</v>
      </c>
      <c r="G1230" s="86" t="s">
        <v>256</v>
      </c>
      <c r="H1230" s="65" t="s">
        <v>731</v>
      </c>
      <c r="I1230" s="86" t="s">
        <v>780</v>
      </c>
      <c r="J1230" s="343">
        <v>11.49</v>
      </c>
      <c r="K1230" s="351">
        <f t="shared" si="99"/>
        <v>255</v>
      </c>
      <c r="L1230" s="484">
        <v>255</v>
      </c>
      <c r="M1230" s="448" t="str">
        <f>IF(L1230="nio","",VLOOKUP(L1230,'3-Productie normen'!$B$31:$H$45,3,FALSE))</f>
        <v>5 x per week (52 weken)</v>
      </c>
      <c r="N1230" s="353" t="e">
        <f t="shared" si="98"/>
        <v>#DIV/0!</v>
      </c>
      <c r="O1230" s="354">
        <f>IF(L1230="nio",0,IF(L1230&gt;0,VLOOKUP(H1230,'3-Productie normen'!A:P,VLOOKUP(L1230,'3-Productie normen'!$B$31:$C$45,2,FALSE),FALSE)))/VLOOKUP(B1230,'2-Kosten per locatie'!$A$13:$D$36,4,FALSE)</f>
        <v>0</v>
      </c>
      <c r="P1230" s="82" t="str">
        <f>VLOOKUP(H1230,'3-Productie normen'!A:T,20,FALSE)</f>
        <v>V</v>
      </c>
      <c r="Q1230" s="447"/>
      <c r="S1230" s="356">
        <f t="shared" si="100"/>
        <v>2929.9500000000003</v>
      </c>
    </row>
    <row r="1231" spans="1:19" ht="14.1" customHeight="1">
      <c r="A1231" s="72">
        <f t="shared" si="101"/>
        <v>1231</v>
      </c>
      <c r="B1231" s="50" t="s">
        <v>822</v>
      </c>
      <c r="C1231" s="50" t="s">
        <v>841</v>
      </c>
      <c r="D1231" s="427" t="s">
        <v>1034</v>
      </c>
      <c r="E1231" s="426" t="s">
        <v>612</v>
      </c>
      <c r="F1231" s="349" t="s">
        <v>230</v>
      </c>
      <c r="G1231" s="86" t="s">
        <v>256</v>
      </c>
      <c r="H1231" s="65" t="s">
        <v>731</v>
      </c>
      <c r="I1231" s="86" t="s">
        <v>780</v>
      </c>
      <c r="J1231" s="343">
        <v>30.28</v>
      </c>
      <c r="K1231" s="351">
        <f t="shared" si="99"/>
        <v>255</v>
      </c>
      <c r="L1231" s="484">
        <v>255</v>
      </c>
      <c r="M1231" s="448" t="str">
        <f>IF(L1231="nio","",VLOOKUP(L1231,'3-Productie normen'!$B$31:$H$45,3,FALSE))</f>
        <v>5 x per week (52 weken)</v>
      </c>
      <c r="N1231" s="353" t="e">
        <f t="shared" si="98"/>
        <v>#DIV/0!</v>
      </c>
      <c r="O1231" s="354">
        <f>IF(L1231="nio",0,IF(L1231&gt;0,VLOOKUP(H1231,'3-Productie normen'!A:P,VLOOKUP(L1231,'3-Productie normen'!$B$31:$C$45,2,FALSE),FALSE)))/VLOOKUP(B1231,'2-Kosten per locatie'!$A$13:$D$36,4,FALSE)</f>
        <v>0</v>
      </c>
      <c r="P1231" s="82" t="str">
        <f>VLOOKUP(H1231,'3-Productie normen'!A:T,20,FALSE)</f>
        <v>V</v>
      </c>
      <c r="Q1231" s="447"/>
      <c r="S1231" s="356">
        <f t="shared" si="100"/>
        <v>7721.4000000000005</v>
      </c>
    </row>
    <row r="1232" spans="1:19" ht="14.1" customHeight="1">
      <c r="A1232" s="72">
        <f t="shared" si="101"/>
        <v>1232</v>
      </c>
      <c r="B1232" s="50" t="s">
        <v>822</v>
      </c>
      <c r="C1232" s="50" t="s">
        <v>841</v>
      </c>
      <c r="D1232" s="427" t="s">
        <v>1034</v>
      </c>
      <c r="E1232" s="426" t="s">
        <v>612</v>
      </c>
      <c r="F1232" s="349" t="s">
        <v>233</v>
      </c>
      <c r="G1232" s="86" t="s">
        <v>222</v>
      </c>
      <c r="H1232" s="81" t="s">
        <v>16</v>
      </c>
      <c r="I1232" s="86" t="s">
        <v>91</v>
      </c>
      <c r="J1232" s="343">
        <v>8.0299999999999994</v>
      </c>
      <c r="K1232" s="351">
        <f t="shared" si="99"/>
        <v>255</v>
      </c>
      <c r="L1232" s="484">
        <v>255</v>
      </c>
      <c r="M1232" s="448" t="str">
        <f>IF(L1232="nio","",VLOOKUP(L1232,'3-Productie normen'!$B$31:$H$45,3,FALSE))</f>
        <v>5 x per week (52 weken)</v>
      </c>
      <c r="N1232" s="353" t="e">
        <f t="shared" si="98"/>
        <v>#DIV/0!</v>
      </c>
      <c r="O1232" s="354">
        <f>IF(L1232="nio",0,IF(L1232&gt;0,VLOOKUP(H1232,'3-Productie normen'!A:P,VLOOKUP(L1232,'3-Productie normen'!$B$31:$C$45,2,FALSE),FALSE)))/VLOOKUP(B1232,'2-Kosten per locatie'!$A$13:$D$36,4,FALSE)</f>
        <v>0</v>
      </c>
      <c r="P1232" s="82" t="str">
        <f>VLOOKUP(H1232,'3-Productie normen'!A:T,20,FALSE)</f>
        <v>S</v>
      </c>
      <c r="Q1232" s="447" t="s">
        <v>1030</v>
      </c>
      <c r="S1232" s="356">
        <f t="shared" si="100"/>
        <v>2047.6499999999999</v>
      </c>
    </row>
    <row r="1233" spans="1:19" ht="14.1" customHeight="1">
      <c r="A1233" s="72">
        <f t="shared" si="101"/>
        <v>1233</v>
      </c>
      <c r="B1233" s="50" t="s">
        <v>822</v>
      </c>
      <c r="C1233" s="50" t="s">
        <v>841</v>
      </c>
      <c r="D1233" s="427" t="s">
        <v>1034</v>
      </c>
      <c r="E1233" s="426" t="s">
        <v>612</v>
      </c>
      <c r="F1233" s="349" t="s">
        <v>234</v>
      </c>
      <c r="G1233" s="86" t="s">
        <v>253</v>
      </c>
      <c r="H1233" s="65" t="s">
        <v>731</v>
      </c>
      <c r="I1233" s="86" t="s">
        <v>780</v>
      </c>
      <c r="J1233" s="343">
        <v>8.84</v>
      </c>
      <c r="K1233" s="351">
        <f t="shared" si="99"/>
        <v>255</v>
      </c>
      <c r="L1233" s="484">
        <v>255</v>
      </c>
      <c r="M1233" s="448" t="str">
        <f>IF(L1233="nio","",VLOOKUP(L1233,'3-Productie normen'!$B$31:$H$45,3,FALSE))</f>
        <v>5 x per week (52 weken)</v>
      </c>
      <c r="N1233" s="353" t="e">
        <f t="shared" si="98"/>
        <v>#DIV/0!</v>
      </c>
      <c r="O1233" s="354">
        <f>IF(L1233="nio",0,IF(L1233&gt;0,VLOOKUP(H1233,'3-Productie normen'!A:P,VLOOKUP(L1233,'3-Productie normen'!$B$31:$C$45,2,FALSE),FALSE)))/VLOOKUP(B1233,'2-Kosten per locatie'!$A$13:$D$36,4,FALSE)</f>
        <v>0</v>
      </c>
      <c r="P1233" s="82" t="str">
        <f>VLOOKUP(H1233,'3-Productie normen'!A:T,20,FALSE)</f>
        <v>V</v>
      </c>
      <c r="Q1233" s="447"/>
      <c r="S1233" s="356">
        <f t="shared" si="100"/>
        <v>2254.1999999999998</v>
      </c>
    </row>
    <row r="1234" spans="1:19" ht="14.1" customHeight="1">
      <c r="A1234" s="72">
        <f t="shared" si="101"/>
        <v>1234</v>
      </c>
      <c r="B1234" s="50" t="s">
        <v>822</v>
      </c>
      <c r="C1234" s="50" t="s">
        <v>841</v>
      </c>
      <c r="D1234" s="427" t="s">
        <v>1034</v>
      </c>
      <c r="E1234" s="426" t="s">
        <v>612</v>
      </c>
      <c r="F1234" s="349" t="s">
        <v>236</v>
      </c>
      <c r="G1234" s="86" t="s">
        <v>209</v>
      </c>
      <c r="H1234" s="63" t="s">
        <v>1040</v>
      </c>
      <c r="I1234" s="86" t="s">
        <v>780</v>
      </c>
      <c r="J1234" s="343">
        <v>4.34</v>
      </c>
      <c r="K1234" s="351">
        <f t="shared" si="99"/>
        <v>12</v>
      </c>
      <c r="L1234" s="484">
        <v>12</v>
      </c>
      <c r="M1234" s="448" t="str">
        <f>IF(L1234="nio","",VLOOKUP(L1234,'3-Productie normen'!$B$31:$H$45,3,FALSE))</f>
        <v>1 x per maand</v>
      </c>
      <c r="N1234" s="353" t="e">
        <f t="shared" si="98"/>
        <v>#DIV/0!</v>
      </c>
      <c r="O1234" s="354">
        <f>IF(L1234="nio",0,IF(L1234&gt;0,VLOOKUP(H1234,'3-Productie normen'!A:P,VLOOKUP(L1234,'3-Productie normen'!$B$31:$C$45,2,FALSE),FALSE)))/VLOOKUP(B1234,'2-Kosten per locatie'!$A$13:$D$36,4,FALSE)</f>
        <v>0</v>
      </c>
      <c r="P1234" s="82" t="str">
        <f>VLOOKUP(H1234,'3-Productie normen'!A:T,20,FALSE)</f>
        <v>V</v>
      </c>
      <c r="Q1234" s="447"/>
      <c r="S1234" s="356">
        <f t="shared" si="100"/>
        <v>52.08</v>
      </c>
    </row>
    <row r="1235" spans="1:19" ht="14.1" customHeight="1">
      <c r="A1235" s="72">
        <f t="shared" si="101"/>
        <v>1235</v>
      </c>
      <c r="B1235" s="50" t="s">
        <v>822</v>
      </c>
      <c r="C1235" s="50" t="s">
        <v>841</v>
      </c>
      <c r="D1235" s="427" t="s">
        <v>1034</v>
      </c>
      <c r="E1235" s="426" t="s">
        <v>612</v>
      </c>
      <c r="F1235" s="349" t="s">
        <v>237</v>
      </c>
      <c r="G1235" s="86" t="s">
        <v>654</v>
      </c>
      <c r="H1235" s="86" t="s">
        <v>16</v>
      </c>
      <c r="I1235" s="86" t="s">
        <v>91</v>
      </c>
      <c r="J1235" s="343">
        <v>5.69</v>
      </c>
      <c r="K1235" s="351">
        <f t="shared" si="99"/>
        <v>12</v>
      </c>
      <c r="L1235" s="484">
        <v>12</v>
      </c>
      <c r="M1235" s="448" t="str">
        <f>IF(L1235="nio","",VLOOKUP(L1235,'3-Productie normen'!$B$31:$H$45,3,FALSE))</f>
        <v>1 x per maand</v>
      </c>
      <c r="N1235" s="353" t="e">
        <f t="shared" si="98"/>
        <v>#DIV/0!</v>
      </c>
      <c r="O1235" s="354">
        <f>IF(L1235="nio",0,IF(L1235&gt;0,VLOOKUP(H1235,'3-Productie normen'!A:P,VLOOKUP(L1235,'3-Productie normen'!$B$31:$C$45,2,FALSE),FALSE)))/VLOOKUP(B1235,'2-Kosten per locatie'!$A$13:$D$36,4,FALSE)</f>
        <v>0</v>
      </c>
      <c r="P1235" s="82" t="str">
        <f>VLOOKUP(H1235,'3-Productie normen'!A:T,20,FALSE)</f>
        <v>S</v>
      </c>
      <c r="Q1235" s="447"/>
      <c r="S1235" s="356">
        <f t="shared" si="100"/>
        <v>68.28</v>
      </c>
    </row>
    <row r="1236" spans="1:19" ht="14.1" customHeight="1">
      <c r="A1236" s="72">
        <f t="shared" si="101"/>
        <v>1236</v>
      </c>
      <c r="B1236" s="50" t="s">
        <v>822</v>
      </c>
      <c r="C1236" s="50" t="s">
        <v>841</v>
      </c>
      <c r="D1236" s="427" t="s">
        <v>1034</v>
      </c>
      <c r="E1236" s="426" t="s">
        <v>612</v>
      </c>
      <c r="F1236" s="349" t="s">
        <v>240</v>
      </c>
      <c r="G1236" s="86" t="s">
        <v>732</v>
      </c>
      <c r="H1236" s="65" t="s">
        <v>1053</v>
      </c>
      <c r="I1236" s="86" t="s">
        <v>780</v>
      </c>
      <c r="J1236" s="343">
        <v>1.82</v>
      </c>
      <c r="K1236" s="351" t="str">
        <f t="shared" si="99"/>
        <v>nio</v>
      </c>
      <c r="L1236" s="484" t="s">
        <v>804</v>
      </c>
      <c r="M1236" s="448" t="str">
        <f>IF(L1236="nio","",VLOOKUP(L1236,'3-Productie normen'!$B$31:$H$45,3,FALSE))</f>
        <v/>
      </c>
      <c r="N1236" s="353">
        <f t="shared" si="98"/>
        <v>0</v>
      </c>
      <c r="O1236" s="354">
        <f>IF(L1236="nio",0,IF(L1236&gt;0,VLOOKUP(H1236,'3-Productie normen'!A:P,VLOOKUP(L1236,'3-Productie normen'!$B$31:$C$45,2,FALSE),FALSE)))/VLOOKUP(B1236,'2-Kosten per locatie'!$A$13:$D$36,4,FALSE)</f>
        <v>0</v>
      </c>
      <c r="P1236" s="82">
        <f>VLOOKUP(H1236,'3-Productie normen'!A:T,20,FALSE)</f>
        <v>0</v>
      </c>
      <c r="Q1236" s="447"/>
      <c r="S1236" s="356">
        <f t="shared" si="100"/>
        <v>0</v>
      </c>
    </row>
    <row r="1237" spans="1:19" ht="14.1" customHeight="1">
      <c r="A1237" s="72">
        <f t="shared" si="101"/>
        <v>1237</v>
      </c>
      <c r="B1237" s="50" t="s">
        <v>822</v>
      </c>
      <c r="C1237" s="50" t="s">
        <v>841</v>
      </c>
      <c r="D1237" s="427" t="s">
        <v>1034</v>
      </c>
      <c r="E1237" s="426" t="s">
        <v>612</v>
      </c>
      <c r="F1237" s="349" t="s">
        <v>243</v>
      </c>
      <c r="G1237" s="86" t="s">
        <v>201</v>
      </c>
      <c r="H1237" s="431" t="s">
        <v>198</v>
      </c>
      <c r="I1237" s="86" t="s">
        <v>780</v>
      </c>
      <c r="J1237" s="343">
        <v>4.33</v>
      </c>
      <c r="K1237" s="351">
        <f t="shared" si="99"/>
        <v>255</v>
      </c>
      <c r="L1237" s="484">
        <v>255</v>
      </c>
      <c r="M1237" s="448" t="str">
        <f>IF(L1237="nio","",VLOOKUP(L1237,'3-Productie normen'!$B$31:$H$45,3,FALSE))</f>
        <v>5 x per week (52 weken)</v>
      </c>
      <c r="N1237" s="353" t="e">
        <f t="shared" si="98"/>
        <v>#DIV/0!</v>
      </c>
      <c r="O1237" s="354">
        <f>IF(L1237="nio",0,IF(L1237&gt;0,VLOOKUP(H1237,'3-Productie normen'!A:P,VLOOKUP(L1237,'3-Productie normen'!$B$31:$C$45,2,FALSE),FALSE)))/VLOOKUP(B1237,'2-Kosten per locatie'!$A$13:$D$36,4,FALSE)</f>
        <v>0</v>
      </c>
      <c r="P1237" s="82" t="str">
        <f>VLOOKUP(H1237,'3-Productie normen'!A:T,20,FALSE)</f>
        <v>V</v>
      </c>
      <c r="Q1237" s="447"/>
      <c r="S1237" s="356">
        <f t="shared" si="100"/>
        <v>1104.1500000000001</v>
      </c>
    </row>
    <row r="1238" spans="1:19" ht="14.1" customHeight="1">
      <c r="A1238" s="72">
        <f t="shared" si="101"/>
        <v>1238</v>
      </c>
      <c r="B1238" s="50" t="s">
        <v>822</v>
      </c>
      <c r="C1238" s="50" t="s">
        <v>841</v>
      </c>
      <c r="D1238" s="427" t="s">
        <v>1034</v>
      </c>
      <c r="E1238" s="426" t="s">
        <v>612</v>
      </c>
      <c r="F1238" s="349" t="s">
        <v>244</v>
      </c>
      <c r="G1238" s="86" t="s">
        <v>209</v>
      </c>
      <c r="H1238" s="63" t="s">
        <v>1040</v>
      </c>
      <c r="I1238" s="86" t="s">
        <v>780</v>
      </c>
      <c r="J1238" s="343">
        <v>5.61</v>
      </c>
      <c r="K1238" s="351">
        <f t="shared" si="99"/>
        <v>12</v>
      </c>
      <c r="L1238" s="484">
        <v>12</v>
      </c>
      <c r="M1238" s="448" t="str">
        <f>IF(L1238="nio","",VLOOKUP(L1238,'3-Productie normen'!$B$31:$H$45,3,FALSE))</f>
        <v>1 x per maand</v>
      </c>
      <c r="N1238" s="353" t="e">
        <f t="shared" si="98"/>
        <v>#DIV/0!</v>
      </c>
      <c r="O1238" s="354">
        <f>IF(L1238="nio",0,IF(L1238&gt;0,VLOOKUP(H1238,'3-Productie normen'!A:P,VLOOKUP(L1238,'3-Productie normen'!$B$31:$C$45,2,FALSE),FALSE)))/VLOOKUP(B1238,'2-Kosten per locatie'!$A$13:$D$36,4,FALSE)</f>
        <v>0</v>
      </c>
      <c r="P1238" s="82" t="str">
        <f>VLOOKUP(H1238,'3-Productie normen'!A:T,20,FALSE)</f>
        <v>V</v>
      </c>
      <c r="Q1238" s="447"/>
      <c r="S1238" s="356">
        <f t="shared" si="100"/>
        <v>67.320000000000007</v>
      </c>
    </row>
    <row r="1239" spans="1:19" ht="14.1" customHeight="1">
      <c r="A1239" s="72">
        <f t="shared" si="101"/>
        <v>1239</v>
      </c>
      <c r="B1239" s="50" t="s">
        <v>822</v>
      </c>
      <c r="C1239" s="50" t="s">
        <v>841</v>
      </c>
      <c r="D1239" s="427" t="s">
        <v>1034</v>
      </c>
      <c r="E1239" s="426" t="s">
        <v>612</v>
      </c>
      <c r="F1239" s="349" t="s">
        <v>245</v>
      </c>
      <c r="G1239" s="86" t="s">
        <v>212</v>
      </c>
      <c r="H1239" s="65" t="s">
        <v>1053</v>
      </c>
      <c r="I1239" s="86" t="s">
        <v>92</v>
      </c>
      <c r="J1239" s="343">
        <v>11.36</v>
      </c>
      <c r="K1239" s="351" t="str">
        <f t="shared" si="99"/>
        <v>nio</v>
      </c>
      <c r="L1239" s="484" t="s">
        <v>804</v>
      </c>
      <c r="M1239" s="448" t="str">
        <f>IF(L1239="nio","",VLOOKUP(L1239,'3-Productie normen'!$B$31:$H$45,3,FALSE))</f>
        <v/>
      </c>
      <c r="N1239" s="353">
        <f t="shared" si="98"/>
        <v>0</v>
      </c>
      <c r="O1239" s="354">
        <f>IF(L1239="nio",0,IF(L1239&gt;0,VLOOKUP(H1239,'3-Productie normen'!A:P,VLOOKUP(L1239,'3-Productie normen'!$B$31:$C$45,2,FALSE),FALSE)))/VLOOKUP(B1239,'2-Kosten per locatie'!$A$13:$D$36,4,FALSE)</f>
        <v>0</v>
      </c>
      <c r="P1239" s="82">
        <f>VLOOKUP(H1239,'3-Productie normen'!A:T,20,FALSE)</f>
        <v>0</v>
      </c>
      <c r="Q1239" s="447" t="s">
        <v>1031</v>
      </c>
      <c r="S1239" s="356">
        <f t="shared" si="100"/>
        <v>0</v>
      </c>
    </row>
    <row r="1240" spans="1:19" ht="14.1" customHeight="1">
      <c r="A1240" s="72">
        <f t="shared" si="101"/>
        <v>1240</v>
      </c>
      <c r="B1240" s="50" t="s">
        <v>822</v>
      </c>
      <c r="C1240" s="50" t="s">
        <v>841</v>
      </c>
      <c r="D1240" s="427" t="s">
        <v>1034</v>
      </c>
      <c r="E1240" s="426" t="s">
        <v>612</v>
      </c>
      <c r="F1240" s="349" t="s">
        <v>330</v>
      </c>
      <c r="G1240" s="86" t="s">
        <v>201</v>
      </c>
      <c r="H1240" s="65" t="s">
        <v>1053</v>
      </c>
      <c r="I1240" s="86" t="s">
        <v>803</v>
      </c>
      <c r="J1240" s="343">
        <v>16.52</v>
      </c>
      <c r="K1240" s="351" t="str">
        <f t="shared" si="99"/>
        <v>nio</v>
      </c>
      <c r="L1240" s="484" t="s">
        <v>804</v>
      </c>
      <c r="M1240" s="448" t="str">
        <f>IF(L1240="nio","",VLOOKUP(L1240,'3-Productie normen'!$B$31:$H$45,3,FALSE))</f>
        <v/>
      </c>
      <c r="N1240" s="353">
        <f t="shared" si="98"/>
        <v>0</v>
      </c>
      <c r="O1240" s="354">
        <f>IF(L1240="nio",0,IF(L1240&gt;0,VLOOKUP(H1240,'3-Productie normen'!A:P,VLOOKUP(L1240,'3-Productie normen'!$B$31:$C$45,2,FALSE),FALSE)))/VLOOKUP(B1240,'2-Kosten per locatie'!$A$13:$D$36,4,FALSE)</f>
        <v>0</v>
      </c>
      <c r="P1240" s="82">
        <f>VLOOKUP(H1240,'3-Productie normen'!A:T,20,FALSE)</f>
        <v>0</v>
      </c>
      <c r="Q1240" s="447" t="s">
        <v>1031</v>
      </c>
      <c r="S1240" s="356">
        <f t="shared" si="100"/>
        <v>0</v>
      </c>
    </row>
    <row r="1241" spans="1:19" ht="14.1" customHeight="1">
      <c r="A1241" s="72">
        <f t="shared" si="101"/>
        <v>1241</v>
      </c>
      <c r="B1241" s="50" t="s">
        <v>822</v>
      </c>
      <c r="C1241" s="50" t="s">
        <v>841</v>
      </c>
      <c r="D1241" s="427" t="s">
        <v>1034</v>
      </c>
      <c r="E1241" s="426" t="s">
        <v>612</v>
      </c>
      <c r="F1241" s="349" t="s">
        <v>331</v>
      </c>
      <c r="G1241" s="86" t="s">
        <v>732</v>
      </c>
      <c r="H1241" s="65" t="s">
        <v>1053</v>
      </c>
      <c r="I1241" s="86" t="s">
        <v>780</v>
      </c>
      <c r="J1241" s="343">
        <v>0.8</v>
      </c>
      <c r="K1241" s="351" t="str">
        <f t="shared" si="99"/>
        <v>nio</v>
      </c>
      <c r="L1241" s="484" t="s">
        <v>804</v>
      </c>
      <c r="M1241" s="448" t="str">
        <f>IF(L1241="nio","",VLOOKUP(L1241,'3-Productie normen'!$B$31:$H$45,3,FALSE))</f>
        <v/>
      </c>
      <c r="N1241" s="353">
        <f t="shared" si="98"/>
        <v>0</v>
      </c>
      <c r="O1241" s="354">
        <f>IF(L1241="nio",0,IF(L1241&gt;0,VLOOKUP(H1241,'3-Productie normen'!A:P,VLOOKUP(L1241,'3-Productie normen'!$B$31:$C$45,2,FALSE),FALSE)))/VLOOKUP(B1241,'2-Kosten per locatie'!$A$13:$D$36,4,FALSE)</f>
        <v>0</v>
      </c>
      <c r="P1241" s="82">
        <f>VLOOKUP(H1241,'3-Productie normen'!A:T,20,FALSE)</f>
        <v>0</v>
      </c>
      <c r="Q1241" s="447"/>
      <c r="S1241" s="356">
        <f t="shared" si="100"/>
        <v>0</v>
      </c>
    </row>
    <row r="1242" spans="1:19" ht="14.1" customHeight="1">
      <c r="A1242" s="72">
        <f t="shared" si="101"/>
        <v>1242</v>
      </c>
      <c r="B1242" s="50" t="s">
        <v>823</v>
      </c>
      <c r="C1242" s="50" t="s">
        <v>842</v>
      </c>
      <c r="D1242" s="427" t="s">
        <v>1034</v>
      </c>
      <c r="E1242" s="426" t="s">
        <v>612</v>
      </c>
      <c r="F1242" s="349" t="s">
        <v>613</v>
      </c>
      <c r="G1242" s="86" t="s">
        <v>89</v>
      </c>
      <c r="H1242" s="65" t="s">
        <v>1053</v>
      </c>
      <c r="I1242" s="86" t="s">
        <v>180</v>
      </c>
      <c r="J1242" s="343">
        <v>4.5</v>
      </c>
      <c r="K1242" s="351" t="str">
        <f t="shared" ref="K1242:K1278" si="102">L1242</f>
        <v>nio</v>
      </c>
      <c r="L1242" s="484" t="s">
        <v>804</v>
      </c>
      <c r="M1242" s="448" t="str">
        <f>IF(L1242="nio","",VLOOKUP(L1242,'3-Productie normen'!$B$31:$H$45,3,FALSE))</f>
        <v/>
      </c>
      <c r="N1242" s="353">
        <f t="shared" ref="N1242:N1278" si="103">IF(L1242="nio",0,IF(L1242&gt;0,L1242*J1242/O1242,0))</f>
        <v>0</v>
      </c>
      <c r="O1242" s="354">
        <f>IF(L1242="nio",0,IF(L1242&gt;0,VLOOKUP(H1242,'3-Productie normen'!A:P,VLOOKUP(L1242,'3-Productie normen'!$B$31:$C$45,2,FALSE),FALSE)))/VLOOKUP(B1242,'2-Kosten per locatie'!$A$13:$D$36,4,FALSE)</f>
        <v>0</v>
      </c>
      <c r="P1242" s="82">
        <f>VLOOKUP(H1242,'3-Productie normen'!A:T,20,FALSE)</f>
        <v>0</v>
      </c>
      <c r="Q1242" s="447"/>
      <c r="S1242" s="356">
        <f t="shared" si="100"/>
        <v>0</v>
      </c>
    </row>
    <row r="1243" spans="1:19" ht="14.1" customHeight="1">
      <c r="A1243" s="72">
        <f t="shared" si="101"/>
        <v>1243</v>
      </c>
      <c r="B1243" s="50" t="s">
        <v>823</v>
      </c>
      <c r="C1243" s="50" t="s">
        <v>842</v>
      </c>
      <c r="D1243" s="427" t="s">
        <v>1034</v>
      </c>
      <c r="E1243" s="426" t="s">
        <v>612</v>
      </c>
      <c r="F1243" s="349" t="s">
        <v>613</v>
      </c>
      <c r="G1243" s="86" t="s">
        <v>89</v>
      </c>
      <c r="H1243" s="65" t="s">
        <v>1053</v>
      </c>
      <c r="I1243" s="86" t="s">
        <v>1044</v>
      </c>
      <c r="J1243" s="343">
        <v>19.850000000000001</v>
      </c>
      <c r="K1243" s="351" t="str">
        <f t="shared" si="102"/>
        <v>nio</v>
      </c>
      <c r="L1243" s="484" t="s">
        <v>804</v>
      </c>
      <c r="M1243" s="448" t="str">
        <f>IF(L1243="nio","",VLOOKUP(L1243,'3-Productie normen'!$B$31:$H$45,3,FALSE))</f>
        <v/>
      </c>
      <c r="N1243" s="353">
        <f t="shared" si="103"/>
        <v>0</v>
      </c>
      <c r="O1243" s="354">
        <f>IF(L1243="nio",0,IF(L1243&gt;0,VLOOKUP(H1243,'3-Productie normen'!A:P,VLOOKUP(L1243,'3-Productie normen'!$B$31:$C$45,2,FALSE),FALSE)))/VLOOKUP(B1243,'2-Kosten per locatie'!$A$13:$D$36,4,FALSE)</f>
        <v>0</v>
      </c>
      <c r="P1243" s="82">
        <f>VLOOKUP(H1243,'3-Productie normen'!A:T,20,FALSE)</f>
        <v>0</v>
      </c>
      <c r="Q1243" s="447"/>
      <c r="S1243" s="356">
        <f t="shared" si="100"/>
        <v>0</v>
      </c>
    </row>
    <row r="1244" spans="1:19" ht="14.1" customHeight="1">
      <c r="A1244" s="72">
        <f t="shared" si="101"/>
        <v>1244</v>
      </c>
      <c r="B1244" s="50" t="s">
        <v>823</v>
      </c>
      <c r="C1244" s="50" t="s">
        <v>842</v>
      </c>
      <c r="D1244" s="427" t="s">
        <v>1034</v>
      </c>
      <c r="E1244" s="426" t="s">
        <v>612</v>
      </c>
      <c r="F1244" s="349" t="s">
        <v>610</v>
      </c>
      <c r="G1244" s="86" t="s">
        <v>201</v>
      </c>
      <c r="H1244" s="65" t="s">
        <v>1053</v>
      </c>
      <c r="I1244" s="86" t="s">
        <v>780</v>
      </c>
      <c r="J1244" s="343">
        <v>25.77</v>
      </c>
      <c r="K1244" s="351" t="str">
        <f t="shared" si="102"/>
        <v>nio</v>
      </c>
      <c r="L1244" s="484" t="s">
        <v>804</v>
      </c>
      <c r="M1244" s="448" t="str">
        <f>IF(L1244="nio","",VLOOKUP(L1244,'3-Productie normen'!$B$31:$H$45,3,FALSE))</f>
        <v/>
      </c>
      <c r="N1244" s="353">
        <f t="shared" si="103"/>
        <v>0</v>
      </c>
      <c r="O1244" s="354">
        <f>IF(L1244="nio",0,IF(L1244&gt;0,VLOOKUP(H1244,'3-Productie normen'!A:P,VLOOKUP(L1244,'3-Productie normen'!$B$31:$C$45,2,FALSE),FALSE)))/VLOOKUP(B1244,'2-Kosten per locatie'!$A$13:$D$36,4,FALSE)</f>
        <v>0</v>
      </c>
      <c r="P1244" s="82">
        <f>VLOOKUP(H1244,'3-Productie normen'!A:T,20,FALSE)</f>
        <v>0</v>
      </c>
      <c r="Q1244" s="447"/>
      <c r="S1244" s="356">
        <f t="shared" si="100"/>
        <v>0</v>
      </c>
    </row>
    <row r="1245" spans="1:19" ht="14.1" customHeight="1">
      <c r="A1245" s="72">
        <f t="shared" si="101"/>
        <v>1245</v>
      </c>
      <c r="B1245" s="50" t="s">
        <v>823</v>
      </c>
      <c r="C1245" s="50" t="s">
        <v>842</v>
      </c>
      <c r="D1245" s="427" t="s">
        <v>1034</v>
      </c>
      <c r="E1245" s="426" t="s">
        <v>612</v>
      </c>
      <c r="F1245" s="349" t="s">
        <v>611</v>
      </c>
      <c r="G1245" s="86" t="s">
        <v>388</v>
      </c>
      <c r="H1245" s="65" t="s">
        <v>1053</v>
      </c>
      <c r="I1245" s="86" t="s">
        <v>780</v>
      </c>
      <c r="J1245" s="343">
        <v>21.25</v>
      </c>
      <c r="K1245" s="351" t="str">
        <f t="shared" si="102"/>
        <v>nio</v>
      </c>
      <c r="L1245" s="484" t="s">
        <v>804</v>
      </c>
      <c r="M1245" s="448" t="str">
        <f>IF(L1245="nio","",VLOOKUP(L1245,'3-Productie normen'!$B$31:$H$45,3,FALSE))</f>
        <v/>
      </c>
      <c r="N1245" s="353">
        <f t="shared" si="103"/>
        <v>0</v>
      </c>
      <c r="O1245" s="354">
        <f>IF(L1245="nio",0,IF(L1245&gt;0,VLOOKUP(H1245,'3-Productie normen'!A:P,VLOOKUP(L1245,'3-Productie normen'!$B$31:$C$45,2,FALSE),FALSE)))/VLOOKUP(B1245,'2-Kosten per locatie'!$A$13:$D$36,4,FALSE)</f>
        <v>0</v>
      </c>
      <c r="P1245" s="82">
        <f>VLOOKUP(H1245,'3-Productie normen'!A:T,20,FALSE)</f>
        <v>0</v>
      </c>
      <c r="Q1245" s="447"/>
      <c r="S1245" s="356">
        <f t="shared" si="100"/>
        <v>0</v>
      </c>
    </row>
    <row r="1246" spans="1:19" ht="14.1" customHeight="1">
      <c r="A1246" s="72">
        <f t="shared" si="101"/>
        <v>1246</v>
      </c>
      <c r="B1246" s="50" t="s">
        <v>823</v>
      </c>
      <c r="C1246" s="50" t="s">
        <v>842</v>
      </c>
      <c r="D1246" s="427" t="s">
        <v>1034</v>
      </c>
      <c r="E1246" s="426" t="s">
        <v>612</v>
      </c>
      <c r="F1246" s="349" t="s">
        <v>614</v>
      </c>
      <c r="G1246" s="86" t="s">
        <v>1041</v>
      </c>
      <c r="H1246" s="65" t="s">
        <v>1053</v>
      </c>
      <c r="I1246" s="86" t="s">
        <v>1044</v>
      </c>
      <c r="J1246" s="343">
        <v>2.25</v>
      </c>
      <c r="K1246" s="351" t="str">
        <f t="shared" si="102"/>
        <v>nio</v>
      </c>
      <c r="L1246" s="484" t="s">
        <v>804</v>
      </c>
      <c r="M1246" s="448" t="str">
        <f>IF(L1246="nio","",VLOOKUP(L1246,'3-Productie normen'!$B$31:$H$45,3,FALSE))</f>
        <v/>
      </c>
      <c r="N1246" s="353">
        <f t="shared" si="103"/>
        <v>0</v>
      </c>
      <c r="O1246" s="354">
        <f>IF(L1246="nio",0,IF(L1246&gt;0,VLOOKUP(H1246,'3-Productie normen'!A:P,VLOOKUP(L1246,'3-Productie normen'!$B$31:$C$45,2,FALSE),FALSE)))/VLOOKUP(B1246,'2-Kosten per locatie'!$A$13:$D$36,4,FALSE)</f>
        <v>0</v>
      </c>
      <c r="P1246" s="82">
        <f>VLOOKUP(H1246,'3-Productie normen'!A:T,20,FALSE)</f>
        <v>0</v>
      </c>
      <c r="Q1246" s="447"/>
      <c r="S1246" s="356">
        <f t="shared" si="100"/>
        <v>0</v>
      </c>
    </row>
    <row r="1247" spans="1:19" ht="14.1" customHeight="1">
      <c r="A1247" s="72">
        <f t="shared" si="101"/>
        <v>1247</v>
      </c>
      <c r="B1247" s="50" t="s">
        <v>823</v>
      </c>
      <c r="C1247" s="50" t="s">
        <v>842</v>
      </c>
      <c r="D1247" s="427" t="s">
        <v>1034</v>
      </c>
      <c r="E1247" s="426" t="s">
        <v>740</v>
      </c>
      <c r="F1247" s="349" t="s">
        <v>615</v>
      </c>
      <c r="G1247" s="86" t="s">
        <v>201</v>
      </c>
      <c r="H1247" s="65" t="s">
        <v>1053</v>
      </c>
      <c r="I1247" s="86" t="s">
        <v>1044</v>
      </c>
      <c r="J1247" s="343">
        <v>2.13</v>
      </c>
      <c r="K1247" s="351" t="str">
        <f t="shared" si="102"/>
        <v>nio</v>
      </c>
      <c r="L1247" s="484" t="s">
        <v>804</v>
      </c>
      <c r="M1247" s="448" t="str">
        <f>IF(L1247="nio","",VLOOKUP(L1247,'3-Productie normen'!$B$31:$H$45,3,FALSE))</f>
        <v/>
      </c>
      <c r="N1247" s="353">
        <f t="shared" si="103"/>
        <v>0</v>
      </c>
      <c r="O1247" s="354">
        <f>IF(L1247="nio",0,IF(L1247&gt;0,VLOOKUP(H1247,'3-Productie normen'!A:P,VLOOKUP(L1247,'3-Productie normen'!$B$31:$C$45,2,FALSE),FALSE)))/VLOOKUP(B1247,'2-Kosten per locatie'!$A$13:$D$36,4,FALSE)</f>
        <v>0</v>
      </c>
      <c r="P1247" s="82">
        <f>VLOOKUP(H1247,'3-Productie normen'!A:T,20,FALSE)</f>
        <v>0</v>
      </c>
      <c r="Q1247" s="447"/>
      <c r="S1247" s="356">
        <f t="shared" ref="S1247:S1278" si="104">IF(L1247="nio",0,K1247*J1247)</f>
        <v>0</v>
      </c>
    </row>
    <row r="1248" spans="1:19" ht="14.1" customHeight="1">
      <c r="A1248" s="72">
        <f t="shared" si="101"/>
        <v>1248</v>
      </c>
      <c r="B1248" s="50" t="s">
        <v>823</v>
      </c>
      <c r="C1248" s="50" t="s">
        <v>842</v>
      </c>
      <c r="D1248" s="427" t="s">
        <v>1034</v>
      </c>
      <c r="E1248" s="426" t="s">
        <v>612</v>
      </c>
      <c r="F1248" s="349" t="s">
        <v>616</v>
      </c>
      <c r="G1248" s="86" t="s">
        <v>222</v>
      </c>
      <c r="H1248" s="65" t="s">
        <v>1053</v>
      </c>
      <c r="I1248" s="86" t="s">
        <v>1044</v>
      </c>
      <c r="J1248" s="343">
        <v>1.56</v>
      </c>
      <c r="K1248" s="351" t="str">
        <f t="shared" si="102"/>
        <v>nio</v>
      </c>
      <c r="L1248" s="484" t="s">
        <v>804</v>
      </c>
      <c r="M1248" s="448" t="str">
        <f>IF(L1248="nio","",VLOOKUP(L1248,'3-Productie normen'!$B$31:$H$45,3,FALSE))</f>
        <v/>
      </c>
      <c r="N1248" s="353">
        <f t="shared" si="103"/>
        <v>0</v>
      </c>
      <c r="O1248" s="354">
        <f>IF(L1248="nio",0,IF(L1248&gt;0,VLOOKUP(H1248,'3-Productie normen'!A:P,VLOOKUP(L1248,'3-Productie normen'!$B$31:$C$45,2,FALSE),FALSE)))/VLOOKUP(B1248,'2-Kosten per locatie'!$A$13:$D$36,4,FALSE)</f>
        <v>0</v>
      </c>
      <c r="P1248" s="82">
        <f>VLOOKUP(H1248,'3-Productie normen'!A:T,20,FALSE)</f>
        <v>0</v>
      </c>
      <c r="Q1248" s="447"/>
      <c r="S1248" s="356">
        <f t="shared" si="104"/>
        <v>0</v>
      </c>
    </row>
    <row r="1249" spans="1:19" ht="14.1" customHeight="1">
      <c r="A1249" s="72">
        <f t="shared" si="101"/>
        <v>1249</v>
      </c>
      <c r="B1249" s="50" t="s">
        <v>823</v>
      </c>
      <c r="C1249" s="50" t="s">
        <v>842</v>
      </c>
      <c r="D1249" s="427" t="s">
        <v>1034</v>
      </c>
      <c r="E1249" s="426" t="s">
        <v>612</v>
      </c>
      <c r="F1249" s="349" t="s">
        <v>617</v>
      </c>
      <c r="G1249" s="86" t="s">
        <v>279</v>
      </c>
      <c r="H1249" s="65" t="s">
        <v>1053</v>
      </c>
      <c r="I1249" s="86" t="s">
        <v>1044</v>
      </c>
      <c r="J1249" s="343">
        <v>19.43</v>
      </c>
      <c r="K1249" s="351" t="str">
        <f t="shared" si="102"/>
        <v>nio</v>
      </c>
      <c r="L1249" s="484" t="s">
        <v>804</v>
      </c>
      <c r="M1249" s="448" t="str">
        <f>IF(L1249="nio","",VLOOKUP(L1249,'3-Productie normen'!$B$31:$H$45,3,FALSE))</f>
        <v/>
      </c>
      <c r="N1249" s="353">
        <f t="shared" si="103"/>
        <v>0</v>
      </c>
      <c r="O1249" s="354">
        <f>IF(L1249="nio",0,IF(L1249&gt;0,VLOOKUP(H1249,'3-Productie normen'!A:P,VLOOKUP(L1249,'3-Productie normen'!$B$31:$C$45,2,FALSE),FALSE)))/VLOOKUP(B1249,'2-Kosten per locatie'!$A$13:$D$36,4,FALSE)</f>
        <v>0</v>
      </c>
      <c r="P1249" s="82">
        <f>VLOOKUP(H1249,'3-Productie normen'!A:T,20,FALSE)</f>
        <v>0</v>
      </c>
      <c r="Q1249" s="447"/>
      <c r="S1249" s="356">
        <f t="shared" si="104"/>
        <v>0</v>
      </c>
    </row>
    <row r="1250" spans="1:19" ht="14.1" customHeight="1">
      <c r="A1250" s="72">
        <f t="shared" si="101"/>
        <v>1250</v>
      </c>
      <c r="B1250" s="50" t="s">
        <v>823</v>
      </c>
      <c r="C1250" s="50" t="s">
        <v>842</v>
      </c>
      <c r="D1250" s="427" t="s">
        <v>1034</v>
      </c>
      <c r="E1250" s="426" t="s">
        <v>612</v>
      </c>
      <c r="F1250" s="349" t="s">
        <v>618</v>
      </c>
      <c r="G1250" s="86" t="s">
        <v>253</v>
      </c>
      <c r="H1250" s="65" t="s">
        <v>1053</v>
      </c>
      <c r="I1250" s="86" t="s">
        <v>780</v>
      </c>
      <c r="J1250" s="343">
        <v>6.5</v>
      </c>
      <c r="K1250" s="351" t="str">
        <f t="shared" si="102"/>
        <v>nio</v>
      </c>
      <c r="L1250" s="484" t="s">
        <v>804</v>
      </c>
      <c r="M1250" s="448" t="str">
        <f>IF(L1250="nio","",VLOOKUP(L1250,'3-Productie normen'!$B$31:$H$45,3,FALSE))</f>
        <v/>
      </c>
      <c r="N1250" s="353">
        <f t="shared" si="103"/>
        <v>0</v>
      </c>
      <c r="O1250" s="354">
        <f>IF(L1250="nio",0,IF(L1250&gt;0,VLOOKUP(H1250,'3-Productie normen'!A:P,VLOOKUP(L1250,'3-Productie normen'!$B$31:$C$45,2,FALSE),FALSE)))/VLOOKUP(B1250,'2-Kosten per locatie'!$A$13:$D$36,4,FALSE)</f>
        <v>0</v>
      </c>
      <c r="P1250" s="82">
        <f>VLOOKUP(H1250,'3-Productie normen'!A:T,20,FALSE)</f>
        <v>0</v>
      </c>
      <c r="Q1250" s="447"/>
      <c r="S1250" s="356">
        <f t="shared" si="104"/>
        <v>0</v>
      </c>
    </row>
    <row r="1251" spans="1:19" ht="14.1" customHeight="1">
      <c r="A1251" s="72">
        <f t="shared" si="101"/>
        <v>1251</v>
      </c>
      <c r="B1251" s="50" t="s">
        <v>823</v>
      </c>
      <c r="C1251" s="50" t="s">
        <v>842</v>
      </c>
      <c r="D1251" s="427" t="s">
        <v>1034</v>
      </c>
      <c r="E1251" s="426" t="s">
        <v>612</v>
      </c>
      <c r="F1251" s="349" t="s">
        <v>619</v>
      </c>
      <c r="G1251" s="86" t="s">
        <v>253</v>
      </c>
      <c r="H1251" s="65" t="s">
        <v>1053</v>
      </c>
      <c r="I1251" s="86" t="s">
        <v>780</v>
      </c>
      <c r="J1251" s="343">
        <v>6.5</v>
      </c>
      <c r="K1251" s="351" t="str">
        <f t="shared" si="102"/>
        <v>nio</v>
      </c>
      <c r="L1251" s="484" t="s">
        <v>804</v>
      </c>
      <c r="M1251" s="448" t="str">
        <f>IF(L1251="nio","",VLOOKUP(L1251,'3-Productie normen'!$B$31:$H$45,3,FALSE))</f>
        <v/>
      </c>
      <c r="N1251" s="353">
        <f t="shared" si="103"/>
        <v>0</v>
      </c>
      <c r="O1251" s="354">
        <f>IF(L1251="nio",0,IF(L1251&gt;0,VLOOKUP(H1251,'3-Productie normen'!A:P,VLOOKUP(L1251,'3-Productie normen'!$B$31:$C$45,2,FALSE),FALSE)))/VLOOKUP(B1251,'2-Kosten per locatie'!$A$13:$D$36,4,FALSE)</f>
        <v>0</v>
      </c>
      <c r="P1251" s="82">
        <f>VLOOKUP(H1251,'3-Productie normen'!A:T,20,FALSE)</f>
        <v>0</v>
      </c>
      <c r="Q1251" s="447"/>
      <c r="S1251" s="356">
        <f t="shared" si="104"/>
        <v>0</v>
      </c>
    </row>
    <row r="1252" spans="1:19" ht="14.1" customHeight="1">
      <c r="A1252" s="72">
        <f t="shared" si="101"/>
        <v>1252</v>
      </c>
      <c r="B1252" s="50" t="s">
        <v>823</v>
      </c>
      <c r="C1252" s="50" t="s">
        <v>842</v>
      </c>
      <c r="D1252" s="427" t="s">
        <v>1034</v>
      </c>
      <c r="E1252" s="426" t="s">
        <v>612</v>
      </c>
      <c r="F1252" s="349" t="s">
        <v>214</v>
      </c>
      <c r="G1252" s="86" t="s">
        <v>256</v>
      </c>
      <c r="H1252" s="65" t="s">
        <v>1053</v>
      </c>
      <c r="I1252" s="86" t="s">
        <v>780</v>
      </c>
      <c r="J1252" s="343">
        <v>52.63</v>
      </c>
      <c r="K1252" s="351" t="str">
        <f t="shared" si="102"/>
        <v>nio</v>
      </c>
      <c r="L1252" s="484" t="s">
        <v>804</v>
      </c>
      <c r="M1252" s="448" t="str">
        <f>IF(L1252="nio","",VLOOKUP(L1252,'3-Productie normen'!$B$31:$H$45,3,FALSE))</f>
        <v/>
      </c>
      <c r="N1252" s="353">
        <f t="shared" si="103"/>
        <v>0</v>
      </c>
      <c r="O1252" s="354">
        <f>IF(L1252="nio",0,IF(L1252&gt;0,VLOOKUP(H1252,'3-Productie normen'!A:P,VLOOKUP(L1252,'3-Productie normen'!$B$31:$C$45,2,FALSE),FALSE)))/VLOOKUP(B1252,'2-Kosten per locatie'!$A$13:$D$36,4,FALSE)</f>
        <v>0</v>
      </c>
      <c r="P1252" s="82">
        <f>VLOOKUP(H1252,'3-Productie normen'!A:T,20,FALSE)</f>
        <v>0</v>
      </c>
      <c r="Q1252" s="447"/>
      <c r="S1252" s="356">
        <f t="shared" si="104"/>
        <v>0</v>
      </c>
    </row>
    <row r="1253" spans="1:19" ht="14.1" customHeight="1">
      <c r="A1253" s="72">
        <f t="shared" si="101"/>
        <v>1253</v>
      </c>
      <c r="B1253" s="50" t="s">
        <v>823</v>
      </c>
      <c r="C1253" s="50" t="s">
        <v>842</v>
      </c>
      <c r="D1253" s="427" t="s">
        <v>1034</v>
      </c>
      <c r="E1253" s="426" t="s">
        <v>612</v>
      </c>
      <c r="F1253" s="349" t="s">
        <v>216</v>
      </c>
      <c r="G1253" s="86" t="s">
        <v>256</v>
      </c>
      <c r="H1253" s="65" t="s">
        <v>1053</v>
      </c>
      <c r="I1253" s="86" t="s">
        <v>780</v>
      </c>
      <c r="J1253" s="343">
        <v>65.069999999999993</v>
      </c>
      <c r="K1253" s="351" t="str">
        <f t="shared" si="102"/>
        <v>nio</v>
      </c>
      <c r="L1253" s="484" t="s">
        <v>804</v>
      </c>
      <c r="M1253" s="448" t="str">
        <f>IF(L1253="nio","",VLOOKUP(L1253,'3-Productie normen'!$B$31:$H$45,3,FALSE))</f>
        <v/>
      </c>
      <c r="N1253" s="353">
        <f t="shared" si="103"/>
        <v>0</v>
      </c>
      <c r="O1253" s="354">
        <f>IF(L1253="nio",0,IF(L1253&gt;0,VLOOKUP(H1253,'3-Productie normen'!A:P,VLOOKUP(L1253,'3-Productie normen'!$B$31:$C$45,2,FALSE),FALSE)))/VLOOKUP(B1253,'2-Kosten per locatie'!$A$13:$D$36,4,FALSE)</f>
        <v>0</v>
      </c>
      <c r="P1253" s="82">
        <f>VLOOKUP(H1253,'3-Productie normen'!A:T,20,FALSE)</f>
        <v>0</v>
      </c>
      <c r="Q1253" s="447"/>
      <c r="S1253" s="356">
        <f t="shared" si="104"/>
        <v>0</v>
      </c>
    </row>
    <row r="1254" spans="1:19" ht="14.1" customHeight="1">
      <c r="A1254" s="72">
        <f t="shared" si="101"/>
        <v>1254</v>
      </c>
      <c r="B1254" s="50" t="s">
        <v>823</v>
      </c>
      <c r="C1254" s="50" t="s">
        <v>842</v>
      </c>
      <c r="D1254" s="427" t="s">
        <v>1034</v>
      </c>
      <c r="E1254" s="426" t="s">
        <v>612</v>
      </c>
      <c r="F1254" s="349" t="s">
        <v>217</v>
      </c>
      <c r="G1254" s="86" t="s">
        <v>253</v>
      </c>
      <c r="H1254" s="65" t="s">
        <v>1053</v>
      </c>
      <c r="I1254" s="86" t="s">
        <v>780</v>
      </c>
      <c r="J1254" s="343">
        <v>6.5</v>
      </c>
      <c r="K1254" s="351" t="str">
        <f t="shared" si="102"/>
        <v>nio</v>
      </c>
      <c r="L1254" s="484" t="s">
        <v>804</v>
      </c>
      <c r="M1254" s="448" t="str">
        <f>IF(L1254="nio","",VLOOKUP(L1254,'3-Productie normen'!$B$31:$H$45,3,FALSE))</f>
        <v/>
      </c>
      <c r="N1254" s="353">
        <f t="shared" si="103"/>
        <v>0</v>
      </c>
      <c r="O1254" s="354">
        <f>IF(L1254="nio",0,IF(L1254&gt;0,VLOOKUP(H1254,'3-Productie normen'!A:P,VLOOKUP(L1254,'3-Productie normen'!$B$31:$C$45,2,FALSE),FALSE)))/VLOOKUP(B1254,'2-Kosten per locatie'!$A$13:$D$36,4,FALSE)</f>
        <v>0</v>
      </c>
      <c r="P1254" s="82">
        <f>VLOOKUP(H1254,'3-Productie normen'!A:T,20,FALSE)</f>
        <v>0</v>
      </c>
      <c r="Q1254" s="447"/>
      <c r="S1254" s="356">
        <f t="shared" si="104"/>
        <v>0</v>
      </c>
    </row>
    <row r="1255" spans="1:19" ht="14.1" customHeight="1">
      <c r="A1255" s="72">
        <f t="shared" si="101"/>
        <v>1255</v>
      </c>
      <c r="B1255" s="50" t="s">
        <v>823</v>
      </c>
      <c r="C1255" s="50" t="s">
        <v>842</v>
      </c>
      <c r="D1255" s="427" t="s">
        <v>1034</v>
      </c>
      <c r="E1255" s="426" t="s">
        <v>612</v>
      </c>
      <c r="F1255" s="349" t="s">
        <v>218</v>
      </c>
      <c r="G1255" s="86" t="s">
        <v>253</v>
      </c>
      <c r="H1255" s="65" t="s">
        <v>1053</v>
      </c>
      <c r="I1255" s="86" t="s">
        <v>780</v>
      </c>
      <c r="J1255" s="343">
        <v>6.5</v>
      </c>
      <c r="K1255" s="351" t="str">
        <f t="shared" si="102"/>
        <v>nio</v>
      </c>
      <c r="L1255" s="484" t="s">
        <v>804</v>
      </c>
      <c r="M1255" s="448" t="str">
        <f>IF(L1255="nio","",VLOOKUP(L1255,'3-Productie normen'!$B$31:$H$45,3,FALSE))</f>
        <v/>
      </c>
      <c r="N1255" s="353">
        <f t="shared" si="103"/>
        <v>0</v>
      </c>
      <c r="O1255" s="354">
        <f>IF(L1255="nio",0,IF(L1255&gt;0,VLOOKUP(H1255,'3-Productie normen'!A:P,VLOOKUP(L1255,'3-Productie normen'!$B$31:$C$45,2,FALSE),FALSE)))/VLOOKUP(B1255,'2-Kosten per locatie'!$A$13:$D$36,4,FALSE)</f>
        <v>0</v>
      </c>
      <c r="P1255" s="82">
        <f>VLOOKUP(H1255,'3-Productie normen'!A:T,20,FALSE)</f>
        <v>0</v>
      </c>
      <c r="Q1255" s="447"/>
      <c r="S1255" s="356">
        <f t="shared" si="104"/>
        <v>0</v>
      </c>
    </row>
    <row r="1256" spans="1:19" ht="14.1" customHeight="1">
      <c r="A1256" s="72">
        <f t="shared" si="101"/>
        <v>1256</v>
      </c>
      <c r="B1256" s="50" t="s">
        <v>823</v>
      </c>
      <c r="C1256" s="50" t="s">
        <v>842</v>
      </c>
      <c r="D1256" s="427" t="s">
        <v>1034</v>
      </c>
      <c r="E1256" s="426" t="s">
        <v>612</v>
      </c>
      <c r="F1256" s="349" t="s">
        <v>219</v>
      </c>
      <c r="G1256" s="86" t="s">
        <v>256</v>
      </c>
      <c r="H1256" s="65" t="s">
        <v>1053</v>
      </c>
      <c r="I1256" s="86" t="s">
        <v>780</v>
      </c>
      <c r="J1256" s="343">
        <v>3.54</v>
      </c>
      <c r="K1256" s="351" t="str">
        <f t="shared" si="102"/>
        <v>nio</v>
      </c>
      <c r="L1256" s="484" t="s">
        <v>804</v>
      </c>
      <c r="M1256" s="448" t="str">
        <f>IF(L1256="nio","",VLOOKUP(L1256,'3-Productie normen'!$B$31:$H$45,3,FALSE))</f>
        <v/>
      </c>
      <c r="N1256" s="353">
        <f t="shared" si="103"/>
        <v>0</v>
      </c>
      <c r="O1256" s="354">
        <f>IF(L1256="nio",0,IF(L1256&gt;0,VLOOKUP(H1256,'3-Productie normen'!A:P,VLOOKUP(L1256,'3-Productie normen'!$B$31:$C$45,2,FALSE),FALSE)))/VLOOKUP(B1256,'2-Kosten per locatie'!$A$13:$D$36,4,FALSE)</f>
        <v>0</v>
      </c>
      <c r="P1256" s="82">
        <f>VLOOKUP(H1256,'3-Productie normen'!A:T,20,FALSE)</f>
        <v>0</v>
      </c>
      <c r="Q1256" s="447" t="s">
        <v>1089</v>
      </c>
      <c r="S1256" s="356">
        <f t="shared" si="104"/>
        <v>0</v>
      </c>
    </row>
    <row r="1257" spans="1:19" ht="14.1" customHeight="1">
      <c r="A1257" s="72">
        <f t="shared" si="101"/>
        <v>1257</v>
      </c>
      <c r="B1257" s="50" t="s">
        <v>823</v>
      </c>
      <c r="C1257" s="50" t="s">
        <v>842</v>
      </c>
      <c r="D1257" s="427" t="s">
        <v>1034</v>
      </c>
      <c r="E1257" s="426" t="s">
        <v>612</v>
      </c>
      <c r="F1257" s="349" t="s">
        <v>220</v>
      </c>
      <c r="G1257" s="86" t="s">
        <v>209</v>
      </c>
      <c r="H1257" s="65" t="s">
        <v>1053</v>
      </c>
      <c r="I1257" s="86" t="s">
        <v>780</v>
      </c>
      <c r="J1257" s="343">
        <v>0.97</v>
      </c>
      <c r="K1257" s="351" t="str">
        <f t="shared" si="102"/>
        <v>nio</v>
      </c>
      <c r="L1257" s="484" t="s">
        <v>804</v>
      </c>
      <c r="M1257" s="448" t="str">
        <f>IF(L1257="nio","",VLOOKUP(L1257,'3-Productie normen'!$B$31:$H$45,3,FALSE))</f>
        <v/>
      </c>
      <c r="N1257" s="353">
        <f t="shared" si="103"/>
        <v>0</v>
      </c>
      <c r="O1257" s="354">
        <f>IF(L1257="nio",0,IF(L1257&gt;0,VLOOKUP(H1257,'3-Productie normen'!A:P,VLOOKUP(L1257,'3-Productie normen'!$B$31:$C$45,2,FALSE),FALSE)))/VLOOKUP(B1257,'2-Kosten per locatie'!$A$13:$D$36,4,FALSE)</f>
        <v>0</v>
      </c>
      <c r="P1257" s="82">
        <f>VLOOKUP(H1257,'3-Productie normen'!A:T,20,FALSE)</f>
        <v>0</v>
      </c>
      <c r="Q1257" s="447"/>
      <c r="S1257" s="356">
        <f t="shared" si="104"/>
        <v>0</v>
      </c>
    </row>
    <row r="1258" spans="1:19" ht="14.1" customHeight="1">
      <c r="A1258" s="72">
        <f t="shared" si="101"/>
        <v>1258</v>
      </c>
      <c r="B1258" s="50" t="s">
        <v>823</v>
      </c>
      <c r="C1258" s="50" t="s">
        <v>842</v>
      </c>
      <c r="D1258" s="427" t="s">
        <v>1034</v>
      </c>
      <c r="E1258" s="426" t="s">
        <v>612</v>
      </c>
      <c r="F1258" s="349" t="s">
        <v>221</v>
      </c>
      <c r="G1258" s="86" t="s">
        <v>263</v>
      </c>
      <c r="H1258" s="65" t="s">
        <v>1053</v>
      </c>
      <c r="I1258" s="86" t="s">
        <v>1044</v>
      </c>
      <c r="J1258" s="343">
        <v>4.05</v>
      </c>
      <c r="K1258" s="351" t="str">
        <f t="shared" si="102"/>
        <v>nio</v>
      </c>
      <c r="L1258" s="484" t="s">
        <v>804</v>
      </c>
      <c r="M1258" s="448" t="str">
        <f>IF(L1258="nio","",VLOOKUP(L1258,'3-Productie normen'!$B$31:$H$45,3,FALSE))</f>
        <v/>
      </c>
      <c r="N1258" s="353">
        <f t="shared" si="103"/>
        <v>0</v>
      </c>
      <c r="O1258" s="354">
        <f>IF(L1258="nio",0,IF(L1258&gt;0,VLOOKUP(H1258,'3-Productie normen'!A:P,VLOOKUP(L1258,'3-Productie normen'!$B$31:$C$45,2,FALSE),FALSE)))/VLOOKUP(B1258,'2-Kosten per locatie'!$A$13:$D$36,4,FALSE)</f>
        <v>0</v>
      </c>
      <c r="P1258" s="82">
        <f>VLOOKUP(H1258,'3-Productie normen'!A:T,20,FALSE)</f>
        <v>0</v>
      </c>
      <c r="Q1258" s="447"/>
      <c r="S1258" s="356">
        <f t="shared" si="104"/>
        <v>0</v>
      </c>
    </row>
    <row r="1259" spans="1:19" ht="14.1" customHeight="1">
      <c r="A1259" s="72">
        <f t="shared" si="101"/>
        <v>1259</v>
      </c>
      <c r="B1259" s="50" t="s">
        <v>823</v>
      </c>
      <c r="C1259" s="50" t="s">
        <v>842</v>
      </c>
      <c r="D1259" s="427" t="s">
        <v>1034</v>
      </c>
      <c r="E1259" s="426" t="s">
        <v>612</v>
      </c>
      <c r="F1259" s="349" t="s">
        <v>400</v>
      </c>
      <c r="G1259" s="86" t="s">
        <v>222</v>
      </c>
      <c r="H1259" s="65" t="s">
        <v>1053</v>
      </c>
      <c r="I1259" s="86" t="s">
        <v>1044</v>
      </c>
      <c r="J1259" s="343">
        <v>1.18</v>
      </c>
      <c r="K1259" s="351" t="str">
        <f t="shared" si="102"/>
        <v>nio</v>
      </c>
      <c r="L1259" s="484" t="s">
        <v>804</v>
      </c>
      <c r="M1259" s="448" t="str">
        <f>IF(L1259="nio","",VLOOKUP(L1259,'3-Productie normen'!$B$31:$H$45,3,FALSE))</f>
        <v/>
      </c>
      <c r="N1259" s="353">
        <f t="shared" si="103"/>
        <v>0</v>
      </c>
      <c r="O1259" s="354">
        <f>IF(L1259="nio",0,IF(L1259&gt;0,VLOOKUP(H1259,'3-Productie normen'!A:P,VLOOKUP(L1259,'3-Productie normen'!$B$31:$C$45,2,FALSE),FALSE)))/VLOOKUP(B1259,'2-Kosten per locatie'!$A$13:$D$36,4,FALSE)</f>
        <v>0</v>
      </c>
      <c r="P1259" s="82">
        <f>VLOOKUP(H1259,'3-Productie normen'!A:T,20,FALSE)</f>
        <v>0</v>
      </c>
      <c r="Q1259" s="447"/>
      <c r="S1259" s="356">
        <f t="shared" si="104"/>
        <v>0</v>
      </c>
    </row>
    <row r="1260" spans="1:19" ht="14.1" customHeight="1">
      <c r="A1260" s="72">
        <f t="shared" si="101"/>
        <v>1260</v>
      </c>
      <c r="B1260" s="50" t="s">
        <v>823</v>
      </c>
      <c r="C1260" s="50" t="s">
        <v>842</v>
      </c>
      <c r="D1260" s="427" t="s">
        <v>1034</v>
      </c>
      <c r="E1260" s="426" t="s">
        <v>612</v>
      </c>
      <c r="F1260" s="349" t="s">
        <v>586</v>
      </c>
      <c r="G1260" s="86" t="s">
        <v>222</v>
      </c>
      <c r="H1260" s="65" t="s">
        <v>1053</v>
      </c>
      <c r="I1260" s="86" t="s">
        <v>1044</v>
      </c>
      <c r="J1260" s="343">
        <v>1.18</v>
      </c>
      <c r="K1260" s="351" t="str">
        <f t="shared" si="102"/>
        <v>nio</v>
      </c>
      <c r="L1260" s="484" t="s">
        <v>804</v>
      </c>
      <c r="M1260" s="448" t="str">
        <f>IF(L1260="nio","",VLOOKUP(L1260,'3-Productie normen'!$B$31:$H$45,3,FALSE))</f>
        <v/>
      </c>
      <c r="N1260" s="353">
        <f t="shared" si="103"/>
        <v>0</v>
      </c>
      <c r="O1260" s="354">
        <f>IF(L1260="nio",0,IF(L1260&gt;0,VLOOKUP(H1260,'3-Productie normen'!A:P,VLOOKUP(L1260,'3-Productie normen'!$B$31:$C$45,2,FALSE),FALSE)))/VLOOKUP(B1260,'2-Kosten per locatie'!$A$13:$D$36,4,FALSE)</f>
        <v>0</v>
      </c>
      <c r="P1260" s="82">
        <f>VLOOKUP(H1260,'3-Productie normen'!A:T,20,FALSE)</f>
        <v>0</v>
      </c>
      <c r="Q1260" s="447"/>
      <c r="S1260" s="356">
        <f t="shared" si="104"/>
        <v>0</v>
      </c>
    </row>
    <row r="1261" spans="1:19" ht="14.1" customHeight="1">
      <c r="A1261" s="72">
        <f t="shared" si="101"/>
        <v>1261</v>
      </c>
      <c r="B1261" s="50" t="s">
        <v>823</v>
      </c>
      <c r="C1261" s="50" t="s">
        <v>842</v>
      </c>
      <c r="D1261" s="427" t="s">
        <v>1034</v>
      </c>
      <c r="E1261" s="426" t="s">
        <v>612</v>
      </c>
      <c r="F1261" s="349" t="s">
        <v>223</v>
      </c>
      <c r="G1261" s="86" t="s">
        <v>209</v>
      </c>
      <c r="H1261" s="65" t="s">
        <v>1053</v>
      </c>
      <c r="I1261" s="86" t="s">
        <v>1044</v>
      </c>
      <c r="J1261" s="343">
        <v>2.4900000000000002</v>
      </c>
      <c r="K1261" s="351" t="str">
        <f t="shared" si="102"/>
        <v>nio</v>
      </c>
      <c r="L1261" s="484" t="s">
        <v>804</v>
      </c>
      <c r="M1261" s="448" t="str">
        <f>IF(L1261="nio","",VLOOKUP(L1261,'3-Productie normen'!$B$31:$H$45,3,FALSE))</f>
        <v/>
      </c>
      <c r="N1261" s="353">
        <f t="shared" si="103"/>
        <v>0</v>
      </c>
      <c r="O1261" s="354">
        <f>IF(L1261="nio",0,IF(L1261&gt;0,VLOOKUP(H1261,'3-Productie normen'!A:P,VLOOKUP(L1261,'3-Productie normen'!$B$31:$C$45,2,FALSE),FALSE)))/VLOOKUP(B1261,'2-Kosten per locatie'!$A$13:$D$36,4,FALSE)</f>
        <v>0</v>
      </c>
      <c r="P1261" s="82">
        <f>VLOOKUP(H1261,'3-Productie normen'!A:T,20,FALSE)</f>
        <v>0</v>
      </c>
      <c r="Q1261" s="447"/>
      <c r="S1261" s="356">
        <f t="shared" si="104"/>
        <v>0</v>
      </c>
    </row>
    <row r="1262" spans="1:19" ht="14.1" customHeight="1">
      <c r="A1262" s="72">
        <f t="shared" si="101"/>
        <v>1262</v>
      </c>
      <c r="B1262" s="50" t="s">
        <v>823</v>
      </c>
      <c r="C1262" s="50" t="s">
        <v>842</v>
      </c>
      <c r="D1262" s="427" t="s">
        <v>1034</v>
      </c>
      <c r="E1262" s="426" t="s">
        <v>612</v>
      </c>
      <c r="F1262" s="349" t="s">
        <v>224</v>
      </c>
      <c r="G1262" s="86" t="s">
        <v>263</v>
      </c>
      <c r="H1262" s="65" t="s">
        <v>1053</v>
      </c>
      <c r="I1262" s="86" t="s">
        <v>1044</v>
      </c>
      <c r="J1262" s="343">
        <v>6.49</v>
      </c>
      <c r="K1262" s="351" t="str">
        <f t="shared" si="102"/>
        <v>nio</v>
      </c>
      <c r="L1262" s="484" t="s">
        <v>804</v>
      </c>
      <c r="M1262" s="448" t="str">
        <f>IF(L1262="nio","",VLOOKUP(L1262,'3-Productie normen'!$B$31:$H$45,3,FALSE))</f>
        <v/>
      </c>
      <c r="N1262" s="353">
        <f t="shared" si="103"/>
        <v>0</v>
      </c>
      <c r="O1262" s="354">
        <f>IF(L1262="nio",0,IF(L1262&gt;0,VLOOKUP(H1262,'3-Productie normen'!A:P,VLOOKUP(L1262,'3-Productie normen'!$B$31:$C$45,2,FALSE),FALSE)))/VLOOKUP(B1262,'2-Kosten per locatie'!$A$13:$D$36,4,FALSE)</f>
        <v>0</v>
      </c>
      <c r="P1262" s="82">
        <f>VLOOKUP(H1262,'3-Productie normen'!A:T,20,FALSE)</f>
        <v>0</v>
      </c>
      <c r="Q1262" s="447"/>
      <c r="S1262" s="356">
        <f t="shared" si="104"/>
        <v>0</v>
      </c>
    </row>
    <row r="1263" spans="1:19" ht="14.1" customHeight="1">
      <c r="A1263" s="72">
        <f t="shared" si="101"/>
        <v>1263</v>
      </c>
      <c r="B1263" s="50" t="s">
        <v>823</v>
      </c>
      <c r="C1263" s="50" t="s">
        <v>842</v>
      </c>
      <c r="D1263" s="427" t="s">
        <v>1034</v>
      </c>
      <c r="E1263" s="426" t="s">
        <v>275</v>
      </c>
      <c r="F1263" s="349" t="s">
        <v>385</v>
      </c>
      <c r="G1263" s="86" t="s">
        <v>222</v>
      </c>
      <c r="H1263" s="65" t="s">
        <v>1053</v>
      </c>
      <c r="I1263" s="86" t="s">
        <v>1044</v>
      </c>
      <c r="J1263" s="343">
        <v>1.59</v>
      </c>
      <c r="K1263" s="351" t="str">
        <f t="shared" si="102"/>
        <v>nio</v>
      </c>
      <c r="L1263" s="484" t="s">
        <v>804</v>
      </c>
      <c r="M1263" s="448" t="str">
        <f>IF(L1263="nio","",VLOOKUP(L1263,'3-Productie normen'!$B$31:$H$45,3,FALSE))</f>
        <v/>
      </c>
      <c r="N1263" s="353">
        <f t="shared" si="103"/>
        <v>0</v>
      </c>
      <c r="O1263" s="354">
        <f>IF(L1263="nio",0,IF(L1263&gt;0,VLOOKUP(H1263,'3-Productie normen'!A:P,VLOOKUP(L1263,'3-Productie normen'!$B$31:$C$45,2,FALSE),FALSE)))/VLOOKUP(B1263,'2-Kosten per locatie'!$A$13:$D$36,4,FALSE)</f>
        <v>0</v>
      </c>
      <c r="P1263" s="82">
        <f>VLOOKUP(H1263,'3-Productie normen'!A:T,20,FALSE)</f>
        <v>0</v>
      </c>
      <c r="Q1263" s="447"/>
      <c r="S1263" s="356">
        <f t="shared" si="104"/>
        <v>0</v>
      </c>
    </row>
    <row r="1264" spans="1:19" ht="14.1" customHeight="1">
      <c r="A1264" s="72">
        <f t="shared" si="101"/>
        <v>1264</v>
      </c>
      <c r="B1264" s="50" t="s">
        <v>823</v>
      </c>
      <c r="C1264" s="50" t="s">
        <v>842</v>
      </c>
      <c r="D1264" s="427" t="s">
        <v>1034</v>
      </c>
      <c r="E1264" s="426" t="s">
        <v>275</v>
      </c>
      <c r="F1264" s="349" t="s">
        <v>225</v>
      </c>
      <c r="G1264" s="86" t="s">
        <v>253</v>
      </c>
      <c r="H1264" s="65" t="s">
        <v>1053</v>
      </c>
      <c r="I1264" s="86" t="s">
        <v>780</v>
      </c>
      <c r="J1264" s="343">
        <v>6.5</v>
      </c>
      <c r="K1264" s="351" t="str">
        <f t="shared" si="102"/>
        <v>nio</v>
      </c>
      <c r="L1264" s="484" t="s">
        <v>804</v>
      </c>
      <c r="M1264" s="448" t="str">
        <f>IF(L1264="nio","",VLOOKUP(L1264,'3-Productie normen'!$B$31:$H$45,3,FALSE))</f>
        <v/>
      </c>
      <c r="N1264" s="353">
        <f t="shared" si="103"/>
        <v>0</v>
      </c>
      <c r="O1264" s="354">
        <f>IF(L1264="nio",0,IF(L1264&gt;0,VLOOKUP(H1264,'3-Productie normen'!A:P,VLOOKUP(L1264,'3-Productie normen'!$B$31:$C$45,2,FALSE),FALSE)))/VLOOKUP(B1264,'2-Kosten per locatie'!$A$13:$D$36,4,FALSE)</f>
        <v>0</v>
      </c>
      <c r="P1264" s="82">
        <f>VLOOKUP(H1264,'3-Productie normen'!A:T,20,FALSE)</f>
        <v>0</v>
      </c>
      <c r="Q1264" s="447"/>
      <c r="S1264" s="356">
        <f t="shared" si="104"/>
        <v>0</v>
      </c>
    </row>
    <row r="1265" spans="1:19" ht="14.1" customHeight="1">
      <c r="A1265" s="72">
        <f t="shared" si="101"/>
        <v>1265</v>
      </c>
      <c r="B1265" s="50" t="s">
        <v>823</v>
      </c>
      <c r="C1265" s="50" t="s">
        <v>842</v>
      </c>
      <c r="D1265" s="427" t="s">
        <v>1034</v>
      </c>
      <c r="E1265" s="426" t="s">
        <v>275</v>
      </c>
      <c r="F1265" s="349" t="s">
        <v>227</v>
      </c>
      <c r="G1265" s="86" t="s">
        <v>253</v>
      </c>
      <c r="H1265" s="65" t="s">
        <v>1053</v>
      </c>
      <c r="I1265" s="86" t="s">
        <v>780</v>
      </c>
      <c r="J1265" s="343">
        <v>6.5</v>
      </c>
      <c r="K1265" s="351" t="str">
        <f t="shared" si="102"/>
        <v>nio</v>
      </c>
      <c r="L1265" s="484" t="s">
        <v>804</v>
      </c>
      <c r="M1265" s="448" t="str">
        <f>IF(L1265="nio","",VLOOKUP(L1265,'3-Productie normen'!$B$31:$H$45,3,FALSE))</f>
        <v/>
      </c>
      <c r="N1265" s="353">
        <f t="shared" si="103"/>
        <v>0</v>
      </c>
      <c r="O1265" s="354">
        <f>IF(L1265="nio",0,IF(L1265&gt;0,VLOOKUP(H1265,'3-Productie normen'!A:P,VLOOKUP(L1265,'3-Productie normen'!$B$31:$C$45,2,FALSE),FALSE)))/VLOOKUP(B1265,'2-Kosten per locatie'!$A$13:$D$36,4,FALSE)</f>
        <v>0</v>
      </c>
      <c r="P1265" s="82">
        <f>VLOOKUP(H1265,'3-Productie normen'!A:T,20,FALSE)</f>
        <v>0</v>
      </c>
      <c r="Q1265" s="447"/>
      <c r="S1265" s="356">
        <f t="shared" si="104"/>
        <v>0</v>
      </c>
    </row>
    <row r="1266" spans="1:19" ht="14.1" customHeight="1">
      <c r="A1266" s="72">
        <f t="shared" si="101"/>
        <v>1266</v>
      </c>
      <c r="B1266" s="50" t="s">
        <v>823</v>
      </c>
      <c r="C1266" s="50" t="s">
        <v>842</v>
      </c>
      <c r="D1266" s="427" t="s">
        <v>1034</v>
      </c>
      <c r="E1266" s="426" t="s">
        <v>275</v>
      </c>
      <c r="F1266" s="349" t="s">
        <v>228</v>
      </c>
      <c r="G1266" s="86" t="s">
        <v>256</v>
      </c>
      <c r="H1266" s="65" t="s">
        <v>1053</v>
      </c>
      <c r="I1266" s="86" t="s">
        <v>780</v>
      </c>
      <c r="J1266" s="343">
        <v>56.16</v>
      </c>
      <c r="K1266" s="351" t="str">
        <f t="shared" si="102"/>
        <v>nio</v>
      </c>
      <c r="L1266" s="484" t="s">
        <v>804</v>
      </c>
      <c r="M1266" s="448" t="str">
        <f>IF(L1266="nio","",VLOOKUP(L1266,'3-Productie normen'!$B$31:$H$45,3,FALSE))</f>
        <v/>
      </c>
      <c r="N1266" s="353">
        <f t="shared" si="103"/>
        <v>0</v>
      </c>
      <c r="O1266" s="354">
        <f>IF(L1266="nio",0,IF(L1266&gt;0,VLOOKUP(H1266,'3-Productie normen'!A:P,VLOOKUP(L1266,'3-Productie normen'!$B$31:$C$45,2,FALSE),FALSE)))/VLOOKUP(B1266,'2-Kosten per locatie'!$A$13:$D$36,4,FALSE)</f>
        <v>0</v>
      </c>
      <c r="P1266" s="82">
        <f>VLOOKUP(H1266,'3-Productie normen'!A:T,20,FALSE)</f>
        <v>0</v>
      </c>
      <c r="Q1266" s="447"/>
      <c r="S1266" s="356">
        <f t="shared" si="104"/>
        <v>0</v>
      </c>
    </row>
    <row r="1267" spans="1:19" ht="14.1" customHeight="1">
      <c r="A1267" s="72">
        <f t="shared" si="101"/>
        <v>1267</v>
      </c>
      <c r="B1267" s="50" t="s">
        <v>823</v>
      </c>
      <c r="C1267" s="50" t="s">
        <v>842</v>
      </c>
      <c r="D1267" s="427" t="s">
        <v>1034</v>
      </c>
      <c r="E1267" s="426" t="s">
        <v>275</v>
      </c>
      <c r="F1267" s="349" t="s">
        <v>230</v>
      </c>
      <c r="G1267" s="86" t="s">
        <v>732</v>
      </c>
      <c r="H1267" s="65" t="s">
        <v>1053</v>
      </c>
      <c r="I1267" s="86" t="s">
        <v>92</v>
      </c>
      <c r="J1267" s="343">
        <v>1</v>
      </c>
      <c r="K1267" s="351" t="str">
        <f t="shared" si="102"/>
        <v>nio</v>
      </c>
      <c r="L1267" s="484" t="s">
        <v>804</v>
      </c>
      <c r="M1267" s="448" t="str">
        <f>IF(L1267="nio","",VLOOKUP(L1267,'3-Productie normen'!$B$31:$H$45,3,FALSE))</f>
        <v/>
      </c>
      <c r="N1267" s="353">
        <f t="shared" si="103"/>
        <v>0</v>
      </c>
      <c r="O1267" s="354">
        <f>IF(L1267="nio",0,IF(L1267&gt;0,VLOOKUP(H1267,'3-Productie normen'!A:P,VLOOKUP(L1267,'3-Productie normen'!$B$31:$C$45,2,FALSE),FALSE)))/VLOOKUP(B1267,'2-Kosten per locatie'!$A$13:$D$36,4,FALSE)</f>
        <v>0</v>
      </c>
      <c r="P1267" s="82">
        <f>VLOOKUP(H1267,'3-Productie normen'!A:T,20,FALSE)</f>
        <v>0</v>
      </c>
      <c r="Q1267" s="447"/>
      <c r="S1267" s="356">
        <f t="shared" si="104"/>
        <v>0</v>
      </c>
    </row>
    <row r="1268" spans="1:19" ht="14.1" customHeight="1">
      <c r="A1268" s="72">
        <f t="shared" si="101"/>
        <v>1268</v>
      </c>
      <c r="B1268" s="50" t="s">
        <v>823</v>
      </c>
      <c r="C1268" s="50" t="s">
        <v>842</v>
      </c>
      <c r="D1268" s="427" t="s">
        <v>1034</v>
      </c>
      <c r="E1268" s="426" t="s">
        <v>275</v>
      </c>
      <c r="F1268" s="349" t="s">
        <v>233</v>
      </c>
      <c r="G1268" s="86" t="s">
        <v>732</v>
      </c>
      <c r="H1268" s="65" t="s">
        <v>1053</v>
      </c>
      <c r="I1268" s="86" t="s">
        <v>92</v>
      </c>
      <c r="J1268" s="343">
        <v>1</v>
      </c>
      <c r="K1268" s="351" t="str">
        <f t="shared" si="102"/>
        <v>nio</v>
      </c>
      <c r="L1268" s="484" t="s">
        <v>804</v>
      </c>
      <c r="M1268" s="448" t="str">
        <f>IF(L1268="nio","",VLOOKUP(L1268,'3-Productie normen'!$B$31:$H$45,3,FALSE))</f>
        <v/>
      </c>
      <c r="N1268" s="353">
        <f t="shared" si="103"/>
        <v>0</v>
      </c>
      <c r="O1268" s="354">
        <f>IF(L1268="nio",0,IF(L1268&gt;0,VLOOKUP(H1268,'3-Productie normen'!A:P,VLOOKUP(L1268,'3-Productie normen'!$B$31:$C$45,2,FALSE),FALSE)))/VLOOKUP(B1268,'2-Kosten per locatie'!$A$13:$D$36,4,FALSE)</f>
        <v>0</v>
      </c>
      <c r="P1268" s="82">
        <f>VLOOKUP(H1268,'3-Productie normen'!A:T,20,FALSE)</f>
        <v>0</v>
      </c>
      <c r="Q1268" s="447"/>
      <c r="S1268" s="356">
        <f t="shared" si="104"/>
        <v>0</v>
      </c>
    </row>
    <row r="1269" spans="1:19" ht="14.1" customHeight="1">
      <c r="A1269" s="72">
        <f t="shared" si="101"/>
        <v>1269</v>
      </c>
      <c r="B1269" s="50" t="s">
        <v>823</v>
      </c>
      <c r="C1269" s="50" t="s">
        <v>842</v>
      </c>
      <c r="D1269" s="427" t="s">
        <v>1034</v>
      </c>
      <c r="E1269" s="426" t="s">
        <v>275</v>
      </c>
      <c r="F1269" s="349" t="s">
        <v>276</v>
      </c>
      <c r="G1269" s="86" t="s">
        <v>201</v>
      </c>
      <c r="H1269" s="65" t="s">
        <v>1053</v>
      </c>
      <c r="I1269" s="86" t="s">
        <v>789</v>
      </c>
      <c r="J1269" s="343">
        <v>57</v>
      </c>
      <c r="K1269" s="351" t="str">
        <f t="shared" si="102"/>
        <v>nio</v>
      </c>
      <c r="L1269" s="484" t="s">
        <v>804</v>
      </c>
      <c r="M1269" s="448" t="str">
        <f>IF(L1269="nio","",VLOOKUP(L1269,'3-Productie normen'!$B$31:$H$45,3,FALSE))</f>
        <v/>
      </c>
      <c r="N1269" s="353">
        <f t="shared" si="103"/>
        <v>0</v>
      </c>
      <c r="O1269" s="354">
        <f>IF(L1269="nio",0,IF(L1269&gt;0,VLOOKUP(H1269,'3-Productie normen'!A:P,VLOOKUP(L1269,'3-Productie normen'!$B$31:$C$45,2,FALSE),FALSE)))/VLOOKUP(B1269,'2-Kosten per locatie'!$A$13:$D$36,4,FALSE)</f>
        <v>0</v>
      </c>
      <c r="P1269" s="82">
        <f>VLOOKUP(H1269,'3-Productie normen'!A:T,20,FALSE)</f>
        <v>0</v>
      </c>
      <c r="Q1269" s="447"/>
      <c r="S1269" s="356">
        <f t="shared" si="104"/>
        <v>0</v>
      </c>
    </row>
    <row r="1270" spans="1:19" ht="14.1" customHeight="1">
      <c r="A1270" s="72">
        <f t="shared" si="101"/>
        <v>1270</v>
      </c>
      <c r="B1270" s="50" t="s">
        <v>823</v>
      </c>
      <c r="C1270" s="50" t="s">
        <v>842</v>
      </c>
      <c r="D1270" s="427" t="s">
        <v>1034</v>
      </c>
      <c r="E1270" s="426" t="s">
        <v>275</v>
      </c>
      <c r="F1270" s="349" t="s">
        <v>278</v>
      </c>
      <c r="G1270" s="86" t="s">
        <v>239</v>
      </c>
      <c r="H1270" s="65" t="s">
        <v>1053</v>
      </c>
      <c r="I1270" s="86" t="s">
        <v>789</v>
      </c>
      <c r="J1270" s="343">
        <v>49.77</v>
      </c>
      <c r="K1270" s="351" t="str">
        <f t="shared" si="102"/>
        <v>nio</v>
      </c>
      <c r="L1270" s="484" t="s">
        <v>804</v>
      </c>
      <c r="M1270" s="448" t="str">
        <f>IF(L1270="nio","",VLOOKUP(L1270,'3-Productie normen'!$B$31:$H$45,3,FALSE))</f>
        <v/>
      </c>
      <c r="N1270" s="353">
        <f t="shared" si="103"/>
        <v>0</v>
      </c>
      <c r="O1270" s="354">
        <f>IF(L1270="nio",0,IF(L1270&gt;0,VLOOKUP(H1270,'3-Productie normen'!A:P,VLOOKUP(L1270,'3-Productie normen'!$B$31:$C$45,2,FALSE),FALSE)))/VLOOKUP(B1270,'2-Kosten per locatie'!$A$13:$D$36,4,FALSE)</f>
        <v>0</v>
      </c>
      <c r="P1270" s="82">
        <f>VLOOKUP(H1270,'3-Productie normen'!A:T,20,FALSE)</f>
        <v>0</v>
      </c>
      <c r="Q1270" s="447"/>
      <c r="S1270" s="356">
        <f t="shared" si="104"/>
        <v>0</v>
      </c>
    </row>
    <row r="1271" spans="1:19" ht="14.1" customHeight="1">
      <c r="A1271" s="72">
        <f t="shared" si="101"/>
        <v>1271</v>
      </c>
      <c r="B1271" s="50" t="s">
        <v>823</v>
      </c>
      <c r="C1271" s="50" t="s">
        <v>842</v>
      </c>
      <c r="D1271" s="427" t="s">
        <v>1034</v>
      </c>
      <c r="E1271" s="426" t="s">
        <v>275</v>
      </c>
      <c r="F1271" s="349" t="s">
        <v>280</v>
      </c>
      <c r="G1271" s="86" t="s">
        <v>239</v>
      </c>
      <c r="H1271" s="65" t="s">
        <v>1053</v>
      </c>
      <c r="I1271" s="86" t="s">
        <v>180</v>
      </c>
      <c r="J1271" s="343">
        <v>8.84</v>
      </c>
      <c r="K1271" s="351" t="str">
        <f t="shared" si="102"/>
        <v>nio</v>
      </c>
      <c r="L1271" s="484" t="s">
        <v>804</v>
      </c>
      <c r="M1271" s="448" t="str">
        <f>IF(L1271="nio","",VLOOKUP(L1271,'3-Productie normen'!$B$31:$H$45,3,FALSE))</f>
        <v/>
      </c>
      <c r="N1271" s="353">
        <f t="shared" si="103"/>
        <v>0</v>
      </c>
      <c r="O1271" s="354">
        <f>IF(L1271="nio",0,IF(L1271&gt;0,VLOOKUP(H1271,'3-Productie normen'!A:P,VLOOKUP(L1271,'3-Productie normen'!$B$31:$C$45,2,FALSE),FALSE)))/VLOOKUP(B1271,'2-Kosten per locatie'!$A$13:$D$36,4,FALSE)</f>
        <v>0</v>
      </c>
      <c r="P1271" s="82">
        <f>VLOOKUP(H1271,'3-Productie normen'!A:T,20,FALSE)</f>
        <v>0</v>
      </c>
      <c r="Q1271" s="447"/>
      <c r="S1271" s="356">
        <f t="shared" si="104"/>
        <v>0</v>
      </c>
    </row>
    <row r="1272" spans="1:19" ht="14.1" customHeight="1">
      <c r="A1272" s="72">
        <f t="shared" si="101"/>
        <v>1272</v>
      </c>
      <c r="B1272" s="50" t="s">
        <v>823</v>
      </c>
      <c r="C1272" s="50" t="s">
        <v>842</v>
      </c>
      <c r="D1272" s="427" t="s">
        <v>1034</v>
      </c>
      <c r="E1272" s="426" t="s">
        <v>275</v>
      </c>
      <c r="F1272" s="349" t="s">
        <v>282</v>
      </c>
      <c r="G1272" s="86" t="s">
        <v>209</v>
      </c>
      <c r="H1272" s="65" t="s">
        <v>1053</v>
      </c>
      <c r="I1272" s="86" t="s">
        <v>789</v>
      </c>
      <c r="J1272" s="343">
        <v>3.45</v>
      </c>
      <c r="K1272" s="351" t="str">
        <f t="shared" si="102"/>
        <v>nio</v>
      </c>
      <c r="L1272" s="484" t="s">
        <v>804</v>
      </c>
      <c r="M1272" s="448" t="str">
        <f>IF(L1272="nio","",VLOOKUP(L1272,'3-Productie normen'!$B$31:$H$45,3,FALSE))</f>
        <v/>
      </c>
      <c r="N1272" s="353">
        <f t="shared" si="103"/>
        <v>0</v>
      </c>
      <c r="O1272" s="354">
        <f>IF(L1272="nio",0,IF(L1272&gt;0,VLOOKUP(H1272,'3-Productie normen'!A:P,VLOOKUP(L1272,'3-Productie normen'!$B$31:$C$45,2,FALSE),FALSE)))/VLOOKUP(B1272,'2-Kosten per locatie'!$A$13:$D$36,4,FALSE)</f>
        <v>0</v>
      </c>
      <c r="P1272" s="82">
        <f>VLOOKUP(H1272,'3-Productie normen'!A:T,20,FALSE)</f>
        <v>0</v>
      </c>
      <c r="Q1272" s="447"/>
      <c r="S1272" s="356">
        <f t="shared" si="104"/>
        <v>0</v>
      </c>
    </row>
    <row r="1273" spans="1:19" ht="14.1" customHeight="1">
      <c r="A1273" s="72">
        <f t="shared" si="101"/>
        <v>1273</v>
      </c>
      <c r="B1273" s="50" t="s">
        <v>823</v>
      </c>
      <c r="C1273" s="50" t="s">
        <v>842</v>
      </c>
      <c r="D1273" s="427" t="s">
        <v>1034</v>
      </c>
      <c r="E1273" s="426" t="s">
        <v>275</v>
      </c>
      <c r="F1273" s="349" t="s">
        <v>284</v>
      </c>
      <c r="G1273" s="86" t="s">
        <v>279</v>
      </c>
      <c r="H1273" s="65" t="s">
        <v>1053</v>
      </c>
      <c r="I1273" s="86" t="s">
        <v>789</v>
      </c>
      <c r="J1273" s="343">
        <v>22.77</v>
      </c>
      <c r="K1273" s="351" t="str">
        <f t="shared" si="102"/>
        <v>nio</v>
      </c>
      <c r="L1273" s="484" t="s">
        <v>804</v>
      </c>
      <c r="M1273" s="448" t="str">
        <f>IF(L1273="nio","",VLOOKUP(L1273,'3-Productie normen'!$B$31:$H$45,3,FALSE))</f>
        <v/>
      </c>
      <c r="N1273" s="353">
        <f t="shared" si="103"/>
        <v>0</v>
      </c>
      <c r="O1273" s="354">
        <f>IF(L1273="nio",0,IF(L1273&gt;0,VLOOKUP(H1273,'3-Productie normen'!A:P,VLOOKUP(L1273,'3-Productie normen'!$B$31:$C$45,2,FALSE),FALSE)))/VLOOKUP(B1273,'2-Kosten per locatie'!$A$13:$D$36,4,FALSE)</f>
        <v>0</v>
      </c>
      <c r="P1273" s="82">
        <f>VLOOKUP(H1273,'3-Productie normen'!A:T,20,FALSE)</f>
        <v>0</v>
      </c>
      <c r="Q1273" s="447" t="s">
        <v>1090</v>
      </c>
      <c r="S1273" s="356">
        <f t="shared" si="104"/>
        <v>0</v>
      </c>
    </row>
    <row r="1274" spans="1:19" ht="14.1" customHeight="1">
      <c r="A1274" s="72">
        <f t="shared" si="101"/>
        <v>1274</v>
      </c>
      <c r="B1274" s="50" t="s">
        <v>823</v>
      </c>
      <c r="C1274" s="50" t="s">
        <v>842</v>
      </c>
      <c r="D1274" s="427" t="s">
        <v>1034</v>
      </c>
      <c r="E1274" s="426" t="s">
        <v>275</v>
      </c>
      <c r="F1274" s="349" t="s">
        <v>285</v>
      </c>
      <c r="G1274" s="86" t="s">
        <v>1042</v>
      </c>
      <c r="H1274" s="65" t="s">
        <v>1053</v>
      </c>
      <c r="I1274" s="86" t="s">
        <v>789</v>
      </c>
      <c r="J1274" s="343">
        <v>23.03</v>
      </c>
      <c r="K1274" s="351" t="str">
        <f t="shared" si="102"/>
        <v>nio</v>
      </c>
      <c r="L1274" s="484" t="s">
        <v>804</v>
      </c>
      <c r="M1274" s="448" t="str">
        <f>IF(L1274="nio","",VLOOKUP(L1274,'3-Productie normen'!$B$31:$H$45,3,FALSE))</f>
        <v/>
      </c>
      <c r="N1274" s="353">
        <f t="shared" si="103"/>
        <v>0</v>
      </c>
      <c r="O1274" s="354">
        <f>IF(L1274="nio",0,IF(L1274&gt;0,VLOOKUP(H1274,'3-Productie normen'!A:P,VLOOKUP(L1274,'3-Productie normen'!$B$31:$C$45,2,FALSE),FALSE)))/VLOOKUP(B1274,'2-Kosten per locatie'!$A$13:$D$36,4,FALSE)</f>
        <v>0</v>
      </c>
      <c r="P1274" s="82">
        <f>VLOOKUP(H1274,'3-Productie normen'!A:T,20,FALSE)</f>
        <v>0</v>
      </c>
      <c r="Q1274" s="447" t="s">
        <v>776</v>
      </c>
      <c r="S1274" s="356">
        <f t="shared" si="104"/>
        <v>0</v>
      </c>
    </row>
    <row r="1275" spans="1:19" ht="14.1" customHeight="1">
      <c r="A1275" s="72">
        <f t="shared" si="101"/>
        <v>1275</v>
      </c>
      <c r="B1275" s="50" t="s">
        <v>823</v>
      </c>
      <c r="C1275" s="50" t="s">
        <v>842</v>
      </c>
      <c r="D1275" s="427" t="s">
        <v>1034</v>
      </c>
      <c r="E1275" s="426" t="s">
        <v>275</v>
      </c>
      <c r="F1275" s="349" t="s">
        <v>286</v>
      </c>
      <c r="G1275" s="86" t="s">
        <v>209</v>
      </c>
      <c r="H1275" s="65" t="s">
        <v>1053</v>
      </c>
      <c r="I1275" s="86" t="s">
        <v>180</v>
      </c>
      <c r="J1275" s="343">
        <v>43.9</v>
      </c>
      <c r="K1275" s="351" t="str">
        <f t="shared" si="102"/>
        <v>nio</v>
      </c>
      <c r="L1275" s="484" t="s">
        <v>804</v>
      </c>
      <c r="M1275" s="448" t="str">
        <f>IF(L1275="nio","",VLOOKUP(L1275,'3-Productie normen'!$B$31:$H$45,3,FALSE))</f>
        <v/>
      </c>
      <c r="N1275" s="353">
        <f t="shared" si="103"/>
        <v>0</v>
      </c>
      <c r="O1275" s="354">
        <f>IF(L1275="nio",0,IF(L1275&gt;0,VLOOKUP(H1275,'3-Productie normen'!A:P,VLOOKUP(L1275,'3-Productie normen'!$B$31:$C$45,2,FALSE),FALSE)))/VLOOKUP(B1275,'2-Kosten per locatie'!$A$13:$D$36,4,FALSE)</f>
        <v>0</v>
      </c>
      <c r="P1275" s="82">
        <f>VLOOKUP(H1275,'3-Productie normen'!A:T,20,FALSE)</f>
        <v>0</v>
      </c>
      <c r="Q1275" s="447"/>
      <c r="S1275" s="356">
        <f t="shared" si="104"/>
        <v>0</v>
      </c>
    </row>
    <row r="1276" spans="1:19" ht="14.1" customHeight="1">
      <c r="A1276" s="72">
        <f t="shared" si="101"/>
        <v>1276</v>
      </c>
      <c r="B1276" s="50" t="s">
        <v>823</v>
      </c>
      <c r="C1276" s="50" t="s">
        <v>842</v>
      </c>
      <c r="D1276" s="427" t="s">
        <v>1034</v>
      </c>
      <c r="E1276" s="426" t="s">
        <v>275</v>
      </c>
      <c r="F1276" s="349" t="s">
        <v>287</v>
      </c>
      <c r="G1276" s="86" t="s">
        <v>778</v>
      </c>
      <c r="H1276" s="65" t="s">
        <v>1053</v>
      </c>
      <c r="I1276" s="86" t="s">
        <v>789</v>
      </c>
      <c r="J1276" s="343">
        <v>40.29</v>
      </c>
      <c r="K1276" s="351" t="str">
        <f t="shared" si="102"/>
        <v>nio</v>
      </c>
      <c r="L1276" s="484" t="s">
        <v>804</v>
      </c>
      <c r="M1276" s="448" t="str">
        <f>IF(L1276="nio","",VLOOKUP(L1276,'3-Productie normen'!$B$31:$H$45,3,FALSE))</f>
        <v/>
      </c>
      <c r="N1276" s="353">
        <f t="shared" si="103"/>
        <v>0</v>
      </c>
      <c r="O1276" s="354">
        <f>IF(L1276="nio",0,IF(L1276&gt;0,VLOOKUP(H1276,'3-Productie normen'!A:P,VLOOKUP(L1276,'3-Productie normen'!$B$31:$C$45,2,FALSE),FALSE)))/VLOOKUP(B1276,'2-Kosten per locatie'!$A$13:$D$36,4,FALSE)</f>
        <v>0</v>
      </c>
      <c r="P1276" s="82">
        <f>VLOOKUP(H1276,'3-Productie normen'!A:T,20,FALSE)</f>
        <v>0</v>
      </c>
      <c r="Q1276" s="447"/>
      <c r="S1276" s="356">
        <f t="shared" si="104"/>
        <v>0</v>
      </c>
    </row>
    <row r="1277" spans="1:19" ht="14.1" customHeight="1">
      <c r="A1277" s="72">
        <f t="shared" si="101"/>
        <v>1277</v>
      </c>
      <c r="B1277" s="50" t="s">
        <v>823</v>
      </c>
      <c r="C1277" s="50" t="s">
        <v>842</v>
      </c>
      <c r="D1277" s="427" t="s">
        <v>1034</v>
      </c>
      <c r="E1277" s="426" t="s">
        <v>275</v>
      </c>
      <c r="F1277" s="349" t="s">
        <v>288</v>
      </c>
      <c r="G1277" s="86" t="s">
        <v>239</v>
      </c>
      <c r="H1277" s="65" t="s">
        <v>1053</v>
      </c>
      <c r="I1277" s="65" t="s">
        <v>789</v>
      </c>
      <c r="J1277" s="343">
        <v>78.91</v>
      </c>
      <c r="K1277" s="351" t="str">
        <f t="shared" si="102"/>
        <v>nio</v>
      </c>
      <c r="L1277" s="484" t="s">
        <v>804</v>
      </c>
      <c r="M1277" s="448" t="str">
        <f>IF(L1277="nio","",VLOOKUP(L1277,'3-Productie normen'!$B$31:$H$45,3,FALSE))</f>
        <v/>
      </c>
      <c r="N1277" s="353">
        <f t="shared" si="103"/>
        <v>0</v>
      </c>
      <c r="O1277" s="354">
        <f>IF(L1277="nio",0,IF(L1277&gt;0,VLOOKUP(H1277,'3-Productie normen'!A:P,VLOOKUP(L1277,'3-Productie normen'!$B$31:$C$45,2,FALSE),FALSE)))/VLOOKUP(B1277,'2-Kosten per locatie'!$A$13:$D$36,4,FALSE)</f>
        <v>0</v>
      </c>
      <c r="P1277" s="82">
        <f>VLOOKUP(H1277,'3-Productie normen'!A:T,20,FALSE)</f>
        <v>0</v>
      </c>
      <c r="Q1277" s="447"/>
      <c r="S1277" s="356">
        <f t="shared" si="104"/>
        <v>0</v>
      </c>
    </row>
    <row r="1278" spans="1:19" ht="14.1" customHeight="1">
      <c r="A1278" s="72">
        <f t="shared" si="101"/>
        <v>1278</v>
      </c>
      <c r="B1278" s="50" t="s">
        <v>823</v>
      </c>
      <c r="C1278" s="50" t="s">
        <v>842</v>
      </c>
      <c r="D1278" s="427" t="s">
        <v>1034</v>
      </c>
      <c r="E1278" s="426" t="s">
        <v>275</v>
      </c>
      <c r="F1278" s="349" t="s">
        <v>608</v>
      </c>
      <c r="G1278" s="86" t="s">
        <v>222</v>
      </c>
      <c r="H1278" s="65" t="s">
        <v>1053</v>
      </c>
      <c r="I1278" s="65" t="s">
        <v>1044</v>
      </c>
      <c r="J1278" s="343">
        <v>1.3</v>
      </c>
      <c r="K1278" s="351" t="str">
        <f t="shared" si="102"/>
        <v>nio</v>
      </c>
      <c r="L1278" s="484" t="s">
        <v>804</v>
      </c>
      <c r="M1278" s="448" t="str">
        <f>IF(L1278="nio","",VLOOKUP(L1278,'3-Productie normen'!$B$31:$H$45,3,FALSE))</f>
        <v/>
      </c>
      <c r="N1278" s="353">
        <f t="shared" si="103"/>
        <v>0</v>
      </c>
      <c r="O1278" s="354">
        <f>IF(L1278="nio",0,IF(L1278&gt;0,VLOOKUP(H1278,'3-Productie normen'!A:P,VLOOKUP(L1278,'3-Productie normen'!$B$31:$C$45,2,FALSE),FALSE)))/VLOOKUP(B1278,'2-Kosten per locatie'!$A$13:$D$36,4,FALSE)</f>
        <v>0</v>
      </c>
      <c r="P1278" s="82">
        <f>VLOOKUP(H1278,'3-Productie normen'!A:T,20,FALSE)</f>
        <v>0</v>
      </c>
      <c r="Q1278" s="447"/>
      <c r="S1278" s="356">
        <f t="shared" si="104"/>
        <v>0</v>
      </c>
    </row>
    <row r="1279" spans="1:19" ht="14.1" customHeight="1">
      <c r="A1279" s="72">
        <f t="shared" si="101"/>
        <v>1279</v>
      </c>
      <c r="B1279" s="50" t="s">
        <v>823</v>
      </c>
      <c r="C1279" s="50" t="s">
        <v>1096</v>
      </c>
      <c r="D1279" s="427" t="s">
        <v>1034</v>
      </c>
      <c r="E1279" s="426" t="s">
        <v>1097</v>
      </c>
      <c r="F1279" s="349" t="s">
        <v>1091</v>
      </c>
      <c r="G1279" s="86" t="s">
        <v>222</v>
      </c>
      <c r="H1279" s="65" t="s">
        <v>1053</v>
      </c>
      <c r="I1279" s="65" t="s">
        <v>1044</v>
      </c>
      <c r="J1279" s="343">
        <v>1.3</v>
      </c>
      <c r="K1279" s="351" t="str">
        <f t="shared" ref="K1279:K1283" si="105">L1279</f>
        <v>nio</v>
      </c>
      <c r="L1279" s="484" t="s">
        <v>804</v>
      </c>
      <c r="M1279" s="448" t="str">
        <f>IF(L1279="nio","",VLOOKUP(L1279,'3-Productie normen'!$B$31:$H$45,3,FALSE))</f>
        <v/>
      </c>
      <c r="N1279" s="353">
        <f t="shared" ref="N1279:N1283" si="106">IF(L1279="nio",0,IF(L1279&gt;0,L1279*J1279/O1279,0))</f>
        <v>0</v>
      </c>
      <c r="O1279" s="354">
        <f>IF(L1279="nio",0,IF(L1279&gt;0,VLOOKUP(H1279,'3-Productie normen'!A:P,VLOOKUP(L1279,'3-Productie normen'!$B$31:$C$45,2,FALSE),FALSE)))/VLOOKUP(B1279,'2-Kosten per locatie'!$A$13:$D$36,4,FALSE)</f>
        <v>0</v>
      </c>
      <c r="P1279" s="82">
        <f>VLOOKUP(H1279,'3-Productie normen'!A:T,20,FALSE)</f>
        <v>0</v>
      </c>
      <c r="Q1279" s="447"/>
      <c r="S1279" s="356">
        <f t="shared" ref="S1279:S1283" si="107">IF(L1279="nio",0,K1279*J1279)</f>
        <v>0</v>
      </c>
    </row>
    <row r="1280" spans="1:19" ht="14.1" customHeight="1">
      <c r="A1280" s="72">
        <f t="shared" si="101"/>
        <v>1280</v>
      </c>
      <c r="B1280" s="50" t="s">
        <v>823</v>
      </c>
      <c r="C1280" s="50" t="s">
        <v>1098</v>
      </c>
      <c r="D1280" s="427" t="s">
        <v>1034</v>
      </c>
      <c r="E1280" s="426" t="s">
        <v>1099</v>
      </c>
      <c r="F1280" s="349" t="s">
        <v>289</v>
      </c>
      <c r="G1280" s="86" t="s">
        <v>1043</v>
      </c>
      <c r="H1280" s="65" t="s">
        <v>1053</v>
      </c>
      <c r="I1280" s="65" t="s">
        <v>789</v>
      </c>
      <c r="J1280" s="343">
        <v>5.6</v>
      </c>
      <c r="K1280" s="351" t="str">
        <f t="shared" si="105"/>
        <v>nio</v>
      </c>
      <c r="L1280" s="484" t="s">
        <v>804</v>
      </c>
      <c r="M1280" s="448" t="str">
        <f>IF(L1280="nio","",VLOOKUP(L1280,'3-Productie normen'!$B$31:$H$45,3,FALSE))</f>
        <v/>
      </c>
      <c r="N1280" s="353">
        <f t="shared" si="106"/>
        <v>0</v>
      </c>
      <c r="O1280" s="354">
        <f>IF(L1280="nio",0,IF(L1280&gt;0,VLOOKUP(H1280,'3-Productie normen'!A:P,VLOOKUP(L1280,'3-Productie normen'!$B$31:$C$45,2,FALSE),FALSE)))/VLOOKUP(B1280,'2-Kosten per locatie'!$A$13:$D$36,4,FALSE)</f>
        <v>0</v>
      </c>
      <c r="P1280" s="82">
        <f>VLOOKUP(H1280,'3-Productie normen'!A:T,20,FALSE)</f>
        <v>0</v>
      </c>
      <c r="Q1280" s="447"/>
      <c r="S1280" s="356">
        <f t="shared" si="107"/>
        <v>0</v>
      </c>
    </row>
    <row r="1281" spans="1:19" ht="14.1" customHeight="1">
      <c r="A1281" s="72">
        <f t="shared" si="101"/>
        <v>1281</v>
      </c>
      <c r="B1281" s="50" t="s">
        <v>823</v>
      </c>
      <c r="C1281" s="50" t="s">
        <v>1100</v>
      </c>
      <c r="D1281" s="427" t="s">
        <v>1034</v>
      </c>
      <c r="E1281" s="426" t="s">
        <v>1101</v>
      </c>
      <c r="F1281" s="349" t="s">
        <v>290</v>
      </c>
      <c r="G1281" s="86" t="s">
        <v>368</v>
      </c>
      <c r="H1281" s="65" t="s">
        <v>1053</v>
      </c>
      <c r="I1281" s="65" t="s">
        <v>1044</v>
      </c>
      <c r="J1281" s="343">
        <v>5.38</v>
      </c>
      <c r="K1281" s="351" t="str">
        <f t="shared" si="105"/>
        <v>nio</v>
      </c>
      <c r="L1281" s="484" t="s">
        <v>804</v>
      </c>
      <c r="M1281" s="448" t="str">
        <f>IF(L1281="nio","",VLOOKUP(L1281,'3-Productie normen'!$B$31:$H$45,3,FALSE))</f>
        <v/>
      </c>
      <c r="N1281" s="353">
        <f t="shared" si="106"/>
        <v>0</v>
      </c>
      <c r="O1281" s="354">
        <f>IF(L1281="nio",0,IF(L1281&gt;0,VLOOKUP(H1281,'3-Productie normen'!A:P,VLOOKUP(L1281,'3-Productie normen'!$B$31:$C$45,2,FALSE),FALSE)))/VLOOKUP(B1281,'2-Kosten per locatie'!$A$13:$D$36,4,FALSE)</f>
        <v>0</v>
      </c>
      <c r="P1281" s="82">
        <f>VLOOKUP(H1281,'3-Productie normen'!A:T,20,FALSE)</f>
        <v>0</v>
      </c>
      <c r="Q1281" s="447"/>
      <c r="S1281" s="356">
        <f t="shared" si="107"/>
        <v>0</v>
      </c>
    </row>
    <row r="1282" spans="1:19" ht="14.1" customHeight="1">
      <c r="A1282" s="72">
        <f t="shared" si="101"/>
        <v>1282</v>
      </c>
      <c r="B1282" s="50" t="s">
        <v>823</v>
      </c>
      <c r="C1282" s="50" t="s">
        <v>1102</v>
      </c>
      <c r="D1282" s="427" t="s">
        <v>1034</v>
      </c>
      <c r="E1282" s="426" t="s">
        <v>1103</v>
      </c>
      <c r="F1282" s="349" t="s">
        <v>717</v>
      </c>
      <c r="G1282" s="86" t="s">
        <v>222</v>
      </c>
      <c r="H1282" s="65" t="s">
        <v>1053</v>
      </c>
      <c r="I1282" s="65" t="s">
        <v>1044</v>
      </c>
      <c r="J1282" s="343">
        <v>1.3</v>
      </c>
      <c r="K1282" s="351" t="str">
        <f t="shared" si="105"/>
        <v>nio</v>
      </c>
      <c r="L1282" s="484" t="s">
        <v>804</v>
      </c>
      <c r="M1282" s="448" t="str">
        <f>IF(L1282="nio","",VLOOKUP(L1282,'3-Productie normen'!$B$31:$H$45,3,FALSE))</f>
        <v/>
      </c>
      <c r="N1282" s="353">
        <f t="shared" si="106"/>
        <v>0</v>
      </c>
      <c r="O1282" s="354">
        <f>IF(L1282="nio",0,IF(L1282&gt;0,VLOOKUP(H1282,'3-Productie normen'!A:P,VLOOKUP(L1282,'3-Productie normen'!$B$31:$C$45,2,FALSE),FALSE)))/VLOOKUP(B1282,'2-Kosten per locatie'!$A$13:$D$36,4,FALSE)</f>
        <v>0</v>
      </c>
      <c r="P1282" s="82">
        <f>VLOOKUP(H1282,'3-Productie normen'!A:T,20,FALSE)</f>
        <v>0</v>
      </c>
      <c r="Q1282" s="447"/>
      <c r="S1282" s="356">
        <f t="shared" si="107"/>
        <v>0</v>
      </c>
    </row>
    <row r="1283" spans="1:19" ht="14.1" customHeight="1">
      <c r="B1283" s="50" t="s">
        <v>823</v>
      </c>
      <c r="C1283" s="50" t="s">
        <v>1104</v>
      </c>
      <c r="D1283" s="427" t="s">
        <v>1034</v>
      </c>
      <c r="E1283" s="426" t="s">
        <v>1105</v>
      </c>
      <c r="F1283" s="349" t="s">
        <v>1092</v>
      </c>
      <c r="G1283" s="86" t="s">
        <v>222</v>
      </c>
      <c r="H1283" s="65" t="s">
        <v>1053</v>
      </c>
      <c r="I1283" s="65" t="s">
        <v>1044</v>
      </c>
      <c r="J1283" s="343">
        <v>1.3</v>
      </c>
      <c r="K1283" s="351" t="str">
        <f t="shared" si="105"/>
        <v>nio</v>
      </c>
      <c r="L1283" s="484" t="s">
        <v>804</v>
      </c>
      <c r="M1283" s="448" t="str">
        <f>IF(L1283="nio","",VLOOKUP(L1283,'3-Productie normen'!$B$31:$H$45,3,FALSE))</f>
        <v/>
      </c>
      <c r="N1283" s="353">
        <f t="shared" si="106"/>
        <v>0</v>
      </c>
      <c r="O1283" s="354">
        <f>IF(L1283="nio",0,IF(L1283&gt;0,VLOOKUP(H1283,'3-Productie normen'!A:P,VLOOKUP(L1283,'3-Productie normen'!$B$31:$C$45,2,FALSE),FALSE)))/VLOOKUP(B1283,'2-Kosten per locatie'!$A$13:$D$36,4,FALSE)</f>
        <v>0</v>
      </c>
      <c r="P1283" s="82">
        <f>VLOOKUP(H1283,'3-Productie normen'!A:T,20,FALSE)</f>
        <v>0</v>
      </c>
      <c r="Q1283" s="447"/>
      <c r="S1283" s="356">
        <f t="shared" si="107"/>
        <v>0</v>
      </c>
    </row>
    <row r="1284" spans="1:19" ht="14.1" customHeight="1">
      <c r="I1284" s="461"/>
    </row>
  </sheetData>
  <autoFilter ref="B9:S1283"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5"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46" sqref="B46"/>
    </sheetView>
  </sheetViews>
  <sheetFormatPr defaultColWidth="9.33203125" defaultRowHeight="13.2"/>
  <cols>
    <col min="1" max="1" width="45.5546875" style="53" customWidth="1"/>
    <col min="2" max="2" width="18.33203125" style="53" customWidth="1"/>
    <col min="3" max="3" width="18.44140625" style="53"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72" t="s">
        <v>22</v>
      </c>
      <c r="B1" s="89"/>
      <c r="C1" s="90"/>
      <c r="D1" s="1"/>
      <c r="E1" s="1"/>
      <c r="F1" s="1"/>
      <c r="G1" s="1"/>
    </row>
    <row r="2" spans="1:8">
      <c r="A2" s="90"/>
      <c r="B2" s="90"/>
      <c r="C2" s="90"/>
      <c r="D2" s="1"/>
      <c r="E2" s="1"/>
      <c r="F2" s="1"/>
      <c r="G2" s="1"/>
    </row>
    <row r="3" spans="1:8" ht="18.600000000000001">
      <c r="A3" s="250" t="str">
        <f>'2-Kosten per locatie'!A3</f>
        <v>Naam opdrachtgever</v>
      </c>
      <c r="B3" s="44" t="str">
        <f>'2-Kosten per locatie'!B3</f>
        <v>Blosse Kindcentra</v>
      </c>
      <c r="C3" s="90"/>
      <c r="D3" s="1"/>
      <c r="E3" s="29"/>
      <c r="F3" s="1"/>
      <c r="G3" s="1"/>
    </row>
    <row r="4" spans="1:8" ht="18.600000000000001">
      <c r="A4" s="250" t="str">
        <f>'2-Kosten per locatie'!A4</f>
        <v>Calculatie onderdeel</v>
      </c>
      <c r="B4" s="44" t="str">
        <f ca="1">MID(CELL("bestandsnaam",$C$9),SEARCH("]",CELL("bestandsnaam",$C$9),1)+1,256)</f>
        <v>5-Premies en opslagen</v>
      </c>
      <c r="C4" s="91"/>
      <c r="D4" s="14"/>
      <c r="E4" s="4"/>
      <c r="F4" s="4"/>
      <c r="G4" s="4"/>
    </row>
    <row r="5" spans="1:8" ht="18.600000000000001">
      <c r="A5" s="250" t="str">
        <f>'2-Kosten per locatie'!A5</f>
        <v>Gebouw/plaats</v>
      </c>
      <c r="B5" s="44" t="str">
        <f>'2-Kosten per locatie'!B5</f>
        <v>Heerhugowaard en regio</v>
      </c>
      <c r="C5" s="35"/>
      <c r="D5" s="8"/>
      <c r="E5" s="15"/>
      <c r="F5" s="5"/>
      <c r="G5" s="4"/>
    </row>
    <row r="6" spans="1:8" ht="18.600000000000001">
      <c r="A6" s="250" t="str">
        <f>'2-Kosten per locatie'!A6</f>
        <v>Referentie nummer</v>
      </c>
      <c r="B6" s="44" t="str">
        <f>'2-Kosten per locatie'!B6</f>
        <v>Blosse-EU-RT-MVD-2024</v>
      </c>
      <c r="C6" s="74"/>
      <c r="D6" s="8"/>
      <c r="E6" s="31"/>
      <c r="F6" s="30"/>
      <c r="G6" s="32"/>
      <c r="H6" s="33"/>
    </row>
    <row r="7" spans="1:8" ht="18.600000000000001">
      <c r="A7" s="250" t="str">
        <f>'2-Kosten per locatie'!A7</f>
        <v>Naam dienstverlener</v>
      </c>
      <c r="B7" s="44" t="str">
        <f>'2-Kosten per locatie'!B7</f>
        <v>…............................</v>
      </c>
      <c r="C7" s="74"/>
      <c r="D7" s="8"/>
      <c r="E7" s="15"/>
      <c r="F7" s="5"/>
      <c r="G7" s="4"/>
    </row>
    <row r="8" spans="1:8" ht="18.600000000000001">
      <c r="A8" s="250" t="str">
        <f>'2-Kosten per locatie'!A8</f>
        <v>Prijspeil</v>
      </c>
      <c r="B8" s="357">
        <f>'2-Kosten per locatie'!B8</f>
        <v>45474</v>
      </c>
      <c r="C8" s="92"/>
      <c r="D8" s="15"/>
      <c r="E8" s="15"/>
      <c r="F8" s="5"/>
      <c r="G8" s="4"/>
    </row>
    <row r="9" spans="1:8" ht="18.600000000000001">
      <c r="A9" s="270"/>
      <c r="B9" s="92"/>
      <c r="C9" s="92"/>
      <c r="D9" s="15"/>
      <c r="E9" s="15"/>
      <c r="F9" s="5"/>
      <c r="G9" s="4"/>
    </row>
    <row r="10" spans="1:8" ht="21">
      <c r="A10" s="271" t="s">
        <v>3</v>
      </c>
      <c r="B10" s="236"/>
      <c r="C10" s="237"/>
      <c r="D10" s="15"/>
      <c r="E10" s="15"/>
      <c r="F10" s="5"/>
      <c r="G10" s="4"/>
    </row>
    <row r="11" spans="1:8">
      <c r="A11" s="93"/>
      <c r="B11" s="94"/>
      <c r="C11" s="94"/>
      <c r="D11" s="15"/>
      <c r="E11" s="15"/>
      <c r="F11" s="4"/>
      <c r="G11" s="4"/>
    </row>
    <row r="12" spans="1:8">
      <c r="A12" s="95"/>
      <c r="B12" s="84"/>
      <c r="C12" s="96" t="s">
        <v>35</v>
      </c>
      <c r="D12" s="15"/>
      <c r="E12" s="15"/>
      <c r="F12" s="5"/>
      <c r="G12" s="4"/>
    </row>
    <row r="13" spans="1:8">
      <c r="A13" s="97" t="s">
        <v>77</v>
      </c>
      <c r="B13" s="84"/>
      <c r="C13" s="358">
        <v>0</v>
      </c>
      <c r="D13" s="15"/>
      <c r="E13" s="15"/>
      <c r="F13" s="16"/>
      <c r="G13" s="4"/>
    </row>
    <row r="14" spans="1:8">
      <c r="A14" s="97" t="s">
        <v>147</v>
      </c>
      <c r="B14" s="84"/>
      <c r="C14" s="358">
        <v>0</v>
      </c>
      <c r="D14" s="15"/>
      <c r="E14" s="15"/>
      <c r="F14" s="16"/>
      <c r="G14" s="4"/>
    </row>
    <row r="15" spans="1:8">
      <c r="A15" s="97" t="s">
        <v>78</v>
      </c>
      <c r="B15" s="84"/>
      <c r="C15" s="358">
        <v>0</v>
      </c>
      <c r="D15" s="15"/>
      <c r="E15" s="15"/>
      <c r="F15" s="16"/>
      <c r="G15" s="4"/>
    </row>
    <row r="16" spans="1:8">
      <c r="A16" s="98" t="s">
        <v>8</v>
      </c>
      <c r="B16" s="99"/>
      <c r="C16" s="359">
        <f>SUM(C13:C15)</f>
        <v>0</v>
      </c>
      <c r="D16" s="15"/>
      <c r="E16" s="15"/>
      <c r="F16" s="4"/>
    </row>
    <row r="17" spans="1:7">
      <c r="A17" s="98"/>
      <c r="B17" s="99"/>
      <c r="C17" s="359"/>
      <c r="D17" s="15"/>
      <c r="E17" s="15"/>
      <c r="F17" s="4"/>
    </row>
    <row r="18" spans="1:7">
      <c r="A18" s="496" t="s">
        <v>79</v>
      </c>
      <c r="B18" s="497"/>
      <c r="C18" s="358">
        <v>0</v>
      </c>
      <c r="D18" s="15"/>
      <c r="E18" s="15"/>
      <c r="F18" s="4"/>
    </row>
    <row r="19" spans="1:7">
      <c r="A19" s="100" t="s">
        <v>163</v>
      </c>
      <c r="B19" s="101"/>
      <c r="C19" s="360">
        <v>0</v>
      </c>
      <c r="D19" s="15"/>
      <c r="E19" s="15"/>
      <c r="F19" s="4"/>
    </row>
    <row r="20" spans="1:7">
      <c r="A20" s="496" t="s">
        <v>80</v>
      </c>
      <c r="B20" s="497"/>
      <c r="C20" s="358">
        <v>0</v>
      </c>
      <c r="D20" s="15"/>
      <c r="E20" s="15"/>
      <c r="F20" s="4"/>
    </row>
    <row r="21" spans="1:7">
      <c r="A21" s="496" t="s">
        <v>31</v>
      </c>
      <c r="B21" s="497"/>
      <c r="C21" s="361" t="e">
        <f>C34</f>
        <v>#DIV/0!</v>
      </c>
      <c r="D21" s="15"/>
      <c r="E21" s="15"/>
      <c r="F21" s="4"/>
    </row>
    <row r="22" spans="1:7">
      <c r="A22" s="496" t="s">
        <v>64</v>
      </c>
      <c r="B22" s="497"/>
      <c r="C22" s="358">
        <v>0</v>
      </c>
      <c r="D22" s="15"/>
      <c r="E22" s="15"/>
      <c r="F22" s="4"/>
    </row>
    <row r="23" spans="1:7">
      <c r="A23" s="496" t="s">
        <v>156</v>
      </c>
      <c r="B23" s="497"/>
      <c r="C23" s="358">
        <v>0</v>
      </c>
      <c r="D23" s="15"/>
      <c r="E23" s="15"/>
      <c r="F23" s="4"/>
    </row>
    <row r="24" spans="1:7">
      <c r="A24" s="498" t="s">
        <v>63</v>
      </c>
      <c r="B24" s="499"/>
      <c r="C24" s="362" t="e">
        <f>SUM(C16:C23)</f>
        <v>#DIV/0!</v>
      </c>
      <c r="D24" s="15"/>
      <c r="E24" s="15"/>
      <c r="F24" s="4"/>
    </row>
    <row r="25" spans="1:7">
      <c r="A25" s="102"/>
      <c r="B25" s="103"/>
      <c r="C25" s="104"/>
      <c r="D25" s="15"/>
      <c r="E25" s="15"/>
      <c r="F25" s="7"/>
      <c r="G25" s="4"/>
    </row>
    <row r="26" spans="1:7" ht="21">
      <c r="A26" s="271" t="s">
        <v>57</v>
      </c>
      <c r="B26" s="236"/>
      <c r="C26" s="237"/>
      <c r="D26" s="15"/>
      <c r="E26" s="15"/>
      <c r="F26" s="5"/>
      <c r="G26" s="4"/>
    </row>
    <row r="27" spans="1:7">
      <c r="A27" s="93"/>
      <c r="B27" s="94"/>
      <c r="C27" s="94"/>
      <c r="D27" s="15"/>
      <c r="E27" s="15"/>
      <c r="F27" s="4"/>
      <c r="G27" s="4"/>
    </row>
    <row r="28" spans="1:7">
      <c r="A28" s="94"/>
      <c r="B28" s="94"/>
      <c r="C28" s="105" t="s">
        <v>15</v>
      </c>
      <c r="D28" s="15"/>
      <c r="E28" s="15"/>
      <c r="F28" s="4"/>
      <c r="G28" s="4"/>
    </row>
    <row r="29" spans="1:7">
      <c r="A29" s="97" t="s">
        <v>19</v>
      </c>
      <c r="B29" s="84"/>
      <c r="C29" s="363">
        <f>'6-Opbouw uurtarief productie'!E21</f>
        <v>0</v>
      </c>
      <c r="D29" s="15"/>
      <c r="E29" s="15"/>
      <c r="G29" s="4"/>
    </row>
    <row r="30" spans="1:7">
      <c r="A30" s="97" t="s">
        <v>45</v>
      </c>
      <c r="B30" s="106" t="s">
        <v>149</v>
      </c>
      <c r="C30" s="364">
        <v>0</v>
      </c>
      <c r="D30" s="15"/>
      <c r="E30" s="15"/>
      <c r="F30" s="5"/>
      <c r="G30" s="4"/>
    </row>
    <row r="31" spans="1:7">
      <c r="A31" s="97" t="s">
        <v>40</v>
      </c>
      <c r="B31" s="84"/>
      <c r="C31" s="365">
        <f>C29+C30</f>
        <v>0</v>
      </c>
      <c r="D31" s="15"/>
      <c r="E31" s="15"/>
      <c r="F31" s="5"/>
      <c r="G31" s="4"/>
    </row>
    <row r="32" spans="1:7">
      <c r="A32" s="107" t="s">
        <v>0</v>
      </c>
      <c r="B32" s="108"/>
      <c r="C32" s="366">
        <v>0</v>
      </c>
      <c r="E32" s="17"/>
      <c r="F32" s="5"/>
      <c r="G32" s="4"/>
    </row>
    <row r="33" spans="1:7">
      <c r="A33" s="93"/>
      <c r="B33" s="109"/>
      <c r="C33" s="367"/>
      <c r="E33" s="3"/>
      <c r="F33" s="4"/>
      <c r="G33" s="4"/>
    </row>
    <row r="34" spans="1:7">
      <c r="A34" s="110" t="s">
        <v>41</v>
      </c>
      <c r="B34" s="111"/>
      <c r="C34" s="368" t="e">
        <f>(C31/C29)*C32</f>
        <v>#DIV/0!</v>
      </c>
      <c r="E34" s="18"/>
      <c r="F34" s="5"/>
      <c r="G34" s="19"/>
    </row>
    <row r="35" spans="1:7">
      <c r="A35" s="93"/>
      <c r="B35" s="94"/>
      <c r="C35" s="94"/>
      <c r="E35" s="18"/>
      <c r="F35" s="5"/>
      <c r="G35" s="4"/>
    </row>
    <row r="36" spans="1:7" ht="21">
      <c r="A36" s="273" t="s">
        <v>165</v>
      </c>
      <c r="B36" s="274"/>
      <c r="C36" s="275"/>
      <c r="E36" s="18"/>
      <c r="F36" s="5"/>
      <c r="G36" s="4"/>
    </row>
    <row r="37" spans="1:7">
      <c r="A37" s="102"/>
      <c r="B37" s="103"/>
      <c r="C37" s="104"/>
      <c r="E37" s="18"/>
      <c r="F37" s="5"/>
      <c r="G37" s="4"/>
    </row>
    <row r="38" spans="1:7" ht="16.2">
      <c r="A38" s="102"/>
      <c r="B38" s="276" t="s">
        <v>68</v>
      </c>
      <c r="C38" s="104"/>
      <c r="E38" s="18"/>
      <c r="F38" s="5"/>
      <c r="G38" s="4"/>
    </row>
    <row r="39" spans="1:7">
      <c r="A39" s="112" t="s">
        <v>5</v>
      </c>
      <c r="B39" s="369">
        <v>365</v>
      </c>
      <c r="C39" s="104"/>
      <c r="E39" s="18"/>
      <c r="F39" s="5"/>
      <c r="G39" s="9"/>
    </row>
    <row r="40" spans="1:7">
      <c r="A40" s="112" t="s">
        <v>4</v>
      </c>
      <c r="B40" s="369">
        <v>104</v>
      </c>
      <c r="C40" s="104"/>
      <c r="E40" s="18"/>
      <c r="F40" s="5"/>
      <c r="G40" s="9"/>
    </row>
    <row r="41" spans="1:7">
      <c r="A41" s="113" t="s">
        <v>6</v>
      </c>
      <c r="B41" s="370">
        <f>B39-B40</f>
        <v>261</v>
      </c>
      <c r="C41" s="104"/>
      <c r="E41" s="18"/>
      <c r="F41" s="5"/>
      <c r="G41" s="6"/>
    </row>
    <row r="42" spans="1:7">
      <c r="A42" s="114"/>
      <c r="B42" s="371"/>
      <c r="C42" s="104"/>
      <c r="E42" s="18"/>
      <c r="F42" s="5"/>
      <c r="G42" s="6"/>
    </row>
    <row r="43" spans="1:7">
      <c r="A43" s="112" t="s">
        <v>27</v>
      </c>
      <c r="B43" s="372">
        <v>0</v>
      </c>
      <c r="C43" s="104"/>
      <c r="E43" s="18"/>
      <c r="F43" s="5"/>
      <c r="G43" s="6"/>
    </row>
    <row r="44" spans="1:7">
      <c r="A44" s="112" t="s">
        <v>18</v>
      </c>
      <c r="B44" s="372">
        <v>0</v>
      </c>
      <c r="C44" s="104"/>
      <c r="E44" s="18"/>
      <c r="F44" s="5"/>
      <c r="G44" s="6"/>
    </row>
    <row r="45" spans="1:7">
      <c r="A45" s="112" t="s">
        <v>37</v>
      </c>
      <c r="B45" s="372">
        <v>0</v>
      </c>
      <c r="C45" s="104"/>
      <c r="E45" s="18"/>
      <c r="F45" s="5"/>
      <c r="G45" s="6"/>
    </row>
    <row r="46" spans="1:7">
      <c r="A46" s="112" t="s">
        <v>43</v>
      </c>
      <c r="B46" s="372"/>
      <c r="C46" s="104"/>
      <c r="E46" s="18"/>
      <c r="F46" s="5"/>
      <c r="G46" s="6"/>
    </row>
    <row r="47" spans="1:7">
      <c r="A47" s="113" t="s">
        <v>24</v>
      </c>
      <c r="B47" s="370">
        <f>B41-SUM(B43:B46)</f>
        <v>261</v>
      </c>
      <c r="C47" s="104"/>
      <c r="E47" s="18"/>
      <c r="F47" s="5"/>
      <c r="G47" s="6"/>
    </row>
    <row r="48" spans="1:7">
      <c r="A48" s="115"/>
      <c r="B48" s="371"/>
      <c r="C48" s="104"/>
      <c r="E48" s="18"/>
      <c r="F48" s="5"/>
      <c r="G48" s="6"/>
    </row>
    <row r="49" spans="1:7">
      <c r="A49" s="116" t="s">
        <v>58</v>
      </c>
      <c r="B49" s="373">
        <f>IF(B43=0,0,B43/$B$47)</f>
        <v>0</v>
      </c>
      <c r="C49" s="104"/>
      <c r="E49" s="18"/>
      <c r="F49" s="5"/>
      <c r="G49" s="6"/>
    </row>
    <row r="50" spans="1:7">
      <c r="A50" s="116" t="s">
        <v>18</v>
      </c>
      <c r="B50" s="373">
        <f>IF(B44=0,0,B44/$B$47)</f>
        <v>0</v>
      </c>
      <c r="C50" s="104"/>
      <c r="E50" s="18"/>
      <c r="F50" s="5"/>
      <c r="G50" s="6"/>
    </row>
    <row r="51" spans="1:7">
      <c r="A51" s="112" t="s">
        <v>37</v>
      </c>
      <c r="B51" s="373">
        <f>IF(B45=0,0,B45/$B$47)</f>
        <v>0</v>
      </c>
      <c r="C51" s="104"/>
      <c r="E51" s="18"/>
      <c r="F51" s="5"/>
      <c r="G51" s="6"/>
    </row>
    <row r="52" spans="1:7">
      <c r="A52" s="116" t="s">
        <v>43</v>
      </c>
      <c r="B52" s="373">
        <f>IF(B46=0,0,B46/$B$47)</f>
        <v>0</v>
      </c>
      <c r="C52" s="104"/>
      <c r="E52" s="18"/>
      <c r="F52" s="5"/>
      <c r="G52" s="10"/>
    </row>
    <row r="53" spans="1:7">
      <c r="A53" s="113" t="s">
        <v>65</v>
      </c>
      <c r="B53" s="374">
        <f>SUM(B49:B52)</f>
        <v>0</v>
      </c>
      <c r="C53" s="104"/>
      <c r="E53" s="18"/>
      <c r="F53" s="5"/>
      <c r="G53" s="11"/>
    </row>
    <row r="54" spans="1:7">
      <c r="A54" s="117"/>
      <c r="B54" s="117"/>
      <c r="C54" s="117"/>
      <c r="E54" s="18"/>
      <c r="F54" s="5"/>
      <c r="G54" s="1"/>
    </row>
    <row r="55" spans="1:7" ht="31.2" customHeight="1">
      <c r="A55" s="493" t="s">
        <v>166</v>
      </c>
      <c r="B55" s="494"/>
      <c r="C55" s="495"/>
      <c r="E55" s="18"/>
      <c r="F55" s="5"/>
      <c r="G55" s="1"/>
    </row>
    <row r="58" spans="1:7" ht="13.8">
      <c r="A58" s="118"/>
      <c r="B58" s="119"/>
    </row>
    <row r="59" spans="1:7" ht="13.8">
      <c r="A59" s="118"/>
      <c r="B59" s="119"/>
    </row>
    <row r="60" spans="1:7" ht="13.8">
      <c r="A60" s="118"/>
      <c r="B60" s="119"/>
    </row>
    <row r="61" spans="1:7" ht="13.8">
      <c r="A61" s="118"/>
      <c r="B61" s="119"/>
    </row>
    <row r="62" spans="1:7" ht="13.8">
      <c r="A62" s="120"/>
      <c r="B62" s="119"/>
    </row>
    <row r="63" spans="1:7" ht="13.8">
      <c r="A63" s="119"/>
      <c r="B63" s="119"/>
    </row>
    <row r="64" spans="1:7" ht="13.8">
      <c r="A64" s="119"/>
      <c r="B64" s="119"/>
    </row>
    <row r="65" spans="1:3" ht="13.8">
      <c r="A65" s="119"/>
      <c r="B65" s="119"/>
    </row>
    <row r="66" spans="1:3" ht="13.8">
      <c r="A66" s="119"/>
      <c r="B66" s="119"/>
    </row>
    <row r="67" spans="1:3" ht="13.8">
      <c r="A67" s="119"/>
      <c r="B67" s="119"/>
    </row>
    <row r="68" spans="1:3" ht="13.8">
      <c r="A68" s="119"/>
      <c r="B68" s="119"/>
    </row>
    <row r="69" spans="1:3" ht="13.8">
      <c r="A69" s="119"/>
      <c r="B69" s="119"/>
    </row>
    <row r="70" spans="1:3" ht="13.8">
      <c r="A70" s="119"/>
      <c r="B70" s="121"/>
    </row>
    <row r="71" spans="1:3" ht="13.8">
      <c r="A71" s="119"/>
      <c r="B71" s="119"/>
    </row>
    <row r="72" spans="1:3" ht="13.8">
      <c r="B72" s="119"/>
    </row>
    <row r="73" spans="1:3" ht="13.8">
      <c r="A73" s="119"/>
      <c r="B73" s="119"/>
      <c r="C73" s="119"/>
    </row>
    <row r="74" spans="1:3" ht="13.8">
      <c r="A74" s="122"/>
      <c r="B74" s="119"/>
      <c r="C74" s="122"/>
    </row>
    <row r="75" spans="1:3" ht="13.8">
      <c r="A75" s="119"/>
      <c r="B75" s="119"/>
      <c r="C75" s="119"/>
    </row>
    <row r="76" spans="1:3" ht="13.8">
      <c r="A76" s="119"/>
      <c r="B76" s="119"/>
      <c r="C76" s="119"/>
    </row>
    <row r="77" spans="1:3" ht="13.8">
      <c r="A77" s="119"/>
      <c r="B77" s="119"/>
      <c r="C77" s="119"/>
    </row>
    <row r="78" spans="1:3" ht="13.8">
      <c r="A78" s="122"/>
      <c r="B78" s="119"/>
      <c r="C78" s="122"/>
    </row>
    <row r="79" spans="1:3" ht="13.8">
      <c r="A79" s="122"/>
      <c r="B79" s="119"/>
      <c r="C79" s="122"/>
    </row>
    <row r="80" spans="1:3" ht="13.8">
      <c r="A80" s="122"/>
      <c r="B80" s="119"/>
      <c r="C80" s="122"/>
    </row>
    <row r="81" spans="1:2" ht="13.8">
      <c r="A81" s="119"/>
      <c r="B81" s="119"/>
    </row>
    <row r="82" spans="1:2" ht="13.8">
      <c r="A82" s="119"/>
      <c r="B82" s="119"/>
    </row>
    <row r="83" spans="1:2" ht="13.8">
      <c r="A83" s="119"/>
      <c r="B83" s="119"/>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activeCell="E46" sqref="E46"/>
    </sheetView>
  </sheetViews>
  <sheetFormatPr defaultColWidth="11.44140625" defaultRowHeight="13.2"/>
  <cols>
    <col min="1" max="1" width="35.88671875" style="53" customWidth="1"/>
    <col min="2" max="2" width="21.77734375" style="53" customWidth="1"/>
    <col min="3" max="3" width="19.33203125" style="53" bestFit="1" customWidth="1"/>
    <col min="4" max="4" width="2" style="53" customWidth="1"/>
    <col min="5" max="5" width="14.44140625" style="53" customWidth="1"/>
    <col min="6" max="6" width="12.21875" style="53" customWidth="1"/>
    <col min="7" max="7" width="6" style="53" customWidth="1"/>
    <col min="8" max="8" width="27.5546875" style="53" customWidth="1"/>
    <col min="9" max="15" width="11.44140625" style="53"/>
    <col min="16" max="16" width="10.5546875" style="53" customWidth="1"/>
    <col min="17" max="21" width="11.44140625" style="53"/>
    <col min="22" max="16384" width="11.44140625" style="2"/>
  </cols>
  <sheetData>
    <row r="1" spans="1:22" ht="12.75" customHeight="1">
      <c r="A1" s="272" t="s">
        <v>22</v>
      </c>
      <c r="B1" s="89"/>
      <c r="C1" s="90"/>
      <c r="D1" s="90"/>
      <c r="E1" s="90"/>
      <c r="F1" s="90"/>
      <c r="H1" s="504"/>
      <c r="I1" s="504"/>
      <c r="J1" s="504"/>
      <c r="K1" s="504"/>
      <c r="L1" s="504"/>
      <c r="M1" s="504"/>
      <c r="N1" s="504"/>
    </row>
    <row r="2" spans="1:22" ht="15">
      <c r="A2" s="283"/>
      <c r="B2" s="124"/>
      <c r="C2" s="125"/>
      <c r="D2" s="124"/>
      <c r="E2" s="126"/>
      <c r="F2" s="127"/>
      <c r="H2" s="504"/>
      <c r="I2" s="504"/>
      <c r="J2" s="504"/>
      <c r="K2" s="504"/>
      <c r="L2" s="504"/>
      <c r="M2" s="504"/>
      <c r="N2" s="504"/>
    </row>
    <row r="3" spans="1:22" ht="14.25" customHeight="1">
      <c r="A3" s="284" t="str">
        <f>'2-Kosten per locatie'!A3</f>
        <v>Naam opdrachtgever</v>
      </c>
      <c r="B3" s="129" t="str">
        <f>'2-Kosten per locatie'!B3</f>
        <v>Blosse Kindcentra</v>
      </c>
      <c r="C3" s="130"/>
      <c r="D3" s="124"/>
      <c r="E3" s="131"/>
      <c r="F3" s="132"/>
      <c r="H3" s="504"/>
      <c r="I3" s="504"/>
      <c r="J3" s="504"/>
      <c r="K3" s="504"/>
      <c r="L3" s="504"/>
      <c r="M3" s="504"/>
      <c r="N3" s="504"/>
    </row>
    <row r="4" spans="1:22" ht="15.75" customHeight="1">
      <c r="A4" s="284" t="str">
        <f>'2-Kosten per locatie'!A4</f>
        <v>Calculatie onderdeel</v>
      </c>
      <c r="B4" s="133" t="str">
        <f ca="1">MID(CELL("bestandsnaam",$C$9),SEARCH("]",CELL("bestandsnaam",$C$9),1)+1,256)</f>
        <v>6-Opbouw uurtarief productie</v>
      </c>
      <c r="C4" s="134"/>
      <c r="D4" s="135"/>
      <c r="H4" s="504"/>
      <c r="I4" s="504"/>
      <c r="J4" s="504"/>
      <c r="K4" s="504"/>
      <c r="L4" s="504"/>
      <c r="M4" s="504"/>
      <c r="N4" s="504"/>
    </row>
    <row r="5" spans="1:22" ht="18.600000000000001">
      <c r="A5" s="284" t="str">
        <f>'2-Kosten per locatie'!A5</f>
        <v>Gebouw/plaats</v>
      </c>
      <c r="B5" s="129" t="str">
        <f>'2-Kosten per locatie'!B5</f>
        <v>Heerhugowaard en regio</v>
      </c>
      <c r="C5" s="134"/>
      <c r="D5" s="135"/>
      <c r="H5" s="504"/>
      <c r="I5" s="504"/>
      <c r="J5" s="504"/>
      <c r="K5" s="504"/>
      <c r="L5" s="504"/>
      <c r="M5" s="504"/>
      <c r="N5" s="504"/>
    </row>
    <row r="6" spans="1:22" ht="18.600000000000001">
      <c r="A6" s="284" t="str">
        <f>'2-Kosten per locatie'!A6</f>
        <v>Referentie nummer</v>
      </c>
      <c r="B6" s="129" t="str">
        <f>'2-Kosten per locatie'!B6</f>
        <v>Blosse-EU-RT-MVD-2024</v>
      </c>
      <c r="C6" s="134"/>
      <c r="D6" s="135"/>
      <c r="H6" s="136"/>
      <c r="I6" s="136"/>
      <c r="J6" s="136"/>
      <c r="K6" s="136"/>
      <c r="L6" s="136"/>
      <c r="M6" s="136"/>
      <c r="N6" s="136"/>
    </row>
    <row r="7" spans="1:22" ht="18.600000000000001">
      <c r="A7" s="284" t="str">
        <f>'2-Kosten per locatie'!A7</f>
        <v>Naam dienstverlener</v>
      </c>
      <c r="B7" s="129" t="str">
        <f>'2-Kosten per locatie'!B7</f>
        <v>…............................</v>
      </c>
      <c r="C7" s="134"/>
      <c r="D7" s="135"/>
      <c r="H7" s="136"/>
      <c r="I7" s="136"/>
      <c r="J7" s="136"/>
      <c r="K7" s="136"/>
      <c r="L7" s="136"/>
      <c r="M7" s="136"/>
      <c r="N7" s="136"/>
    </row>
    <row r="8" spans="1:22" ht="18.600000000000001">
      <c r="A8" s="284" t="str">
        <f>'2-Kosten per locatie'!A8</f>
        <v>Prijspeil</v>
      </c>
      <c r="B8" s="396">
        <f>'2-Kosten per locatie'!B8</f>
        <v>45474</v>
      </c>
      <c r="C8" s="134"/>
      <c r="D8" s="135"/>
      <c r="J8" s="136"/>
      <c r="K8" s="136"/>
      <c r="L8" s="136"/>
      <c r="M8" s="136"/>
      <c r="N8" s="136"/>
      <c r="O8" s="137"/>
    </row>
    <row r="9" spans="1:22" ht="15.6">
      <c r="A9" s="138"/>
      <c r="B9" s="139"/>
      <c r="C9" s="140"/>
      <c r="D9" s="135"/>
      <c r="E9" s="141"/>
      <c r="F9" s="142"/>
    </row>
    <row r="10" spans="1:22" s="20" customFormat="1" ht="30.75" customHeight="1">
      <c r="A10" s="282" t="s">
        <v>154</v>
      </c>
      <c r="B10" s="278"/>
      <c r="C10" s="279"/>
      <c r="D10" s="280"/>
      <c r="E10" s="502" t="s">
        <v>155</v>
      </c>
      <c r="F10" s="503"/>
      <c r="G10" s="281"/>
      <c r="H10" s="282" t="s">
        <v>118</v>
      </c>
      <c r="I10" s="500" t="s">
        <v>195</v>
      </c>
      <c r="J10" s="501"/>
      <c r="K10" s="501"/>
      <c r="L10" s="501"/>
      <c r="M10" s="501"/>
      <c r="N10" s="501"/>
      <c r="O10" s="137"/>
      <c r="P10" s="53"/>
      <c r="Q10" s="53"/>
      <c r="R10" s="53"/>
      <c r="S10" s="53"/>
      <c r="T10" s="53"/>
      <c r="U10" s="53"/>
      <c r="V10" s="2"/>
    </row>
    <row r="11" spans="1:22" ht="30" customHeight="1">
      <c r="A11" s="143"/>
      <c r="B11" s="144" t="s">
        <v>52</v>
      </c>
      <c r="C11" s="145" t="s">
        <v>52</v>
      </c>
      <c r="D11" s="135"/>
      <c r="E11" s="375"/>
      <c r="F11" s="376"/>
      <c r="H11" s="143"/>
      <c r="I11" s="400">
        <v>1</v>
      </c>
      <c r="J11" s="400">
        <v>2</v>
      </c>
      <c r="K11" s="400">
        <v>3</v>
      </c>
      <c r="L11" s="400">
        <v>4</v>
      </c>
      <c r="M11" s="400">
        <v>5</v>
      </c>
      <c r="N11" s="400">
        <v>6</v>
      </c>
    </row>
    <row r="12" spans="1:22">
      <c r="A12" s="143" t="s">
        <v>34</v>
      </c>
      <c r="B12" s="149" t="s">
        <v>193</v>
      </c>
      <c r="C12" s="150"/>
      <c r="D12" s="135"/>
      <c r="E12" s="377">
        <f>SUM(I40:N40)</f>
        <v>0</v>
      </c>
      <c r="F12" s="378"/>
      <c r="H12" s="143" t="s">
        <v>119</v>
      </c>
      <c r="I12" s="514">
        <v>10.94</v>
      </c>
      <c r="J12" s="514">
        <v>11.49</v>
      </c>
      <c r="K12" s="514">
        <v>12.02</v>
      </c>
      <c r="L12" s="514">
        <v>12.628982999999998</v>
      </c>
      <c r="M12" s="514">
        <v>13.12</v>
      </c>
      <c r="N12" s="514">
        <v>13.78</v>
      </c>
    </row>
    <row r="13" spans="1:22">
      <c r="A13" s="143" t="s">
        <v>14</v>
      </c>
      <c r="B13" s="149" t="s">
        <v>193</v>
      </c>
      <c r="C13" s="151"/>
      <c r="D13" s="135"/>
      <c r="E13" s="379">
        <v>0</v>
      </c>
      <c r="F13" s="378"/>
      <c r="H13" s="143" t="s">
        <v>112</v>
      </c>
      <c r="I13" s="514">
        <v>11.62</v>
      </c>
      <c r="J13" s="514">
        <v>12.21</v>
      </c>
      <c r="K13" s="514">
        <v>12.77</v>
      </c>
      <c r="L13" s="514">
        <v>13.415485499999999</v>
      </c>
      <c r="M13" s="514">
        <v>13.93</v>
      </c>
      <c r="N13" s="514">
        <v>14.64</v>
      </c>
    </row>
    <row r="14" spans="1:22">
      <c r="A14" s="152" t="s">
        <v>192</v>
      </c>
      <c r="B14" s="149" t="s">
        <v>193</v>
      </c>
      <c r="C14" s="153"/>
      <c r="D14" s="135"/>
      <c r="E14" s="379">
        <v>0</v>
      </c>
      <c r="F14" s="378"/>
      <c r="H14" s="143" t="s">
        <v>113</v>
      </c>
      <c r="I14" s="514">
        <v>12.3</v>
      </c>
      <c r="J14" s="514">
        <v>12.92</v>
      </c>
      <c r="K14" s="514">
        <v>13.51</v>
      </c>
      <c r="L14" s="514">
        <v>14.2</v>
      </c>
      <c r="M14" s="514">
        <v>14.75</v>
      </c>
      <c r="N14" s="514">
        <v>15.49</v>
      </c>
    </row>
    <row r="15" spans="1:22">
      <c r="A15" s="154" t="s">
        <v>12</v>
      </c>
      <c r="B15" s="155"/>
      <c r="C15" s="156"/>
      <c r="D15" s="157"/>
      <c r="E15" s="380">
        <f>SUM(E12:E14)</f>
        <v>0</v>
      </c>
      <c r="F15" s="378"/>
      <c r="H15" s="143" t="s">
        <v>114</v>
      </c>
      <c r="I15" s="514">
        <v>14.15</v>
      </c>
      <c r="J15" s="514">
        <v>14.87</v>
      </c>
      <c r="K15" s="514">
        <v>15.55</v>
      </c>
      <c r="L15" s="514">
        <v>16.34</v>
      </c>
      <c r="M15" s="514">
        <v>16.97</v>
      </c>
      <c r="N15" s="514">
        <v>17.829999999999998</v>
      </c>
    </row>
    <row r="16" spans="1:22">
      <c r="A16" s="158"/>
      <c r="B16" s="159"/>
      <c r="C16" s="160"/>
      <c r="D16" s="135"/>
      <c r="E16" s="381"/>
      <c r="F16" s="378"/>
      <c r="H16" s="143" t="s">
        <v>115</v>
      </c>
      <c r="I16" s="514">
        <v>14.68</v>
      </c>
      <c r="J16" s="514">
        <v>15.39</v>
      </c>
      <c r="K16" s="514">
        <v>16.12</v>
      </c>
      <c r="L16" s="514">
        <v>16.91</v>
      </c>
      <c r="M16" s="514">
        <v>17.55</v>
      </c>
      <c r="N16" s="514">
        <v>18.45</v>
      </c>
    </row>
    <row r="17" spans="1:22">
      <c r="A17" s="161" t="s">
        <v>48</v>
      </c>
      <c r="B17" s="149" t="s">
        <v>193</v>
      </c>
      <c r="C17" s="395">
        <v>0</v>
      </c>
      <c r="D17" s="135"/>
      <c r="E17" s="382">
        <f>$C17*E15</f>
        <v>0</v>
      </c>
      <c r="F17" s="378"/>
      <c r="H17" s="143" t="s">
        <v>116</v>
      </c>
      <c r="I17" s="514">
        <v>15.12</v>
      </c>
      <c r="J17" s="514">
        <v>15.9</v>
      </c>
      <c r="K17" s="514">
        <v>16.63</v>
      </c>
      <c r="L17" s="514">
        <v>17.46</v>
      </c>
      <c r="M17" s="514">
        <v>18.14</v>
      </c>
      <c r="N17" s="514">
        <v>19.05</v>
      </c>
    </row>
    <row r="18" spans="1:22">
      <c r="A18" s="161" t="s">
        <v>74</v>
      </c>
      <c r="B18" s="149" t="s">
        <v>193</v>
      </c>
      <c r="C18" s="395">
        <v>0</v>
      </c>
      <c r="D18" s="135"/>
      <c r="E18" s="383">
        <f>$C18*E15</f>
        <v>0</v>
      </c>
      <c r="F18" s="378"/>
      <c r="H18" s="143" t="s">
        <v>117</v>
      </c>
      <c r="I18" s="514">
        <v>15.6</v>
      </c>
      <c r="J18" s="514">
        <v>16.399999999999999</v>
      </c>
      <c r="K18" s="514">
        <v>17.190000000000001</v>
      </c>
      <c r="L18" s="514">
        <v>18.010000000000002</v>
      </c>
      <c r="M18" s="514">
        <v>18.71</v>
      </c>
      <c r="N18" s="514">
        <v>19.670000000000002</v>
      </c>
    </row>
    <row r="19" spans="1:22">
      <c r="A19" s="154" t="s">
        <v>44</v>
      </c>
      <c r="B19" s="162"/>
      <c r="C19" s="163"/>
      <c r="D19" s="135"/>
      <c r="E19" s="380">
        <f>SUM(E15:E18)</f>
        <v>0</v>
      </c>
      <c r="F19" s="384">
        <f>IF(E19=0,0,E19/E$47)</f>
        <v>0</v>
      </c>
    </row>
    <row r="20" spans="1:22" ht="15">
      <c r="A20" s="158"/>
      <c r="B20" s="159"/>
      <c r="C20" s="160"/>
      <c r="D20" s="135"/>
      <c r="E20" s="381"/>
      <c r="F20" s="378"/>
      <c r="H20" s="282" t="s">
        <v>118</v>
      </c>
      <c r="I20" s="505" t="s">
        <v>121</v>
      </c>
      <c r="J20" s="506"/>
      <c r="K20" s="506"/>
      <c r="L20" s="506"/>
      <c r="M20" s="506"/>
      <c r="N20" s="507"/>
    </row>
    <row r="21" spans="1:22">
      <c r="A21" s="164" t="s">
        <v>49</v>
      </c>
      <c r="B21" s="165"/>
      <c r="C21" s="160"/>
      <c r="D21" s="166"/>
      <c r="E21" s="385">
        <f>E19*0.96</f>
        <v>0</v>
      </c>
      <c r="F21" s="386"/>
      <c r="G21" s="167"/>
      <c r="H21" s="143"/>
      <c r="I21" s="401">
        <v>1</v>
      </c>
      <c r="J21" s="401">
        <v>2</v>
      </c>
      <c r="K21" s="401">
        <v>3</v>
      </c>
      <c r="L21" s="401">
        <v>4</v>
      </c>
      <c r="M21" s="401">
        <v>5</v>
      </c>
      <c r="N21" s="401">
        <v>6</v>
      </c>
      <c r="O21" s="394"/>
      <c r="P21" s="167"/>
      <c r="Q21" s="167"/>
      <c r="R21" s="167"/>
      <c r="S21" s="167"/>
      <c r="T21" s="167"/>
      <c r="U21" s="167"/>
      <c r="V21" s="13"/>
    </row>
    <row r="22" spans="1:22" s="13" customFormat="1">
      <c r="A22" s="161" t="s">
        <v>59</v>
      </c>
      <c r="B22" s="165"/>
      <c r="C22" s="168" t="s">
        <v>38</v>
      </c>
      <c r="D22" s="135"/>
      <c r="E22" s="382" t="e">
        <f>E21*'5-Premies en opslagen'!$C24</f>
        <v>#DIV/0!</v>
      </c>
      <c r="F22" s="378"/>
      <c r="G22" s="53"/>
      <c r="H22" s="143" t="s">
        <v>119</v>
      </c>
      <c r="I22" s="402"/>
      <c r="J22" s="402"/>
      <c r="K22" s="402"/>
      <c r="L22" s="402"/>
      <c r="M22" s="402"/>
      <c r="N22" s="402"/>
      <c r="O22" s="342"/>
      <c r="P22" s="53"/>
      <c r="Q22" s="53"/>
      <c r="R22" s="53"/>
      <c r="S22" s="53"/>
      <c r="T22" s="53"/>
      <c r="U22" s="53"/>
      <c r="V22" s="2"/>
    </row>
    <row r="23" spans="1:22" ht="14.25" customHeight="1">
      <c r="A23" s="154" t="s">
        <v>56</v>
      </c>
      <c r="B23" s="169"/>
      <c r="C23" s="163"/>
      <c r="D23" s="135"/>
      <c r="E23" s="380" t="e">
        <f>E22+E19</f>
        <v>#DIV/0!</v>
      </c>
      <c r="F23" s="384" t="e">
        <f>IF(E23=0,0,E23/E$47)</f>
        <v>#DIV/0!</v>
      </c>
      <c r="H23" s="143" t="s">
        <v>112</v>
      </c>
      <c r="I23" s="402"/>
      <c r="J23" s="402"/>
      <c r="K23" s="402"/>
      <c r="L23" s="402"/>
      <c r="M23" s="402"/>
      <c r="N23" s="402"/>
      <c r="O23" s="342"/>
    </row>
    <row r="24" spans="1:22" ht="12.75" customHeight="1">
      <c r="A24" s="158"/>
      <c r="B24" s="162"/>
      <c r="C24" s="163"/>
      <c r="D24" s="135"/>
      <c r="E24" s="375"/>
      <c r="F24" s="378"/>
      <c r="H24" s="143" t="s">
        <v>113</v>
      </c>
      <c r="I24" s="402"/>
      <c r="J24" s="402"/>
      <c r="K24" s="402"/>
      <c r="L24" s="402"/>
      <c r="M24" s="402"/>
      <c r="N24" s="402"/>
      <c r="O24" s="342"/>
    </row>
    <row r="25" spans="1:22" ht="12.75" customHeight="1">
      <c r="A25" s="161" t="s">
        <v>30</v>
      </c>
      <c r="B25" s="165"/>
      <c r="C25" s="168" t="s">
        <v>38</v>
      </c>
      <c r="D25" s="135"/>
      <c r="E25" s="382" t="e">
        <f>E23*'5-Premies en opslagen'!$B53</f>
        <v>#DIV/0!</v>
      </c>
      <c r="F25" s="378"/>
      <c r="H25" s="143" t="s">
        <v>114</v>
      </c>
      <c r="I25" s="402"/>
      <c r="J25" s="402"/>
      <c r="K25" s="402"/>
      <c r="L25" s="402"/>
      <c r="M25" s="402"/>
      <c r="N25" s="402"/>
      <c r="O25" s="342"/>
    </row>
    <row r="26" spans="1:22">
      <c r="A26" s="154" t="s">
        <v>66</v>
      </c>
      <c r="B26" s="162"/>
      <c r="C26" s="163"/>
      <c r="D26" s="135"/>
      <c r="E26" s="380" t="e">
        <f>SUM(E23:E25)</f>
        <v>#DIV/0!</v>
      </c>
      <c r="F26" s="384" t="e">
        <f>IF(E26=0,0,E26/E$47)</f>
        <v>#DIV/0!</v>
      </c>
      <c r="H26" s="143" t="s">
        <v>115</v>
      </c>
      <c r="I26" s="402"/>
      <c r="J26" s="402"/>
      <c r="K26" s="402"/>
      <c r="L26" s="402"/>
      <c r="M26" s="402"/>
      <c r="N26" s="402"/>
      <c r="O26" s="342"/>
    </row>
    <row r="27" spans="1:22">
      <c r="A27" s="158"/>
      <c r="B27" s="162"/>
      <c r="C27" s="163"/>
      <c r="D27" s="135"/>
      <c r="E27" s="375"/>
      <c r="F27" s="378"/>
      <c r="H27" s="143" t="s">
        <v>116</v>
      </c>
      <c r="I27" s="402"/>
      <c r="J27" s="402"/>
      <c r="K27" s="402"/>
      <c r="L27" s="402"/>
      <c r="M27" s="402"/>
      <c r="N27" s="402"/>
      <c r="O27" s="342"/>
    </row>
    <row r="28" spans="1:22">
      <c r="A28" s="158" t="s">
        <v>50</v>
      </c>
      <c r="B28" s="170"/>
      <c r="C28" s="151" t="s">
        <v>55</v>
      </c>
      <c r="D28" s="135"/>
      <c r="E28" s="379">
        <v>0</v>
      </c>
      <c r="F28" s="378">
        <v>0</v>
      </c>
      <c r="H28" s="143" t="s">
        <v>117</v>
      </c>
      <c r="I28" s="402"/>
      <c r="J28" s="402"/>
      <c r="K28" s="402"/>
      <c r="L28" s="402"/>
      <c r="M28" s="402"/>
      <c r="N28" s="402"/>
      <c r="O28" s="342"/>
    </row>
    <row r="29" spans="1:22">
      <c r="A29" s="158" t="s">
        <v>53</v>
      </c>
      <c r="B29" s="171"/>
      <c r="C29" s="151" t="s">
        <v>55</v>
      </c>
      <c r="D29" s="135"/>
      <c r="E29" s="379">
        <v>0</v>
      </c>
      <c r="F29" s="378">
        <v>0</v>
      </c>
      <c r="H29" s="67" t="s">
        <v>120</v>
      </c>
      <c r="I29" s="403">
        <f t="shared" ref="I29:N29" si="0">SUM(I22:I28)</f>
        <v>0</v>
      </c>
      <c r="J29" s="403">
        <f t="shared" si="0"/>
        <v>0</v>
      </c>
      <c r="K29" s="403">
        <f t="shared" si="0"/>
        <v>0</v>
      </c>
      <c r="L29" s="403">
        <f t="shared" si="0"/>
        <v>0</v>
      </c>
      <c r="M29" s="403">
        <f t="shared" si="0"/>
        <v>0</v>
      </c>
      <c r="N29" s="403">
        <f t="shared" si="0"/>
        <v>0</v>
      </c>
      <c r="O29" s="404">
        <f>SUM(I29:N29)</f>
        <v>0</v>
      </c>
    </row>
    <row r="30" spans="1:22">
      <c r="A30" s="158" t="s">
        <v>54</v>
      </c>
      <c r="B30" s="162"/>
      <c r="C30" s="163" t="s">
        <v>52</v>
      </c>
      <c r="D30" s="135"/>
      <c r="E30" s="379">
        <v>0</v>
      </c>
      <c r="F30" s="378"/>
      <c r="H30" s="167"/>
      <c r="I30" s="167"/>
      <c r="J30" s="167"/>
      <c r="K30" s="167"/>
      <c r="L30" s="167"/>
      <c r="M30" s="167"/>
      <c r="N30" s="167"/>
    </row>
    <row r="31" spans="1:22" ht="12.75" customHeight="1">
      <c r="A31" s="242"/>
      <c r="B31" s="243"/>
      <c r="C31" s="244" t="s">
        <v>52</v>
      </c>
      <c r="D31" s="135"/>
      <c r="E31" s="379"/>
      <c r="F31" s="378"/>
      <c r="H31" s="285" t="s">
        <v>118</v>
      </c>
      <c r="I31" s="500" t="s">
        <v>122</v>
      </c>
      <c r="J31" s="501"/>
      <c r="K31" s="501"/>
      <c r="L31" s="501"/>
      <c r="M31" s="501"/>
      <c r="N31" s="501"/>
    </row>
    <row r="32" spans="1:22" ht="12.75" customHeight="1">
      <c r="A32" s="154" t="s">
        <v>46</v>
      </c>
      <c r="B32" s="162"/>
      <c r="C32" s="163"/>
      <c r="D32" s="135"/>
      <c r="E32" s="380" t="e">
        <f>SUM(E26:E31)</f>
        <v>#DIV/0!</v>
      </c>
      <c r="F32" s="384" t="e">
        <f>IF(E32=0,0,E32/E$47)</f>
        <v>#DIV/0!</v>
      </c>
      <c r="H32" s="173"/>
      <c r="I32" s="148">
        <v>1</v>
      </c>
      <c r="J32" s="148">
        <v>2</v>
      </c>
      <c r="K32" s="148">
        <v>3</v>
      </c>
      <c r="L32" s="148">
        <v>4</v>
      </c>
      <c r="M32" s="148">
        <v>5</v>
      </c>
      <c r="N32" s="148">
        <v>6</v>
      </c>
    </row>
    <row r="33" spans="1:16" ht="12.75" customHeight="1">
      <c r="A33" s="158"/>
      <c r="B33" s="162"/>
      <c r="C33" s="163"/>
      <c r="D33" s="135"/>
      <c r="E33" s="375"/>
      <c r="F33" s="378"/>
      <c r="H33" s="173" t="s">
        <v>119</v>
      </c>
      <c r="I33" s="397">
        <f t="shared" ref="I33:N39" si="1">I22*I12</f>
        <v>0</v>
      </c>
      <c r="J33" s="397">
        <f t="shared" si="1"/>
        <v>0</v>
      </c>
      <c r="K33" s="397">
        <f t="shared" si="1"/>
        <v>0</v>
      </c>
      <c r="L33" s="397">
        <f t="shared" si="1"/>
        <v>0</v>
      </c>
      <c r="M33" s="397">
        <f t="shared" si="1"/>
        <v>0</v>
      </c>
      <c r="N33" s="398">
        <f t="shared" si="1"/>
        <v>0</v>
      </c>
    </row>
    <row r="34" spans="1:16" ht="12.75" customHeight="1">
      <c r="A34" s="158" t="s">
        <v>67</v>
      </c>
      <c r="B34" s="162"/>
      <c r="C34" s="172"/>
      <c r="D34" s="135"/>
      <c r="E34" s="379">
        <v>0</v>
      </c>
      <c r="F34" s="387" t="e">
        <f t="shared" ref="F34:F42" si="2">E34/$E$47</f>
        <v>#DIV/0!</v>
      </c>
      <c r="H34" s="173" t="s">
        <v>112</v>
      </c>
      <c r="I34" s="397">
        <f t="shared" si="1"/>
        <v>0</v>
      </c>
      <c r="J34" s="397">
        <f t="shared" si="1"/>
        <v>0</v>
      </c>
      <c r="K34" s="397">
        <f t="shared" si="1"/>
        <v>0</v>
      </c>
      <c r="L34" s="397">
        <f t="shared" si="1"/>
        <v>0</v>
      </c>
      <c r="M34" s="397">
        <f t="shared" si="1"/>
        <v>0</v>
      </c>
      <c r="N34" s="398">
        <f t="shared" si="1"/>
        <v>0</v>
      </c>
    </row>
    <row r="35" spans="1:16" ht="12.75" customHeight="1">
      <c r="A35" s="158" t="s">
        <v>29</v>
      </c>
      <c r="B35" s="162"/>
      <c r="C35" s="172"/>
      <c r="D35" s="135"/>
      <c r="E35" s="379">
        <v>0</v>
      </c>
      <c r="F35" s="387" t="e">
        <f t="shared" si="2"/>
        <v>#DIV/0!</v>
      </c>
      <c r="H35" s="173" t="s">
        <v>113</v>
      </c>
      <c r="I35" s="397">
        <f t="shared" si="1"/>
        <v>0</v>
      </c>
      <c r="J35" s="397">
        <f t="shared" si="1"/>
        <v>0</v>
      </c>
      <c r="K35" s="397">
        <f t="shared" si="1"/>
        <v>0</v>
      </c>
      <c r="L35" s="397">
        <f t="shared" si="1"/>
        <v>0</v>
      </c>
      <c r="M35" s="397">
        <f t="shared" si="1"/>
        <v>0</v>
      </c>
      <c r="N35" s="398">
        <f t="shared" si="1"/>
        <v>0</v>
      </c>
      <c r="O35" s="167"/>
    </row>
    <row r="36" spans="1:16" ht="14.25" customHeight="1">
      <c r="A36" s="158" t="s">
        <v>21</v>
      </c>
      <c r="B36" s="162"/>
      <c r="C36" s="172"/>
      <c r="D36" s="135"/>
      <c r="E36" s="379">
        <v>0</v>
      </c>
      <c r="F36" s="387" t="e">
        <f t="shared" si="2"/>
        <v>#DIV/0!</v>
      </c>
      <c r="H36" s="173" t="s">
        <v>114</v>
      </c>
      <c r="I36" s="397">
        <f t="shared" si="1"/>
        <v>0</v>
      </c>
      <c r="J36" s="397">
        <f t="shared" si="1"/>
        <v>0</v>
      </c>
      <c r="K36" s="397">
        <f t="shared" si="1"/>
        <v>0</v>
      </c>
      <c r="L36" s="397">
        <f t="shared" si="1"/>
        <v>0</v>
      </c>
      <c r="M36" s="397">
        <f t="shared" si="1"/>
        <v>0</v>
      </c>
      <c r="N36" s="398">
        <f t="shared" si="1"/>
        <v>0</v>
      </c>
      <c r="O36" s="167"/>
    </row>
    <row r="37" spans="1:16">
      <c r="A37" s="158" t="s">
        <v>2</v>
      </c>
      <c r="B37" s="162"/>
      <c r="C37" s="174"/>
      <c r="D37" s="135"/>
      <c r="E37" s="379">
        <v>0</v>
      </c>
      <c r="F37" s="387" t="e">
        <f t="shared" si="2"/>
        <v>#DIV/0!</v>
      </c>
      <c r="H37" s="173" t="s">
        <v>115</v>
      </c>
      <c r="I37" s="397">
        <f t="shared" si="1"/>
        <v>0</v>
      </c>
      <c r="J37" s="397">
        <f t="shared" si="1"/>
        <v>0</v>
      </c>
      <c r="K37" s="397">
        <f t="shared" si="1"/>
        <v>0</v>
      </c>
      <c r="L37" s="397">
        <f t="shared" si="1"/>
        <v>0</v>
      </c>
      <c r="M37" s="397">
        <f t="shared" si="1"/>
        <v>0</v>
      </c>
      <c r="N37" s="398">
        <f t="shared" si="1"/>
        <v>0</v>
      </c>
      <c r="O37" s="167"/>
    </row>
    <row r="38" spans="1:16">
      <c r="A38" s="158" t="s">
        <v>28</v>
      </c>
      <c r="B38" s="162"/>
      <c r="C38" s="172"/>
      <c r="D38" s="135"/>
      <c r="E38" s="379">
        <v>0</v>
      </c>
      <c r="F38" s="387" t="e">
        <f t="shared" si="2"/>
        <v>#DIV/0!</v>
      </c>
      <c r="H38" s="173" t="s">
        <v>116</v>
      </c>
      <c r="I38" s="397">
        <f t="shared" si="1"/>
        <v>0</v>
      </c>
      <c r="J38" s="397">
        <f t="shared" si="1"/>
        <v>0</v>
      </c>
      <c r="K38" s="397">
        <f t="shared" si="1"/>
        <v>0</v>
      </c>
      <c r="L38" s="397">
        <f t="shared" si="1"/>
        <v>0</v>
      </c>
      <c r="M38" s="397">
        <f t="shared" si="1"/>
        <v>0</v>
      </c>
      <c r="N38" s="398">
        <f t="shared" si="1"/>
        <v>0</v>
      </c>
      <c r="O38" s="167"/>
    </row>
    <row r="39" spans="1:16">
      <c r="A39" s="158" t="s">
        <v>25</v>
      </c>
      <c r="B39" s="162"/>
      <c r="C39" s="174"/>
      <c r="D39" s="135"/>
      <c r="E39" s="379">
        <v>0</v>
      </c>
      <c r="F39" s="387" t="e">
        <f t="shared" si="2"/>
        <v>#DIV/0!</v>
      </c>
      <c r="H39" s="173" t="s">
        <v>117</v>
      </c>
      <c r="I39" s="397">
        <f t="shared" si="1"/>
        <v>0</v>
      </c>
      <c r="J39" s="397">
        <f t="shared" si="1"/>
        <v>0</v>
      </c>
      <c r="K39" s="397">
        <f t="shared" si="1"/>
        <v>0</v>
      </c>
      <c r="L39" s="397">
        <f t="shared" si="1"/>
        <v>0</v>
      </c>
      <c r="M39" s="397">
        <f t="shared" si="1"/>
        <v>0</v>
      </c>
      <c r="N39" s="398">
        <f t="shared" si="1"/>
        <v>0</v>
      </c>
      <c r="O39" s="167"/>
    </row>
    <row r="40" spans="1:16">
      <c r="A40" s="158" t="s">
        <v>60</v>
      </c>
      <c r="B40" s="162"/>
      <c r="C40" s="151" t="s">
        <v>55</v>
      </c>
      <c r="D40" s="135"/>
      <c r="E40" s="379">
        <v>0</v>
      </c>
      <c r="F40" s="387" t="e">
        <f t="shared" si="2"/>
        <v>#DIV/0!</v>
      </c>
      <c r="H40" s="175" t="s">
        <v>120</v>
      </c>
      <c r="I40" s="399">
        <f t="shared" ref="I40:N40" si="3">SUM(I33:I39)</f>
        <v>0</v>
      </c>
      <c r="J40" s="399">
        <f t="shared" si="3"/>
        <v>0</v>
      </c>
      <c r="K40" s="399">
        <f t="shared" si="3"/>
        <v>0</v>
      </c>
      <c r="L40" s="399">
        <f t="shared" si="3"/>
        <v>0</v>
      </c>
      <c r="M40" s="399">
        <f t="shared" si="3"/>
        <v>0</v>
      </c>
      <c r="N40" s="399">
        <f t="shared" si="3"/>
        <v>0</v>
      </c>
      <c r="O40" s="167"/>
    </row>
    <row r="41" spans="1:16">
      <c r="A41" s="158" t="s">
        <v>73</v>
      </c>
      <c r="B41" s="162"/>
      <c r="C41" s="151"/>
      <c r="D41" s="135"/>
      <c r="E41" s="379">
        <v>0</v>
      </c>
      <c r="F41" s="387" t="e">
        <f t="shared" si="2"/>
        <v>#DIV/0!</v>
      </c>
      <c r="H41" s="167"/>
      <c r="I41" s="167"/>
      <c r="J41" s="167"/>
      <c r="K41" s="167"/>
      <c r="L41" s="167"/>
      <c r="M41" s="167"/>
      <c r="N41" s="167"/>
      <c r="O41" s="167"/>
    </row>
    <row r="42" spans="1:16">
      <c r="A42" s="242"/>
      <c r="B42" s="243"/>
      <c r="C42" s="245"/>
      <c r="D42" s="135"/>
      <c r="E42" s="379">
        <v>0</v>
      </c>
      <c r="F42" s="378" t="e">
        <f t="shared" si="2"/>
        <v>#DIV/0!</v>
      </c>
      <c r="H42" s="167"/>
      <c r="I42" s="167"/>
      <c r="J42" s="167"/>
      <c r="K42" s="167"/>
      <c r="L42" s="167"/>
      <c r="M42" s="167"/>
      <c r="N42" s="167"/>
      <c r="O42" s="167"/>
    </row>
    <row r="43" spans="1:16" ht="45">
      <c r="A43" s="154" t="s">
        <v>61</v>
      </c>
      <c r="B43" s="162"/>
      <c r="C43" s="163"/>
      <c r="D43" s="135"/>
      <c r="E43" s="380" t="e">
        <f>SUM(E32:E42)</f>
        <v>#DIV/0!</v>
      </c>
      <c r="F43" s="384" t="e">
        <f>IF(E43=0,0,E43/E$47)</f>
        <v>#DIV/0!</v>
      </c>
      <c r="H43" s="282" t="s">
        <v>189</v>
      </c>
      <c r="I43" s="278"/>
      <c r="J43" s="279"/>
      <c r="K43" s="286" t="s">
        <v>155</v>
      </c>
      <c r="L43" s="167"/>
      <c r="M43" s="167"/>
      <c r="N43" s="167"/>
    </row>
    <row r="44" spans="1:16">
      <c r="A44" s="158"/>
      <c r="B44" s="162"/>
      <c r="C44" s="163"/>
      <c r="D44" s="135"/>
      <c r="E44" s="375"/>
      <c r="F44" s="388"/>
      <c r="H44" s="143"/>
      <c r="I44" s="144" t="s">
        <v>52</v>
      </c>
      <c r="J44" s="145" t="s">
        <v>52</v>
      </c>
      <c r="K44" s="375"/>
      <c r="L44" s="167"/>
      <c r="M44" s="167"/>
      <c r="N44" s="167"/>
    </row>
    <row r="45" spans="1:16">
      <c r="A45" s="158" t="s">
        <v>62</v>
      </c>
      <c r="B45" s="162"/>
      <c r="C45" s="174"/>
      <c r="D45" s="135"/>
      <c r="E45" s="379">
        <v>0</v>
      </c>
      <c r="F45" s="384">
        <f>(IF(E45=0,0,E45/E$47))</f>
        <v>0</v>
      </c>
      <c r="H45" s="181" t="s">
        <v>12</v>
      </c>
      <c r="I45" s="182"/>
      <c r="J45" s="183"/>
      <c r="K45" s="380">
        <f>E15</f>
        <v>0</v>
      </c>
      <c r="L45" s="167"/>
      <c r="M45" s="167"/>
      <c r="N45" s="167"/>
    </row>
    <row r="46" spans="1:16" ht="30" customHeight="1">
      <c r="A46" s="158"/>
      <c r="B46" s="176"/>
      <c r="C46" s="163"/>
      <c r="D46" s="135"/>
      <c r="E46" s="375"/>
      <c r="F46" s="378"/>
      <c r="H46" s="187" t="s">
        <v>48</v>
      </c>
      <c r="I46" s="188"/>
      <c r="J46" s="189"/>
      <c r="K46" s="382">
        <f>E17</f>
        <v>0</v>
      </c>
      <c r="L46" s="167"/>
      <c r="M46" s="167"/>
      <c r="N46" s="167"/>
    </row>
    <row r="47" spans="1:16">
      <c r="A47" s="154" t="s">
        <v>39</v>
      </c>
      <c r="B47" s="177"/>
      <c r="C47" s="178"/>
      <c r="D47" s="135"/>
      <c r="E47" s="389" t="e">
        <f>SUM(E43:E46)</f>
        <v>#DIV/0!</v>
      </c>
      <c r="F47" s="390" t="e">
        <f>SUM(F43:F46)</f>
        <v>#DIV/0!</v>
      </c>
      <c r="H47" s="161" t="s">
        <v>74</v>
      </c>
      <c r="I47" s="188"/>
      <c r="J47" s="189"/>
      <c r="K47" s="383">
        <f>E18</f>
        <v>0</v>
      </c>
      <c r="L47" s="167"/>
      <c r="M47" s="167"/>
      <c r="N47" s="167"/>
      <c r="O47" s="167"/>
    </row>
    <row r="48" spans="1:16">
      <c r="B48" s="179"/>
      <c r="C48" s="180"/>
      <c r="D48" s="135"/>
      <c r="E48" s="342"/>
      <c r="F48" s="391"/>
      <c r="H48" s="161" t="s">
        <v>59</v>
      </c>
      <c r="I48" s="188"/>
      <c r="J48" s="189"/>
      <c r="K48" s="382" t="e">
        <f>E22</f>
        <v>#DIV/0!</v>
      </c>
      <c r="L48" s="167"/>
      <c r="M48" s="167"/>
      <c r="N48" s="167"/>
      <c r="O48" s="167"/>
      <c r="P48" s="167"/>
    </row>
    <row r="49" spans="1:22">
      <c r="A49" s="184" t="s">
        <v>161</v>
      </c>
      <c r="B49" s="185"/>
      <c r="C49" s="186"/>
      <c r="D49" s="167"/>
      <c r="E49" s="392" t="e">
        <f>(E$26*1.3)+($E$47-$E$26)</f>
        <v>#DIV/0!</v>
      </c>
      <c r="F49" s="393"/>
      <c r="G49" s="167"/>
      <c r="H49" s="161" t="s">
        <v>30</v>
      </c>
      <c r="I49" s="165"/>
      <c r="J49" s="168"/>
      <c r="K49" s="382" t="e">
        <f>E25</f>
        <v>#DIV/0!</v>
      </c>
      <c r="L49" s="167"/>
      <c r="M49" s="167"/>
      <c r="N49" s="167"/>
      <c r="O49" s="167"/>
      <c r="P49" s="167"/>
      <c r="Q49" s="167"/>
      <c r="R49" s="167"/>
      <c r="S49" s="167"/>
      <c r="T49" s="167"/>
      <c r="U49" s="167"/>
      <c r="V49" s="13"/>
    </row>
    <row r="50" spans="1:22" s="13" customFormat="1">
      <c r="A50" s="167"/>
      <c r="B50" s="190"/>
      <c r="C50" s="191"/>
      <c r="D50" s="167"/>
      <c r="E50" s="394"/>
      <c r="F50" s="394"/>
      <c r="G50" s="167"/>
      <c r="H50" s="158" t="s">
        <v>50</v>
      </c>
      <c r="I50" s="170"/>
      <c r="J50" s="151"/>
      <c r="K50" s="377">
        <f>E28</f>
        <v>0</v>
      </c>
      <c r="L50" s="167"/>
      <c r="M50" s="167"/>
      <c r="N50" s="167"/>
      <c r="O50" s="167"/>
      <c r="P50" s="167"/>
      <c r="Q50" s="167"/>
      <c r="R50" s="167"/>
      <c r="S50" s="167"/>
      <c r="T50" s="167"/>
      <c r="U50" s="167"/>
    </row>
    <row r="51" spans="1:22" s="13" customFormat="1">
      <c r="A51" s="184" t="s">
        <v>42</v>
      </c>
      <c r="B51" s="185"/>
      <c r="C51" s="186"/>
      <c r="D51" s="167"/>
      <c r="E51" s="392" t="e">
        <f>(E$26*1.5)+($E$47-$E$26)</f>
        <v>#DIV/0!</v>
      </c>
      <c r="F51" s="393"/>
      <c r="G51" s="167"/>
      <c r="H51" s="158" t="s">
        <v>53</v>
      </c>
      <c r="I51" s="171"/>
      <c r="J51" s="151"/>
      <c r="K51" s="377">
        <f t="shared" ref="K51:K52" si="4">E29</f>
        <v>0</v>
      </c>
      <c r="L51" s="167"/>
      <c r="M51" s="53"/>
      <c r="N51" s="167"/>
      <c r="O51" s="167"/>
      <c r="P51" s="167"/>
      <c r="Q51" s="167"/>
      <c r="R51" s="167"/>
      <c r="S51" s="167"/>
      <c r="T51" s="167"/>
      <c r="U51" s="167"/>
    </row>
    <row r="52" spans="1:22" s="13" customFormat="1">
      <c r="A52" s="167"/>
      <c r="B52" s="190"/>
      <c r="C52" s="191"/>
      <c r="D52" s="167"/>
      <c r="E52" s="394"/>
      <c r="F52" s="394"/>
      <c r="G52" s="167"/>
      <c r="H52" s="158" t="s">
        <v>54</v>
      </c>
      <c r="I52" s="162"/>
      <c r="J52" s="163" t="s">
        <v>52</v>
      </c>
      <c r="K52" s="377">
        <f t="shared" si="4"/>
        <v>0</v>
      </c>
      <c r="L52" s="167"/>
      <c r="M52" s="53"/>
      <c r="N52" s="167"/>
      <c r="O52" s="167"/>
      <c r="P52" s="167"/>
      <c r="Q52" s="167"/>
      <c r="R52" s="167"/>
      <c r="S52" s="167"/>
      <c r="T52" s="167"/>
      <c r="U52" s="167"/>
    </row>
    <row r="53" spans="1:22" s="13" customFormat="1">
      <c r="A53" s="184" t="s">
        <v>71</v>
      </c>
      <c r="B53" s="185"/>
      <c r="C53" s="186"/>
      <c r="D53" s="167"/>
      <c r="E53" s="392" t="e">
        <f>(E$26*2.5)+($E$47-$E$26)</f>
        <v>#DIV/0!</v>
      </c>
      <c r="F53" s="394"/>
      <c r="G53" s="167"/>
      <c r="H53" s="158" t="s">
        <v>67</v>
      </c>
      <c r="I53" s="162"/>
      <c r="J53" s="172"/>
      <c r="K53" s="377">
        <f>E34</f>
        <v>0</v>
      </c>
      <c r="L53" s="167"/>
      <c r="M53" s="53"/>
      <c r="N53" s="167"/>
      <c r="O53" s="167"/>
      <c r="P53" s="167"/>
      <c r="Q53" s="167"/>
      <c r="R53" s="167"/>
      <c r="S53" s="167"/>
      <c r="T53" s="167"/>
      <c r="U53" s="167"/>
    </row>
    <row r="54" spans="1:22" s="13" customFormat="1">
      <c r="A54" s="167"/>
      <c r="B54" s="190"/>
      <c r="C54" s="192"/>
      <c r="D54" s="167"/>
      <c r="E54" s="167"/>
      <c r="F54" s="193"/>
      <c r="G54" s="167"/>
      <c r="H54" s="158" t="s">
        <v>29</v>
      </c>
      <c r="I54" s="162"/>
      <c r="J54" s="172"/>
      <c r="K54" s="377">
        <f t="shared" ref="K54:K60" si="5">E35</f>
        <v>0</v>
      </c>
      <c r="L54" s="167"/>
      <c r="M54" s="53"/>
      <c r="N54" s="167"/>
      <c r="O54" s="167"/>
      <c r="P54" s="167"/>
      <c r="Q54" s="167"/>
      <c r="R54" s="167"/>
      <c r="S54" s="167"/>
      <c r="T54" s="167"/>
      <c r="U54" s="167"/>
    </row>
    <row r="55" spans="1:22" s="13" customFormat="1">
      <c r="A55" s="167"/>
      <c r="B55" s="190"/>
      <c r="C55" s="192"/>
      <c r="D55" s="167"/>
      <c r="E55" s="167"/>
      <c r="F55" s="193"/>
      <c r="G55" s="167"/>
      <c r="H55" s="158" t="s">
        <v>21</v>
      </c>
      <c r="I55" s="162"/>
      <c r="J55" s="172"/>
      <c r="K55" s="377">
        <f t="shared" si="5"/>
        <v>0</v>
      </c>
      <c r="L55" s="167"/>
      <c r="M55" s="53"/>
      <c r="N55" s="167"/>
      <c r="O55" s="167"/>
      <c r="P55" s="167"/>
      <c r="Q55" s="167"/>
      <c r="R55" s="167"/>
      <c r="S55" s="167"/>
      <c r="T55" s="167"/>
      <c r="U55" s="167"/>
    </row>
    <row r="56" spans="1:22" s="13" customFormat="1">
      <c r="A56" s="167"/>
      <c r="B56" s="167"/>
      <c r="C56" s="194"/>
      <c r="D56" s="167"/>
      <c r="E56" s="167"/>
      <c r="F56" s="193"/>
      <c r="G56" s="167"/>
      <c r="H56" s="158" t="s">
        <v>2</v>
      </c>
      <c r="I56" s="162"/>
      <c r="J56" s="174"/>
      <c r="K56" s="377">
        <f t="shared" si="5"/>
        <v>0</v>
      </c>
      <c r="L56" s="167"/>
      <c r="M56" s="53"/>
      <c r="N56" s="167"/>
      <c r="O56" s="167"/>
      <c r="P56" s="167"/>
      <c r="Q56" s="167"/>
      <c r="R56" s="167"/>
      <c r="S56" s="167"/>
      <c r="T56" s="167"/>
      <c r="U56" s="167"/>
    </row>
    <row r="57" spans="1:22" s="13" customFormat="1">
      <c r="A57" s="167"/>
      <c r="B57" s="167"/>
      <c r="C57" s="194"/>
      <c r="D57" s="167"/>
      <c r="E57" s="167"/>
      <c r="F57" s="193"/>
      <c r="G57" s="167"/>
      <c r="H57" s="158" t="s">
        <v>28</v>
      </c>
      <c r="I57" s="162"/>
      <c r="J57" s="172"/>
      <c r="K57" s="377">
        <f t="shared" si="5"/>
        <v>0</v>
      </c>
      <c r="L57" s="167"/>
      <c r="M57" s="53"/>
      <c r="N57" s="167"/>
      <c r="O57" s="167"/>
      <c r="P57" s="167"/>
      <c r="Q57" s="167"/>
      <c r="R57" s="167"/>
      <c r="S57" s="167"/>
      <c r="T57" s="167"/>
      <c r="U57" s="167"/>
    </row>
    <row r="58" spans="1:22" s="13" customFormat="1">
      <c r="A58" s="53"/>
      <c r="B58" s="167"/>
      <c r="C58" s="194"/>
      <c r="D58" s="167"/>
      <c r="E58" s="167"/>
      <c r="F58" s="193"/>
      <c r="G58" s="167"/>
      <c r="H58" s="158" t="s">
        <v>25</v>
      </c>
      <c r="I58" s="162"/>
      <c r="J58" s="174"/>
      <c r="K58" s="377">
        <f t="shared" si="5"/>
        <v>0</v>
      </c>
      <c r="L58" s="167"/>
      <c r="M58" s="53"/>
      <c r="N58" s="53"/>
      <c r="O58" s="167"/>
      <c r="P58" s="167"/>
      <c r="Q58" s="167"/>
      <c r="R58" s="167"/>
      <c r="S58" s="167"/>
      <c r="T58" s="167"/>
      <c r="U58" s="167"/>
    </row>
    <row r="59" spans="1:22" s="13" customFormat="1">
      <c r="A59" s="167"/>
      <c r="B59" s="167"/>
      <c r="C59" s="194"/>
      <c r="D59" s="167"/>
      <c r="E59" s="167"/>
      <c r="F59" s="193"/>
      <c r="G59" s="167"/>
      <c r="H59" s="158" t="s">
        <v>60</v>
      </c>
      <c r="I59" s="162"/>
      <c r="J59" s="151"/>
      <c r="K59" s="377">
        <f t="shared" si="5"/>
        <v>0</v>
      </c>
      <c r="L59" s="167"/>
      <c r="M59" s="53"/>
      <c r="N59" s="53"/>
      <c r="O59" s="167"/>
      <c r="P59" s="167"/>
      <c r="Q59" s="167"/>
      <c r="R59" s="167"/>
      <c r="S59" s="167"/>
      <c r="T59" s="167"/>
      <c r="U59" s="167"/>
    </row>
    <row r="60" spans="1:22" s="13" customFormat="1">
      <c r="A60" s="167"/>
      <c r="B60" s="167"/>
      <c r="C60" s="194"/>
      <c r="D60" s="167"/>
      <c r="E60" s="167"/>
      <c r="F60" s="193"/>
      <c r="G60" s="167"/>
      <c r="H60" s="158" t="s">
        <v>73</v>
      </c>
      <c r="I60" s="162"/>
      <c r="J60" s="151"/>
      <c r="K60" s="377">
        <f t="shared" si="5"/>
        <v>0</v>
      </c>
      <c r="L60" s="167"/>
      <c r="M60" s="53"/>
      <c r="N60" s="53"/>
      <c r="O60" s="167"/>
      <c r="P60" s="167"/>
      <c r="Q60" s="167"/>
      <c r="R60" s="167"/>
      <c r="S60" s="167"/>
      <c r="T60" s="167"/>
      <c r="U60" s="167"/>
    </row>
    <row r="61" spans="1:22" s="13" customFormat="1">
      <c r="A61" s="167"/>
      <c r="B61" s="167"/>
      <c r="C61" s="194"/>
      <c r="D61" s="167"/>
      <c r="E61" s="167"/>
      <c r="F61" s="193"/>
      <c r="G61" s="167"/>
      <c r="H61" s="158" t="s">
        <v>62</v>
      </c>
      <c r="I61" s="162"/>
      <c r="J61" s="174"/>
      <c r="K61" s="377">
        <f>E45</f>
        <v>0</v>
      </c>
      <c r="L61" s="167"/>
      <c r="M61" s="53"/>
      <c r="N61" s="53"/>
      <c r="O61" s="167"/>
      <c r="P61" s="167"/>
      <c r="Q61" s="167"/>
      <c r="R61" s="167"/>
      <c r="S61" s="167"/>
      <c r="T61" s="167"/>
      <c r="U61" s="167"/>
    </row>
    <row r="62" spans="1:22" s="13" customFormat="1">
      <c r="A62" s="167"/>
      <c r="B62" s="167"/>
      <c r="C62" s="194"/>
      <c r="D62" s="167"/>
      <c r="E62" s="167"/>
      <c r="F62" s="193"/>
      <c r="G62" s="167"/>
      <c r="H62" s="158"/>
      <c r="I62" s="176"/>
      <c r="J62" s="163"/>
      <c r="K62" s="375"/>
      <c r="L62" s="167"/>
      <c r="M62" s="53"/>
      <c r="N62" s="53"/>
      <c r="O62" s="167"/>
      <c r="P62" s="167"/>
      <c r="Q62" s="167"/>
      <c r="R62" s="167"/>
      <c r="S62" s="167"/>
      <c r="T62" s="167"/>
      <c r="U62" s="167"/>
    </row>
    <row r="63" spans="1:22" s="13" customFormat="1">
      <c r="A63" s="167"/>
      <c r="B63" s="167"/>
      <c r="C63" s="194"/>
      <c r="D63" s="167"/>
      <c r="E63" s="167"/>
      <c r="F63" s="193"/>
      <c r="G63" s="167"/>
      <c r="H63" s="154" t="s">
        <v>39</v>
      </c>
      <c r="I63" s="177"/>
      <c r="J63" s="178"/>
      <c r="K63" s="389" t="e">
        <f>SUM(K45:K62)</f>
        <v>#DIV/0!</v>
      </c>
      <c r="L63" s="167"/>
      <c r="M63" s="53"/>
      <c r="N63" s="53"/>
      <c r="O63" s="167"/>
      <c r="P63" s="167"/>
      <c r="Q63" s="167"/>
      <c r="R63" s="167"/>
      <c r="S63" s="167"/>
      <c r="T63" s="167"/>
      <c r="U63" s="167"/>
    </row>
    <row r="64" spans="1:22" s="13" customFormat="1">
      <c r="A64" s="167"/>
      <c r="B64" s="167"/>
      <c r="C64" s="194"/>
      <c r="D64" s="167"/>
      <c r="E64" s="167"/>
      <c r="F64" s="193"/>
      <c r="G64" s="167"/>
      <c r="H64" s="53"/>
      <c r="I64" s="179"/>
      <c r="J64" s="180"/>
      <c r="K64" s="342"/>
      <c r="L64" s="167"/>
      <c r="M64" s="53"/>
      <c r="N64" s="53"/>
      <c r="O64" s="53"/>
      <c r="P64" s="167"/>
      <c r="Q64" s="167"/>
      <c r="R64" s="167"/>
      <c r="S64" s="167"/>
      <c r="T64" s="167"/>
      <c r="U64" s="167"/>
    </row>
    <row r="65" spans="1:22" s="13" customFormat="1">
      <c r="A65" s="167"/>
      <c r="B65" s="167"/>
      <c r="C65" s="194"/>
      <c r="D65" s="167"/>
      <c r="E65" s="53"/>
      <c r="F65" s="193"/>
      <c r="G65" s="167"/>
      <c r="H65" s="184" t="s">
        <v>161</v>
      </c>
      <c r="I65" s="185"/>
      <c r="J65" s="186"/>
      <c r="K65" s="392" t="e">
        <f>E49</f>
        <v>#DIV/0!</v>
      </c>
      <c r="L65" s="167"/>
      <c r="M65" s="53"/>
      <c r="N65" s="53"/>
      <c r="O65" s="53"/>
      <c r="P65" s="53"/>
      <c r="Q65" s="167"/>
      <c r="R65" s="167"/>
      <c r="S65" s="167"/>
      <c r="T65" s="167"/>
      <c r="U65" s="167"/>
    </row>
    <row r="66" spans="1:22" s="13" customFormat="1">
      <c r="A66" s="53"/>
      <c r="B66" s="53"/>
      <c r="C66" s="53"/>
      <c r="D66" s="53"/>
      <c r="E66" s="53"/>
      <c r="F66" s="53"/>
      <c r="G66" s="53"/>
      <c r="H66" s="167"/>
      <c r="I66" s="190"/>
      <c r="J66" s="191"/>
      <c r="K66" s="394"/>
      <c r="L66" s="167"/>
      <c r="M66" s="53"/>
      <c r="N66" s="53"/>
      <c r="O66" s="53"/>
      <c r="P66" s="53"/>
      <c r="Q66" s="53"/>
      <c r="R66" s="53"/>
      <c r="S66" s="53"/>
      <c r="T66" s="53"/>
      <c r="U66" s="53"/>
      <c r="V66" s="2"/>
    </row>
    <row r="67" spans="1:22">
      <c r="H67" s="184" t="s">
        <v>42</v>
      </c>
      <c r="I67" s="185"/>
      <c r="J67" s="186"/>
      <c r="K67" s="392" t="e">
        <f>E51</f>
        <v>#DIV/0!</v>
      </c>
      <c r="L67" s="167"/>
    </row>
    <row r="68" spans="1:22">
      <c r="H68" s="167"/>
      <c r="I68" s="190"/>
      <c r="J68" s="191"/>
      <c r="K68" s="394"/>
      <c r="L68" s="167"/>
    </row>
    <row r="69" spans="1:22">
      <c r="H69" s="184" t="s">
        <v>71</v>
      </c>
      <c r="I69" s="185"/>
      <c r="J69" s="186"/>
      <c r="K69" s="392" t="e">
        <f>E53</f>
        <v>#DIV/0!</v>
      </c>
      <c r="L69" s="167"/>
    </row>
    <row r="70" spans="1:22">
      <c r="L70" s="167"/>
    </row>
    <row r="71" spans="1:22">
      <c r="L71" s="167"/>
    </row>
    <row r="72" spans="1:22">
      <c r="L72" s="167"/>
    </row>
  </sheetData>
  <dataConsolidate/>
  <mergeCells count="7">
    <mergeCell ref="I31:N31"/>
    <mergeCell ref="E10:F10"/>
    <mergeCell ref="H1:N2"/>
    <mergeCell ref="H3:N3"/>
    <mergeCell ref="H4:N5"/>
    <mergeCell ref="I10:N10"/>
    <mergeCell ref="I20:N20"/>
  </mergeCells>
  <phoneticPr fontId="10"/>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E45" sqref="E45"/>
    </sheetView>
  </sheetViews>
  <sheetFormatPr defaultColWidth="11.44140625" defaultRowHeight="13.2"/>
  <cols>
    <col min="1" max="1" width="35.88671875" style="53" customWidth="1"/>
    <col min="2" max="2" width="21.21875" style="53" customWidth="1"/>
    <col min="3" max="3" width="19.33203125" style="53" bestFit="1" customWidth="1"/>
    <col min="4" max="4" width="2" style="53" customWidth="1"/>
    <col min="5" max="5" width="14.44140625" style="53" customWidth="1"/>
    <col min="6" max="6" width="11.6640625" style="53" customWidth="1"/>
    <col min="7" max="7" width="6" style="53" customWidth="1"/>
    <col min="8" max="8" width="27.88671875" style="53" customWidth="1"/>
    <col min="9" max="15" width="11.44140625" style="53"/>
    <col min="16" max="16384" width="11.44140625" style="2"/>
  </cols>
  <sheetData>
    <row r="1" spans="1:15" ht="12.75" customHeight="1">
      <c r="A1" s="241" t="s">
        <v>22</v>
      </c>
      <c r="B1" s="89"/>
      <c r="C1" s="90"/>
      <c r="D1" s="90"/>
      <c r="E1" s="90"/>
      <c r="F1" s="90"/>
      <c r="H1" s="504"/>
      <c r="I1" s="504"/>
      <c r="J1" s="504"/>
      <c r="K1" s="504"/>
      <c r="L1" s="504"/>
      <c r="M1" s="504"/>
      <c r="N1" s="504"/>
    </row>
    <row r="2" spans="1:15">
      <c r="A2" s="123"/>
      <c r="B2" s="124"/>
      <c r="C2" s="125"/>
      <c r="D2" s="124"/>
      <c r="E2" s="126"/>
      <c r="F2" s="127"/>
      <c r="H2" s="504"/>
      <c r="I2" s="504"/>
      <c r="J2" s="504"/>
      <c r="K2" s="504"/>
      <c r="L2" s="504"/>
      <c r="M2" s="504"/>
      <c r="N2" s="504"/>
    </row>
    <row r="3" spans="1:15" ht="14.25" customHeight="1">
      <c r="A3" s="128" t="str">
        <f>'2-Kosten per locatie'!A3</f>
        <v>Naam opdrachtgever</v>
      </c>
      <c r="B3" s="129" t="str">
        <f>'2-Kosten per locatie'!B3</f>
        <v>Blosse Kindcentra</v>
      </c>
      <c r="C3" s="130"/>
      <c r="D3" s="124"/>
      <c r="E3" s="131"/>
      <c r="F3" s="132"/>
      <c r="H3" s="504"/>
      <c r="I3" s="504"/>
      <c r="J3" s="504"/>
      <c r="K3" s="504"/>
      <c r="L3" s="504"/>
      <c r="M3" s="504"/>
      <c r="N3" s="504"/>
    </row>
    <row r="4" spans="1:15" ht="15.75" customHeight="1">
      <c r="A4" s="128" t="str">
        <f>'2-Kosten per locatie'!A4</f>
        <v>Calculatie onderdeel</v>
      </c>
      <c r="B4" s="133" t="str">
        <f ca="1">MID(CELL("bestandsnaam",$C$9),SEARCH("]",CELL("bestandsnaam",$C$9),1)+1,256)</f>
        <v>7-Opbouw uurtarief toezicht</v>
      </c>
      <c r="C4" s="134"/>
      <c r="D4" s="135"/>
      <c r="H4" s="504"/>
      <c r="I4" s="504"/>
      <c r="J4" s="504"/>
      <c r="K4" s="504"/>
      <c r="L4" s="504"/>
      <c r="M4" s="504"/>
      <c r="N4" s="504"/>
    </row>
    <row r="5" spans="1:15" ht="15.6">
      <c r="A5" s="128" t="str">
        <f>'2-Kosten per locatie'!A5</f>
        <v>Gebouw/plaats</v>
      </c>
      <c r="B5" s="129" t="str">
        <f>'2-Kosten per locatie'!B5</f>
        <v>Heerhugowaard en regio</v>
      </c>
      <c r="C5" s="134"/>
      <c r="D5" s="135"/>
      <c r="H5" s="504"/>
      <c r="I5" s="504"/>
      <c r="J5" s="504"/>
      <c r="K5" s="504"/>
      <c r="L5" s="504"/>
      <c r="M5" s="504"/>
      <c r="N5" s="504"/>
    </row>
    <row r="6" spans="1:15" ht="15.6">
      <c r="A6" s="128" t="str">
        <f>'2-Kosten per locatie'!A6</f>
        <v>Referentie nummer</v>
      </c>
      <c r="B6" s="129" t="str">
        <f>'2-Kosten per locatie'!B6</f>
        <v>Blosse-EU-RT-MVD-2024</v>
      </c>
      <c r="C6" s="134"/>
      <c r="D6" s="135"/>
      <c r="H6" s="136"/>
      <c r="I6" s="136"/>
      <c r="J6" s="136"/>
      <c r="K6" s="136"/>
      <c r="L6" s="136"/>
      <c r="M6" s="136"/>
      <c r="N6" s="136"/>
    </row>
    <row r="7" spans="1:15" ht="15.6">
      <c r="A7" s="128" t="str">
        <f>'2-Kosten per locatie'!A7</f>
        <v>Naam dienstverlener</v>
      </c>
      <c r="B7" s="129" t="str">
        <f>'2-Kosten per locatie'!B7</f>
        <v>…............................</v>
      </c>
      <c r="C7" s="134"/>
      <c r="D7" s="135"/>
      <c r="H7" s="136"/>
      <c r="I7" s="136"/>
      <c r="J7" s="136"/>
      <c r="K7" s="136"/>
      <c r="L7" s="136"/>
      <c r="M7" s="136"/>
      <c r="N7" s="136"/>
    </row>
    <row r="8" spans="1:15" ht="15.6">
      <c r="A8" s="128" t="str">
        <f>'2-Kosten per locatie'!A8</f>
        <v>Prijspeil</v>
      </c>
      <c r="B8" s="396">
        <f>'2-Kosten per locatie'!B8</f>
        <v>45474</v>
      </c>
      <c r="C8" s="134"/>
      <c r="D8" s="135"/>
      <c r="J8" s="136"/>
      <c r="K8" s="136"/>
      <c r="L8" s="136"/>
      <c r="M8" s="136"/>
      <c r="N8" s="136"/>
      <c r="O8" s="137"/>
    </row>
    <row r="9" spans="1:15" ht="15.6">
      <c r="A9" s="138"/>
      <c r="B9" s="139"/>
      <c r="C9" s="140"/>
      <c r="D9" s="135"/>
      <c r="E9" s="141"/>
      <c r="F9" s="142"/>
    </row>
    <row r="10" spans="1:15" s="20" customFormat="1" ht="30.75" customHeight="1">
      <c r="A10" s="277" t="s">
        <v>153</v>
      </c>
      <c r="B10" s="278"/>
      <c r="C10" s="279"/>
      <c r="D10" s="280"/>
      <c r="E10" s="502" t="s">
        <v>152</v>
      </c>
      <c r="F10" s="503"/>
      <c r="G10" s="137"/>
      <c r="H10" s="282" t="s">
        <v>118</v>
      </c>
      <c r="I10" s="500" t="s">
        <v>195</v>
      </c>
      <c r="J10" s="501"/>
      <c r="K10" s="501"/>
      <c r="L10" s="501"/>
      <c r="M10" s="501"/>
      <c r="N10" s="501"/>
      <c r="O10" s="137"/>
    </row>
    <row r="11" spans="1:15" ht="14.4" customHeight="1">
      <c r="A11" s="143"/>
      <c r="B11" s="144" t="s">
        <v>52</v>
      </c>
      <c r="C11" s="145" t="s">
        <v>52</v>
      </c>
      <c r="D11" s="135"/>
      <c r="E11" s="146"/>
      <c r="F11" s="147"/>
      <c r="H11" s="143"/>
      <c r="I11" s="400">
        <v>1</v>
      </c>
      <c r="J11" s="400">
        <v>2</v>
      </c>
      <c r="K11" s="400">
        <v>3</v>
      </c>
      <c r="L11" s="400">
        <v>4</v>
      </c>
      <c r="M11" s="400">
        <v>5</v>
      </c>
      <c r="N11" s="400">
        <v>6</v>
      </c>
    </row>
    <row r="12" spans="1:15" ht="12.75" customHeight="1">
      <c r="A12" s="143" t="s">
        <v>34</v>
      </c>
      <c r="B12" s="149" t="s">
        <v>193</v>
      </c>
      <c r="C12" s="150"/>
      <c r="D12" s="135"/>
      <c r="E12" s="377">
        <f>SUM(I31:N31)</f>
        <v>0</v>
      </c>
      <c r="F12" s="378"/>
      <c r="H12" s="143" t="s">
        <v>114</v>
      </c>
      <c r="I12" s="514">
        <v>14.15</v>
      </c>
      <c r="J12" s="514">
        <v>14.87</v>
      </c>
      <c r="K12" s="514">
        <v>15.55</v>
      </c>
      <c r="L12" s="514">
        <v>16.34</v>
      </c>
      <c r="M12" s="514">
        <v>16.97</v>
      </c>
      <c r="N12" s="514">
        <v>17.829999999999998</v>
      </c>
    </row>
    <row r="13" spans="1:15">
      <c r="A13" s="143" t="s">
        <v>14</v>
      </c>
      <c r="B13" s="149" t="s">
        <v>193</v>
      </c>
      <c r="C13" s="151"/>
      <c r="D13" s="135"/>
      <c r="E13" s="379">
        <v>0</v>
      </c>
      <c r="F13" s="378"/>
      <c r="H13" s="143" t="s">
        <v>115</v>
      </c>
      <c r="I13" s="514">
        <v>14.68</v>
      </c>
      <c r="J13" s="514">
        <v>15.39</v>
      </c>
      <c r="K13" s="514">
        <v>16.12</v>
      </c>
      <c r="L13" s="514">
        <v>16.91</v>
      </c>
      <c r="M13" s="514">
        <v>17.55</v>
      </c>
      <c r="N13" s="514">
        <v>18.45</v>
      </c>
    </row>
    <row r="14" spans="1:15">
      <c r="A14" s="154" t="s">
        <v>12</v>
      </c>
      <c r="B14" s="155"/>
      <c r="C14" s="156"/>
      <c r="D14" s="157"/>
      <c r="E14" s="380">
        <f>SUM(E12:E13)</f>
        <v>0</v>
      </c>
      <c r="F14" s="378"/>
      <c r="H14" s="143" t="s">
        <v>116</v>
      </c>
      <c r="I14" s="514">
        <v>15.12</v>
      </c>
      <c r="J14" s="514">
        <v>15.9</v>
      </c>
      <c r="K14" s="514">
        <v>16.63</v>
      </c>
      <c r="L14" s="514">
        <v>17.46</v>
      </c>
      <c r="M14" s="514">
        <v>18.14</v>
      </c>
      <c r="N14" s="514">
        <v>19.05</v>
      </c>
    </row>
    <row r="15" spans="1:15">
      <c r="A15" s="158"/>
      <c r="B15" s="159"/>
      <c r="C15" s="160"/>
      <c r="D15" s="135"/>
      <c r="E15" s="381"/>
      <c r="F15" s="378"/>
      <c r="H15" s="143" t="s">
        <v>117</v>
      </c>
      <c r="I15" s="514">
        <v>15.6</v>
      </c>
      <c r="J15" s="514">
        <v>16.399999999999999</v>
      </c>
      <c r="K15" s="514">
        <v>17.190000000000001</v>
      </c>
      <c r="L15" s="514">
        <v>18.010000000000002</v>
      </c>
      <c r="M15" s="514">
        <v>18.71</v>
      </c>
      <c r="N15" s="514">
        <v>19.670000000000002</v>
      </c>
    </row>
    <row r="16" spans="1:15">
      <c r="A16" s="161" t="s">
        <v>48</v>
      </c>
      <c r="B16" s="149" t="s">
        <v>193</v>
      </c>
      <c r="C16" s="395">
        <v>0</v>
      </c>
      <c r="D16" s="135"/>
      <c r="E16" s="382">
        <f>$C16*E14</f>
        <v>0</v>
      </c>
      <c r="F16" s="378"/>
    </row>
    <row r="17" spans="1:15" ht="14.4" customHeight="1">
      <c r="A17" s="161" t="s">
        <v>74</v>
      </c>
      <c r="B17" s="149" t="s">
        <v>193</v>
      </c>
      <c r="C17" s="395">
        <v>0</v>
      </c>
      <c r="D17" s="135"/>
      <c r="E17" s="383">
        <f>$C17*E14</f>
        <v>0</v>
      </c>
      <c r="F17" s="378"/>
      <c r="H17" s="282" t="s">
        <v>118</v>
      </c>
      <c r="I17" s="505" t="s">
        <v>121</v>
      </c>
      <c r="J17" s="508"/>
      <c r="K17" s="508"/>
      <c r="L17" s="508"/>
      <c r="M17" s="508"/>
      <c r="N17" s="509"/>
    </row>
    <row r="18" spans="1:15" ht="13.2" customHeight="1">
      <c r="A18" s="154" t="s">
        <v>44</v>
      </c>
      <c r="B18" s="162"/>
      <c r="C18" s="163"/>
      <c r="D18" s="135"/>
      <c r="E18" s="380">
        <f>SUM(E14:E17)</f>
        <v>0</v>
      </c>
      <c r="F18" s="384">
        <f>IF(E18=0,0,E18/E$46)</f>
        <v>0</v>
      </c>
      <c r="H18" s="143"/>
      <c r="I18" s="401">
        <v>1</v>
      </c>
      <c r="J18" s="401">
        <v>2</v>
      </c>
      <c r="K18" s="401">
        <v>3</v>
      </c>
      <c r="L18" s="401">
        <v>4</v>
      </c>
      <c r="M18" s="401">
        <v>5</v>
      </c>
      <c r="N18" s="401">
        <v>6</v>
      </c>
      <c r="O18" s="342"/>
    </row>
    <row r="19" spans="1:15">
      <c r="A19" s="158"/>
      <c r="B19" s="159"/>
      <c r="C19" s="160"/>
      <c r="D19" s="135"/>
      <c r="E19" s="381"/>
      <c r="F19" s="378"/>
      <c r="H19" s="143" t="s">
        <v>114</v>
      </c>
      <c r="I19" s="402"/>
      <c r="J19" s="402"/>
      <c r="K19" s="402"/>
      <c r="L19" s="402"/>
      <c r="M19" s="402"/>
      <c r="N19" s="402"/>
      <c r="O19" s="342"/>
    </row>
    <row r="20" spans="1:15">
      <c r="A20" s="164" t="s">
        <v>49</v>
      </c>
      <c r="B20" s="165"/>
      <c r="C20" s="160"/>
      <c r="D20" s="166"/>
      <c r="E20" s="385">
        <f>E18*0.96</f>
        <v>0</v>
      </c>
      <c r="F20" s="386"/>
      <c r="G20" s="167"/>
      <c r="H20" s="143" t="s">
        <v>115</v>
      </c>
      <c r="I20" s="402"/>
      <c r="J20" s="402"/>
      <c r="K20" s="402"/>
      <c r="L20" s="402"/>
      <c r="M20" s="402"/>
      <c r="N20" s="402"/>
      <c r="O20" s="394"/>
    </row>
    <row r="21" spans="1:15">
      <c r="A21" s="161" t="s">
        <v>59</v>
      </c>
      <c r="B21" s="165"/>
      <c r="C21" s="168" t="s">
        <v>38</v>
      </c>
      <c r="D21" s="135"/>
      <c r="E21" s="382" t="e">
        <f>E20*'5-Premies en opslagen'!$C24</f>
        <v>#DIV/0!</v>
      </c>
      <c r="F21" s="378"/>
      <c r="H21" s="143" t="s">
        <v>116</v>
      </c>
      <c r="I21" s="402"/>
      <c r="J21" s="402"/>
      <c r="K21" s="402"/>
      <c r="L21" s="402"/>
      <c r="M21" s="402"/>
      <c r="N21" s="402"/>
      <c r="O21" s="342"/>
    </row>
    <row r="22" spans="1:15" s="13" customFormat="1">
      <c r="A22" s="154" t="s">
        <v>56</v>
      </c>
      <c r="B22" s="169"/>
      <c r="C22" s="163"/>
      <c r="D22" s="135"/>
      <c r="E22" s="380" t="e">
        <f>E21+E18</f>
        <v>#DIV/0!</v>
      </c>
      <c r="F22" s="384" t="e">
        <f>IF(E22=0,0,E22/E$46)</f>
        <v>#DIV/0!</v>
      </c>
      <c r="G22" s="53"/>
      <c r="H22" s="143" t="s">
        <v>117</v>
      </c>
      <c r="I22" s="402"/>
      <c r="J22" s="402"/>
      <c r="K22" s="402"/>
      <c r="L22" s="402"/>
      <c r="M22" s="402"/>
      <c r="N22" s="402"/>
      <c r="O22" s="342"/>
    </row>
    <row r="23" spans="1:15" ht="14.25" customHeight="1">
      <c r="A23" s="158"/>
      <c r="B23" s="162"/>
      <c r="C23" s="163"/>
      <c r="D23" s="135"/>
      <c r="E23" s="375"/>
      <c r="F23" s="378"/>
      <c r="H23" s="67" t="s">
        <v>120</v>
      </c>
      <c r="I23" s="403">
        <f t="shared" ref="I23:N23" si="0">SUM(I19:I22)</f>
        <v>0</v>
      </c>
      <c r="J23" s="403">
        <f t="shared" si="0"/>
        <v>0</v>
      </c>
      <c r="K23" s="403">
        <f t="shared" si="0"/>
        <v>0</v>
      </c>
      <c r="L23" s="403">
        <f t="shared" si="0"/>
        <v>0</v>
      </c>
      <c r="M23" s="403">
        <f t="shared" si="0"/>
        <v>0</v>
      </c>
      <c r="N23" s="403">
        <f t="shared" si="0"/>
        <v>0</v>
      </c>
      <c r="O23" s="404">
        <f>SUM(I23:N23)</f>
        <v>0</v>
      </c>
    </row>
    <row r="24" spans="1:15" ht="12.75" customHeight="1">
      <c r="A24" s="161" t="s">
        <v>30</v>
      </c>
      <c r="B24" s="165"/>
      <c r="C24" s="168" t="s">
        <v>38</v>
      </c>
      <c r="D24" s="135"/>
      <c r="E24" s="382" t="e">
        <f>E22*'5-Premies en opslagen'!$B53</f>
        <v>#DIV/0!</v>
      </c>
      <c r="F24" s="378"/>
    </row>
    <row r="25" spans="1:15" ht="12.75" customHeight="1">
      <c r="A25" s="154" t="s">
        <v>66</v>
      </c>
      <c r="B25" s="162"/>
      <c r="C25" s="163"/>
      <c r="D25" s="135"/>
      <c r="E25" s="380" t="e">
        <f>SUM(E22:E24)</f>
        <v>#DIV/0!</v>
      </c>
      <c r="F25" s="384" t="e">
        <f>IF(E25=0,0,E25/E$46)</f>
        <v>#DIV/0!</v>
      </c>
      <c r="H25" s="285" t="s">
        <v>118</v>
      </c>
      <c r="I25" s="500" t="s">
        <v>122</v>
      </c>
      <c r="J25" s="501"/>
      <c r="K25" s="501"/>
      <c r="L25" s="501"/>
      <c r="M25" s="501"/>
      <c r="N25" s="501"/>
    </row>
    <row r="26" spans="1:15">
      <c r="A26" s="158"/>
      <c r="B26" s="162"/>
      <c r="C26" s="163"/>
      <c r="D26" s="135"/>
      <c r="E26" s="375"/>
      <c r="F26" s="378"/>
      <c r="H26" s="407"/>
      <c r="I26" s="400">
        <v>1</v>
      </c>
      <c r="J26" s="400">
        <v>2</v>
      </c>
      <c r="K26" s="400">
        <v>3</v>
      </c>
      <c r="L26" s="400">
        <v>4</v>
      </c>
      <c r="M26" s="400">
        <v>5</v>
      </c>
      <c r="N26" s="400">
        <v>6</v>
      </c>
    </row>
    <row r="27" spans="1:15" ht="13.2" customHeight="1">
      <c r="A27" s="158" t="s">
        <v>50</v>
      </c>
      <c r="B27" s="170"/>
      <c r="C27" s="151" t="s">
        <v>55</v>
      </c>
      <c r="D27" s="135"/>
      <c r="E27" s="379">
        <v>0</v>
      </c>
      <c r="F27" s="378">
        <v>0</v>
      </c>
      <c r="H27" s="143" t="s">
        <v>114</v>
      </c>
      <c r="I27" s="406">
        <f t="shared" ref="I27:N30" si="1">I19*I12</f>
        <v>0</v>
      </c>
      <c r="J27" s="406">
        <f t="shared" si="1"/>
        <v>0</v>
      </c>
      <c r="K27" s="406">
        <f t="shared" si="1"/>
        <v>0</v>
      </c>
      <c r="L27" s="406">
        <f t="shared" si="1"/>
        <v>0</v>
      </c>
      <c r="M27" s="406">
        <f t="shared" si="1"/>
        <v>0</v>
      </c>
      <c r="N27" s="406">
        <f t="shared" si="1"/>
        <v>0</v>
      </c>
    </row>
    <row r="28" spans="1:15">
      <c r="A28" s="158" t="s">
        <v>53</v>
      </c>
      <c r="B28" s="171"/>
      <c r="C28" s="151" t="s">
        <v>55</v>
      </c>
      <c r="D28" s="135"/>
      <c r="E28" s="379">
        <v>0</v>
      </c>
      <c r="F28" s="378">
        <v>0</v>
      </c>
      <c r="H28" s="143" t="s">
        <v>115</v>
      </c>
      <c r="I28" s="406">
        <f t="shared" si="1"/>
        <v>0</v>
      </c>
      <c r="J28" s="406">
        <f t="shared" si="1"/>
        <v>0</v>
      </c>
      <c r="K28" s="406">
        <f t="shared" si="1"/>
        <v>0</v>
      </c>
      <c r="L28" s="406">
        <f t="shared" si="1"/>
        <v>0</v>
      </c>
      <c r="M28" s="406">
        <f t="shared" si="1"/>
        <v>0</v>
      </c>
      <c r="N28" s="406">
        <f t="shared" si="1"/>
        <v>0</v>
      </c>
    </row>
    <row r="29" spans="1:15">
      <c r="A29" s="158"/>
      <c r="B29" s="162"/>
      <c r="C29" s="163"/>
      <c r="D29" s="135"/>
      <c r="E29" s="379"/>
      <c r="F29" s="378"/>
      <c r="H29" s="143" t="s">
        <v>116</v>
      </c>
      <c r="I29" s="406">
        <f t="shared" si="1"/>
        <v>0</v>
      </c>
      <c r="J29" s="406">
        <f t="shared" si="1"/>
        <v>0</v>
      </c>
      <c r="K29" s="406">
        <f t="shared" si="1"/>
        <v>0</v>
      </c>
      <c r="L29" s="406">
        <f t="shared" si="1"/>
        <v>0</v>
      </c>
      <c r="M29" s="406">
        <f t="shared" si="1"/>
        <v>0</v>
      </c>
      <c r="N29" s="406">
        <f t="shared" si="1"/>
        <v>0</v>
      </c>
    </row>
    <row r="30" spans="1:15">
      <c r="A30" s="242"/>
      <c r="B30" s="243"/>
      <c r="C30" s="244" t="s">
        <v>52</v>
      </c>
      <c r="D30" s="135"/>
      <c r="E30" s="379"/>
      <c r="F30" s="378"/>
      <c r="H30" s="143" t="s">
        <v>117</v>
      </c>
      <c r="I30" s="406">
        <f t="shared" si="1"/>
        <v>0</v>
      </c>
      <c r="J30" s="406">
        <f t="shared" si="1"/>
        <v>0</v>
      </c>
      <c r="K30" s="406">
        <f t="shared" si="1"/>
        <v>0</v>
      </c>
      <c r="L30" s="406">
        <f t="shared" si="1"/>
        <v>0</v>
      </c>
      <c r="M30" s="406">
        <f t="shared" si="1"/>
        <v>0</v>
      </c>
      <c r="N30" s="406">
        <f t="shared" si="1"/>
        <v>0</v>
      </c>
    </row>
    <row r="31" spans="1:15" ht="12.75" customHeight="1">
      <c r="A31" s="154" t="s">
        <v>46</v>
      </c>
      <c r="B31" s="162"/>
      <c r="C31" s="163"/>
      <c r="D31" s="135"/>
      <c r="E31" s="380" t="e">
        <f>SUM(E25:E30)</f>
        <v>#DIV/0!</v>
      </c>
      <c r="F31" s="384" t="e">
        <f>IF(E31=0,0,E31/E$46)</f>
        <v>#DIV/0!</v>
      </c>
      <c r="H31" s="67" t="s">
        <v>120</v>
      </c>
      <c r="I31" s="405">
        <f t="shared" ref="I31:N31" si="2">SUM(I27:I30)</f>
        <v>0</v>
      </c>
      <c r="J31" s="405">
        <f t="shared" si="2"/>
        <v>0</v>
      </c>
      <c r="K31" s="405">
        <f t="shared" si="2"/>
        <v>0</v>
      </c>
      <c r="L31" s="405">
        <f t="shared" si="2"/>
        <v>0</v>
      </c>
      <c r="M31" s="405">
        <f t="shared" si="2"/>
        <v>0</v>
      </c>
      <c r="N31" s="405">
        <f t="shared" si="2"/>
        <v>0</v>
      </c>
    </row>
    <row r="32" spans="1:15" ht="12.75" customHeight="1">
      <c r="A32" s="158"/>
      <c r="B32" s="162"/>
      <c r="C32" s="163"/>
      <c r="D32" s="135"/>
      <c r="E32" s="375"/>
      <c r="F32" s="378"/>
    </row>
    <row r="33" spans="1:15" ht="12.75" customHeight="1">
      <c r="A33" s="158" t="s">
        <v>67</v>
      </c>
      <c r="B33" s="162"/>
      <c r="C33" s="172"/>
      <c r="D33" s="135"/>
      <c r="E33" s="379">
        <v>0</v>
      </c>
      <c r="F33" s="387" t="e">
        <f>E33/$E$46</f>
        <v>#DIV/0!</v>
      </c>
    </row>
    <row r="34" spans="1:15" ht="12.75" customHeight="1">
      <c r="A34" s="158" t="s">
        <v>29</v>
      </c>
      <c r="B34" s="162"/>
      <c r="C34" s="172"/>
      <c r="D34" s="135"/>
      <c r="E34" s="379">
        <v>0</v>
      </c>
      <c r="F34" s="387" t="e">
        <f t="shared" ref="F34:F40" si="3">E34/$E$46</f>
        <v>#DIV/0!</v>
      </c>
    </row>
    <row r="35" spans="1:15" ht="12.75" customHeight="1">
      <c r="A35" s="158" t="s">
        <v>21</v>
      </c>
      <c r="B35" s="162"/>
      <c r="C35" s="172"/>
      <c r="D35" s="135"/>
      <c r="E35" s="379">
        <v>0</v>
      </c>
      <c r="F35" s="387" t="e">
        <f t="shared" si="3"/>
        <v>#DIV/0!</v>
      </c>
    </row>
    <row r="36" spans="1:15" ht="14.25" customHeight="1">
      <c r="A36" s="158" t="s">
        <v>2</v>
      </c>
      <c r="B36" s="162"/>
      <c r="C36" s="174"/>
      <c r="D36" s="135"/>
      <c r="E36" s="379">
        <v>0</v>
      </c>
      <c r="F36" s="387" t="e">
        <f t="shared" si="3"/>
        <v>#DIV/0!</v>
      </c>
    </row>
    <row r="37" spans="1:15">
      <c r="A37" s="158" t="s">
        <v>28</v>
      </c>
      <c r="B37" s="162"/>
      <c r="C37" s="172"/>
      <c r="D37" s="135"/>
      <c r="E37" s="379">
        <v>0</v>
      </c>
      <c r="F37" s="387" t="e">
        <f t="shared" si="3"/>
        <v>#DIV/0!</v>
      </c>
    </row>
    <row r="38" spans="1:15">
      <c r="A38" s="158" t="s">
        <v>25</v>
      </c>
      <c r="B38" s="162"/>
      <c r="C38" s="174"/>
      <c r="D38" s="135"/>
      <c r="E38" s="379">
        <v>0</v>
      </c>
      <c r="F38" s="387" t="e">
        <f t="shared" si="3"/>
        <v>#DIV/0!</v>
      </c>
    </row>
    <row r="39" spans="1:15">
      <c r="A39" s="158" t="s">
        <v>60</v>
      </c>
      <c r="B39" s="162"/>
      <c r="C39" s="151" t="s">
        <v>55</v>
      </c>
      <c r="D39" s="135"/>
      <c r="E39" s="379">
        <v>0</v>
      </c>
      <c r="F39" s="387" t="e">
        <f t="shared" si="3"/>
        <v>#DIV/0!</v>
      </c>
    </row>
    <row r="40" spans="1:15">
      <c r="A40" s="158" t="s">
        <v>73</v>
      </c>
      <c r="B40" s="162"/>
      <c r="C40" s="151"/>
      <c r="D40" s="135"/>
      <c r="E40" s="379">
        <v>0</v>
      </c>
      <c r="F40" s="387" t="e">
        <f t="shared" si="3"/>
        <v>#DIV/0!</v>
      </c>
    </row>
    <row r="41" spans="1:15">
      <c r="A41" s="242"/>
      <c r="B41" s="243"/>
      <c r="C41" s="245"/>
      <c r="D41" s="135"/>
      <c r="E41" s="379">
        <v>0</v>
      </c>
      <c r="F41" s="378"/>
      <c r="H41" s="167"/>
      <c r="I41" s="167"/>
      <c r="J41" s="167"/>
      <c r="K41" s="167"/>
      <c r="L41" s="167"/>
      <c r="M41" s="167"/>
      <c r="N41" s="167"/>
      <c r="O41" s="167"/>
    </row>
    <row r="42" spans="1:15">
      <c r="A42" s="154" t="s">
        <v>61</v>
      </c>
      <c r="B42" s="162"/>
      <c r="C42" s="163"/>
      <c r="D42" s="135"/>
      <c r="E42" s="380" t="e">
        <f>SUM(E31:E41)</f>
        <v>#DIV/0!</v>
      </c>
      <c r="F42" s="384" t="e">
        <f>IF(E42=0,0,E42/E$46)</f>
        <v>#DIV/0!</v>
      </c>
      <c r="H42" s="167"/>
      <c r="I42" s="167"/>
      <c r="J42" s="167"/>
      <c r="K42" s="167"/>
      <c r="L42" s="167"/>
      <c r="M42" s="167"/>
      <c r="N42" s="167"/>
      <c r="O42" s="167"/>
    </row>
    <row r="43" spans="1:15" ht="45">
      <c r="A43" s="158"/>
      <c r="B43" s="162"/>
      <c r="C43" s="163"/>
      <c r="D43" s="135"/>
      <c r="E43" s="375"/>
      <c r="F43" s="388"/>
      <c r="H43" s="277" t="s">
        <v>189</v>
      </c>
      <c r="I43" s="278"/>
      <c r="J43" s="279"/>
      <c r="K43" s="286" t="s">
        <v>155</v>
      </c>
      <c r="L43" s="167"/>
      <c r="M43" s="167"/>
      <c r="N43" s="167"/>
    </row>
    <row r="44" spans="1:15">
      <c r="A44" s="158" t="s">
        <v>62</v>
      </c>
      <c r="B44" s="162"/>
      <c r="C44" s="174"/>
      <c r="D44" s="135"/>
      <c r="E44" s="379">
        <v>0</v>
      </c>
      <c r="F44" s="384">
        <f>(IF(E44=0,0,E44/E$46))</f>
        <v>0</v>
      </c>
      <c r="H44" s="143"/>
      <c r="I44" s="144" t="s">
        <v>52</v>
      </c>
      <c r="J44" s="145" t="s">
        <v>52</v>
      </c>
      <c r="K44" s="375"/>
      <c r="L44" s="167"/>
      <c r="M44" s="167"/>
      <c r="N44" s="167"/>
    </row>
    <row r="45" spans="1:15">
      <c r="A45" s="158"/>
      <c r="B45" s="176"/>
      <c r="C45" s="163"/>
      <c r="D45" s="135"/>
      <c r="E45" s="375"/>
      <c r="F45" s="378"/>
      <c r="H45" s="181" t="s">
        <v>12</v>
      </c>
      <c r="I45" s="182"/>
      <c r="J45" s="183"/>
      <c r="K45" s="380">
        <f>E14</f>
        <v>0</v>
      </c>
      <c r="L45" s="167"/>
      <c r="M45" s="167"/>
      <c r="N45" s="167"/>
    </row>
    <row r="46" spans="1:15">
      <c r="A46" s="154" t="s">
        <v>39</v>
      </c>
      <c r="B46" s="177"/>
      <c r="C46" s="178"/>
      <c r="D46" s="135"/>
      <c r="E46" s="389" t="e">
        <f>SUM(E42:E45)</f>
        <v>#DIV/0!</v>
      </c>
      <c r="F46" s="390" t="e">
        <f>SUM(F42:F45)</f>
        <v>#DIV/0!</v>
      </c>
      <c r="H46" s="187" t="s">
        <v>48</v>
      </c>
      <c r="I46" s="188"/>
      <c r="J46" s="189"/>
      <c r="K46" s="382">
        <f>E16</f>
        <v>0</v>
      </c>
      <c r="L46" s="167"/>
      <c r="M46" s="167"/>
      <c r="N46" s="167"/>
    </row>
    <row r="47" spans="1:15">
      <c r="B47" s="179"/>
      <c r="C47" s="180"/>
      <c r="D47" s="135"/>
      <c r="E47" s="342"/>
      <c r="F47" s="391"/>
      <c r="H47" s="161" t="s">
        <v>74</v>
      </c>
      <c r="I47" s="188"/>
      <c r="J47" s="189"/>
      <c r="K47" s="383">
        <f>E17</f>
        <v>0</v>
      </c>
      <c r="L47" s="167"/>
      <c r="M47" s="167"/>
      <c r="N47" s="167"/>
      <c r="O47" s="167"/>
    </row>
    <row r="48" spans="1:15">
      <c r="A48" s="184" t="s">
        <v>161</v>
      </c>
      <c r="B48" s="185"/>
      <c r="C48" s="186"/>
      <c r="D48" s="167"/>
      <c r="E48" s="392" t="e">
        <f>(E$25*1.3)+($E$46-$E$25)</f>
        <v>#DIV/0!</v>
      </c>
      <c r="F48" s="393"/>
      <c r="G48" s="167"/>
      <c r="H48" s="161" t="s">
        <v>59</v>
      </c>
      <c r="I48" s="188"/>
      <c r="J48" s="189"/>
      <c r="K48" s="382" t="e">
        <f>E21</f>
        <v>#DIV/0!</v>
      </c>
      <c r="L48" s="167"/>
      <c r="M48" s="167"/>
      <c r="N48" s="167"/>
      <c r="O48" s="167"/>
    </row>
    <row r="49" spans="1:15">
      <c r="A49" s="167"/>
      <c r="B49" s="190"/>
      <c r="C49" s="191"/>
      <c r="D49" s="167"/>
      <c r="E49" s="394"/>
      <c r="F49" s="394"/>
      <c r="G49" s="167"/>
      <c r="H49" s="161" t="s">
        <v>30</v>
      </c>
      <c r="I49" s="165"/>
      <c r="J49" s="168"/>
      <c r="K49" s="382" t="e">
        <f>E24</f>
        <v>#DIV/0!</v>
      </c>
      <c r="L49" s="167"/>
      <c r="M49" s="167"/>
      <c r="N49" s="167"/>
      <c r="O49" s="167"/>
    </row>
    <row r="50" spans="1:15" s="13" customFormat="1">
      <c r="A50" s="184" t="s">
        <v>42</v>
      </c>
      <c r="B50" s="185"/>
      <c r="C50" s="186"/>
      <c r="D50" s="167"/>
      <c r="E50" s="392" t="e">
        <f>(E$25*1.5)+($E$46-$E$25)</f>
        <v>#DIV/0!</v>
      </c>
      <c r="F50" s="393"/>
      <c r="G50" s="167"/>
      <c r="H50" s="158" t="s">
        <v>50</v>
      </c>
      <c r="I50" s="170"/>
      <c r="J50" s="151"/>
      <c r="K50" s="377">
        <f>E27</f>
        <v>0</v>
      </c>
      <c r="L50" s="167"/>
      <c r="M50" s="167"/>
      <c r="N50" s="167"/>
      <c r="O50" s="167"/>
    </row>
    <row r="51" spans="1:15" s="13" customFormat="1">
      <c r="A51" s="167"/>
      <c r="B51" s="190"/>
      <c r="C51" s="191"/>
      <c r="D51" s="167"/>
      <c r="E51" s="394"/>
      <c r="F51" s="394"/>
      <c r="G51" s="167"/>
      <c r="H51" s="158" t="s">
        <v>53</v>
      </c>
      <c r="I51" s="171"/>
      <c r="J51" s="151"/>
      <c r="K51" s="377">
        <f t="shared" ref="K51:K52" si="4">E28</f>
        <v>0</v>
      </c>
      <c r="L51" s="167"/>
      <c r="M51" s="53"/>
      <c r="N51" s="167"/>
      <c r="O51" s="167"/>
    </row>
    <row r="52" spans="1:15" s="13" customFormat="1">
      <c r="A52" s="184" t="s">
        <v>71</v>
      </c>
      <c r="B52" s="185"/>
      <c r="C52" s="186"/>
      <c r="D52" s="167"/>
      <c r="E52" s="392" t="e">
        <f>(E$25*2.5)+($E$46-$E$25)</f>
        <v>#DIV/0!</v>
      </c>
      <c r="F52" s="394"/>
      <c r="G52" s="167"/>
      <c r="H52" s="158" t="s">
        <v>54</v>
      </c>
      <c r="I52" s="162"/>
      <c r="J52" s="163" t="s">
        <v>52</v>
      </c>
      <c r="K52" s="377">
        <f t="shared" si="4"/>
        <v>0</v>
      </c>
      <c r="L52" s="167"/>
      <c r="M52" s="53"/>
      <c r="N52" s="167"/>
      <c r="O52" s="167"/>
    </row>
    <row r="53" spans="1:15" s="13" customFormat="1">
      <c r="A53" s="167"/>
      <c r="B53" s="190"/>
      <c r="C53" s="192"/>
      <c r="D53" s="167"/>
      <c r="E53" s="167"/>
      <c r="F53" s="193"/>
      <c r="G53" s="167"/>
      <c r="H53" s="158" t="s">
        <v>67</v>
      </c>
      <c r="I53" s="162"/>
      <c r="J53" s="172"/>
      <c r="K53" s="377">
        <f>E33</f>
        <v>0</v>
      </c>
      <c r="L53" s="167"/>
      <c r="M53" s="53"/>
      <c r="N53" s="167"/>
      <c r="O53" s="167"/>
    </row>
    <row r="54" spans="1:15" s="13" customFormat="1">
      <c r="A54" s="167"/>
      <c r="B54" s="190"/>
      <c r="C54" s="192"/>
      <c r="D54" s="167"/>
      <c r="E54" s="167"/>
      <c r="F54" s="193"/>
      <c r="G54" s="167"/>
      <c r="H54" s="158" t="s">
        <v>29</v>
      </c>
      <c r="I54" s="162"/>
      <c r="J54" s="172"/>
      <c r="K54" s="377">
        <f t="shared" ref="K54:K60" si="5">E34</f>
        <v>0</v>
      </c>
      <c r="L54" s="167"/>
      <c r="M54" s="53"/>
      <c r="N54" s="167"/>
      <c r="O54" s="167"/>
    </row>
    <row r="55" spans="1:15" s="13" customFormat="1">
      <c r="A55" s="167"/>
      <c r="B55" s="167"/>
      <c r="C55" s="194"/>
      <c r="D55" s="167"/>
      <c r="E55" s="167"/>
      <c r="F55" s="193"/>
      <c r="G55" s="167"/>
      <c r="H55" s="158" t="s">
        <v>21</v>
      </c>
      <c r="I55" s="162"/>
      <c r="J55" s="172"/>
      <c r="K55" s="377">
        <f t="shared" si="5"/>
        <v>0</v>
      </c>
      <c r="L55" s="167"/>
      <c r="M55" s="53"/>
      <c r="N55" s="167"/>
      <c r="O55" s="167"/>
    </row>
    <row r="56" spans="1:15" s="13" customFormat="1">
      <c r="A56" s="167"/>
      <c r="B56" s="167"/>
      <c r="C56" s="194"/>
      <c r="D56" s="167"/>
      <c r="E56" s="167"/>
      <c r="F56" s="193"/>
      <c r="G56" s="167"/>
      <c r="H56" s="158" t="s">
        <v>2</v>
      </c>
      <c r="I56" s="162"/>
      <c r="J56" s="174"/>
      <c r="K56" s="377">
        <f t="shared" si="5"/>
        <v>0</v>
      </c>
      <c r="L56" s="167"/>
      <c r="M56" s="53"/>
      <c r="N56" s="167"/>
      <c r="O56" s="167"/>
    </row>
    <row r="57" spans="1:15" s="13" customFormat="1">
      <c r="A57" s="53"/>
      <c r="B57" s="167"/>
      <c r="C57" s="194"/>
      <c r="D57" s="167"/>
      <c r="E57" s="167"/>
      <c r="F57" s="193"/>
      <c r="G57" s="167"/>
      <c r="H57" s="158" t="s">
        <v>28</v>
      </c>
      <c r="I57" s="162"/>
      <c r="J57" s="172"/>
      <c r="K57" s="377">
        <f t="shared" si="5"/>
        <v>0</v>
      </c>
      <c r="L57" s="167"/>
      <c r="M57" s="53"/>
      <c r="N57" s="167"/>
      <c r="O57" s="167"/>
    </row>
    <row r="58" spans="1:15" s="13" customFormat="1">
      <c r="A58" s="167"/>
      <c r="B58" s="167"/>
      <c r="C58" s="194"/>
      <c r="D58" s="167"/>
      <c r="E58" s="167"/>
      <c r="F58" s="193"/>
      <c r="G58" s="167"/>
      <c r="H58" s="158" t="s">
        <v>25</v>
      </c>
      <c r="I58" s="162"/>
      <c r="J58" s="174"/>
      <c r="K58" s="377">
        <f t="shared" si="5"/>
        <v>0</v>
      </c>
      <c r="L58" s="167"/>
      <c r="M58" s="53"/>
      <c r="N58" s="53"/>
      <c r="O58" s="167"/>
    </row>
    <row r="59" spans="1:15" s="13" customFormat="1">
      <c r="A59" s="167"/>
      <c r="B59" s="167"/>
      <c r="C59" s="194"/>
      <c r="D59" s="167"/>
      <c r="E59" s="167"/>
      <c r="F59" s="193"/>
      <c r="G59" s="167"/>
      <c r="H59" s="158" t="s">
        <v>60</v>
      </c>
      <c r="I59" s="162"/>
      <c r="J59" s="151"/>
      <c r="K59" s="377">
        <f t="shared" si="5"/>
        <v>0</v>
      </c>
      <c r="L59" s="167"/>
      <c r="M59" s="53"/>
      <c r="N59" s="53"/>
      <c r="O59" s="167"/>
    </row>
    <row r="60" spans="1:15" s="13" customFormat="1">
      <c r="A60" s="167"/>
      <c r="B60" s="167"/>
      <c r="C60" s="194"/>
      <c r="D60" s="167"/>
      <c r="E60" s="167"/>
      <c r="F60" s="193"/>
      <c r="G60" s="167"/>
      <c r="H60" s="158" t="s">
        <v>73</v>
      </c>
      <c r="I60" s="162"/>
      <c r="J60" s="151"/>
      <c r="K60" s="377">
        <f t="shared" si="5"/>
        <v>0</v>
      </c>
      <c r="L60" s="167"/>
      <c r="M60" s="53"/>
      <c r="N60" s="53"/>
      <c r="O60" s="167"/>
    </row>
    <row r="61" spans="1:15" s="13" customFormat="1">
      <c r="A61" s="167"/>
      <c r="B61" s="167"/>
      <c r="C61" s="194"/>
      <c r="D61" s="167"/>
      <c r="E61" s="167"/>
      <c r="F61" s="193"/>
      <c r="G61" s="167"/>
      <c r="H61" s="158" t="s">
        <v>62</v>
      </c>
      <c r="I61" s="162"/>
      <c r="J61" s="174"/>
      <c r="K61" s="377">
        <f>E44</f>
        <v>0</v>
      </c>
      <c r="L61" s="167"/>
      <c r="M61" s="53"/>
      <c r="N61" s="53"/>
      <c r="O61" s="167"/>
    </row>
    <row r="62" spans="1:15" s="13" customFormat="1">
      <c r="A62" s="167"/>
      <c r="B62" s="167"/>
      <c r="C62" s="194"/>
      <c r="D62" s="167"/>
      <c r="E62" s="167"/>
      <c r="F62" s="193"/>
      <c r="G62" s="167"/>
      <c r="H62" s="158"/>
      <c r="I62" s="176"/>
      <c r="J62" s="163"/>
      <c r="K62" s="375"/>
      <c r="L62" s="167"/>
      <c r="M62" s="53"/>
      <c r="N62" s="53"/>
      <c r="O62" s="167"/>
    </row>
    <row r="63" spans="1:15" s="13" customFormat="1">
      <c r="A63" s="167"/>
      <c r="B63" s="167"/>
      <c r="C63" s="194"/>
      <c r="D63" s="167"/>
      <c r="E63" s="167"/>
      <c r="F63" s="193"/>
      <c r="G63" s="167"/>
      <c r="H63" s="154" t="s">
        <v>39</v>
      </c>
      <c r="I63" s="177"/>
      <c r="J63" s="178"/>
      <c r="K63" s="389" t="e">
        <f>SUM(K45:K62)</f>
        <v>#DIV/0!</v>
      </c>
      <c r="L63" s="167"/>
      <c r="M63" s="53"/>
      <c r="N63" s="53"/>
      <c r="O63" s="167"/>
    </row>
    <row r="64" spans="1:15" s="13" customFormat="1">
      <c r="A64" s="167"/>
      <c r="B64" s="167"/>
      <c r="C64" s="194"/>
      <c r="D64" s="167"/>
      <c r="E64" s="53"/>
      <c r="F64" s="193"/>
      <c r="G64" s="167"/>
      <c r="H64" s="53"/>
      <c r="I64" s="179"/>
      <c r="J64" s="180"/>
      <c r="K64" s="342"/>
      <c r="L64" s="167"/>
      <c r="M64" s="53"/>
      <c r="N64" s="53"/>
      <c r="O64" s="53"/>
    </row>
    <row r="65" spans="1:15" s="13" customFormat="1">
      <c r="A65" s="53"/>
      <c r="B65" s="53"/>
      <c r="C65" s="53"/>
      <c r="D65" s="53"/>
      <c r="E65" s="53"/>
      <c r="F65" s="53"/>
      <c r="G65" s="53"/>
      <c r="H65" s="184" t="s">
        <v>161</v>
      </c>
      <c r="I65" s="185"/>
      <c r="J65" s="186"/>
      <c r="K65" s="392" t="e">
        <f>E48</f>
        <v>#DIV/0!</v>
      </c>
      <c r="L65" s="167"/>
      <c r="M65" s="53"/>
      <c r="N65" s="53"/>
      <c r="O65" s="53"/>
    </row>
    <row r="66" spans="1:15">
      <c r="H66" s="167"/>
      <c r="I66" s="190"/>
      <c r="J66" s="191"/>
      <c r="K66" s="394"/>
      <c r="L66" s="167"/>
    </row>
    <row r="67" spans="1:15">
      <c r="H67" s="184" t="s">
        <v>42</v>
      </c>
      <c r="I67" s="185"/>
      <c r="J67" s="186"/>
      <c r="K67" s="392" t="e">
        <f>E50</f>
        <v>#DIV/0!</v>
      </c>
      <c r="L67" s="167"/>
    </row>
    <row r="68" spans="1:15">
      <c r="H68" s="167"/>
      <c r="I68" s="190"/>
      <c r="J68" s="191"/>
      <c r="K68" s="394"/>
      <c r="L68" s="167"/>
    </row>
    <row r="69" spans="1:15">
      <c r="H69" s="184" t="s">
        <v>71</v>
      </c>
      <c r="I69" s="185"/>
      <c r="J69" s="186"/>
      <c r="K69" s="392" t="e">
        <f>E52</f>
        <v>#DIV/0!</v>
      </c>
      <c r="L69" s="167"/>
    </row>
    <row r="70" spans="1:15">
      <c r="L70" s="167"/>
      <c r="O70" s="167"/>
    </row>
    <row r="71" spans="1:15">
      <c r="O71" s="167"/>
    </row>
    <row r="72" spans="1:15">
      <c r="O72" s="167"/>
    </row>
    <row r="73" spans="1:15">
      <c r="O73" s="167"/>
    </row>
    <row r="74" spans="1:15">
      <c r="O74" s="167"/>
    </row>
    <row r="75" spans="1:15">
      <c r="O75" s="167"/>
    </row>
    <row r="76" spans="1:15">
      <c r="O76" s="167"/>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47"/>
  <sheetViews>
    <sheetView showGridLines="0" showZeros="0" zoomScaleNormal="100" zoomScaleSheetLayoutView="75" zoomScalePageLayoutView="50" workbookViewId="0">
      <pane ySplit="9" topLeftCell="A10" activePane="bottomLeft" state="frozen"/>
      <selection activeCell="B1" sqref="B1"/>
      <selection pane="bottomLeft" activeCell="F19" sqref="F19"/>
    </sheetView>
  </sheetViews>
  <sheetFormatPr defaultColWidth="11.44140625" defaultRowHeight="13.2"/>
  <cols>
    <col min="1" max="1" width="39" style="53" customWidth="1"/>
    <col min="2" max="2" width="20.33203125" style="53" customWidth="1"/>
    <col min="3" max="6" width="17.5546875" style="53" customWidth="1"/>
    <col min="7" max="16384" width="11.44140625" style="2"/>
  </cols>
  <sheetData>
    <row r="1" spans="1:8" ht="16.2">
      <c r="A1" s="288" t="s">
        <v>22</v>
      </c>
      <c r="B1" s="196"/>
      <c r="C1" s="196"/>
      <c r="D1" s="197"/>
    </row>
    <row r="2" spans="1:8" ht="16.2">
      <c r="A2" s="258"/>
    </row>
    <row r="3" spans="1:8" ht="18.600000000000001">
      <c r="A3" s="250" t="str">
        <f>'2-Kosten per locatie'!A3</f>
        <v>Naam opdrachtgever</v>
      </c>
      <c r="B3" s="44" t="str">
        <f>'2-Kosten per locatie'!B3</f>
        <v>Blosse Kindcentra</v>
      </c>
      <c r="C3" s="198"/>
      <c r="D3" s="198"/>
    </row>
    <row r="4" spans="1:8" ht="18.600000000000001">
      <c r="A4" s="250" t="str">
        <f>'2-Kosten per locatie'!A4</f>
        <v>Calculatie onderdeel</v>
      </c>
      <c r="B4" s="44" t="str">
        <f ca="1">MID(CELL("bestandsnaam",$C$9),SEARCH("]",CELL("bestandsnaam",$C$9),1)+1,256)</f>
        <v>8-Afroepprijs</v>
      </c>
      <c r="C4" s="199"/>
      <c r="D4" s="200"/>
    </row>
    <row r="5" spans="1:8" ht="18.600000000000001">
      <c r="A5" s="250" t="str">
        <f>'2-Kosten per locatie'!A5</f>
        <v>Gebouw/plaats</v>
      </c>
      <c r="B5" s="44" t="str">
        <f>'2-Kosten per locatie'!B5</f>
        <v>Heerhugowaard en regio</v>
      </c>
      <c r="C5" s="199"/>
      <c r="D5" s="200"/>
      <c r="E5" s="200"/>
      <c r="F5" s="200"/>
      <c r="G5" s="200"/>
      <c r="H5" s="200"/>
    </row>
    <row r="6" spans="1:8" ht="18.600000000000001">
      <c r="A6" s="250" t="str">
        <f>'2-Kosten per locatie'!A6</f>
        <v>Referentie nummer</v>
      </c>
      <c r="B6" s="44" t="str">
        <f>'2-Kosten per locatie'!B6</f>
        <v>Blosse-EU-RT-MVD-2024</v>
      </c>
      <c r="C6" s="199"/>
      <c r="D6" s="200"/>
      <c r="E6" s="200"/>
      <c r="F6" s="200"/>
      <c r="G6" s="200"/>
      <c r="H6" s="200"/>
    </row>
    <row r="7" spans="1:8" ht="18.600000000000001">
      <c r="A7" s="250" t="str">
        <f>'2-Kosten per locatie'!A7</f>
        <v>Naam dienstverlener</v>
      </c>
      <c r="B7" s="44" t="str">
        <f>'2-Kosten per locatie'!B7</f>
        <v>…............................</v>
      </c>
      <c r="C7" s="199"/>
      <c r="D7" s="200"/>
      <c r="E7" s="200"/>
      <c r="F7" s="200"/>
      <c r="G7" s="200"/>
      <c r="H7" s="200"/>
    </row>
    <row r="8" spans="1:8" ht="18.600000000000001">
      <c r="A8" s="250" t="str">
        <f>'2-Kosten per locatie'!A8</f>
        <v>Prijspeil</v>
      </c>
      <c r="B8" s="357">
        <f>'2-Kosten per locatie'!B8</f>
        <v>45474</v>
      </c>
      <c r="C8" s="199"/>
      <c r="D8" s="200"/>
      <c r="E8" s="200"/>
      <c r="F8" s="200"/>
      <c r="G8" s="200"/>
      <c r="H8" s="200"/>
    </row>
    <row r="9" spans="1:8" ht="15.6">
      <c r="A9" s="201"/>
      <c r="B9" s="202"/>
      <c r="C9" s="199"/>
      <c r="D9" s="200"/>
    </row>
    <row r="10" spans="1:8" ht="18.600000000000001">
      <c r="A10" s="289" t="s">
        <v>125</v>
      </c>
      <c r="B10" s="290"/>
      <c r="C10" s="290"/>
      <c r="D10" s="291"/>
      <c r="E10" s="291"/>
      <c r="F10" s="292"/>
    </row>
    <row r="12" spans="1:8">
      <c r="A12" s="203"/>
      <c r="B12" s="204"/>
      <c r="C12" s="510" t="s">
        <v>107</v>
      </c>
      <c r="D12" s="511"/>
      <c r="E12" s="511"/>
      <c r="F12" s="512"/>
    </row>
    <row r="13" spans="1:8">
      <c r="A13" s="205" t="s">
        <v>47</v>
      </c>
      <c r="B13" s="205" t="s">
        <v>11</v>
      </c>
      <c r="C13" s="410" t="s">
        <v>103</v>
      </c>
      <c r="D13" s="408" t="s">
        <v>104</v>
      </c>
      <c r="E13" s="408" t="s">
        <v>105</v>
      </c>
      <c r="F13" s="408" t="s">
        <v>106</v>
      </c>
    </row>
    <row r="14" spans="1:8">
      <c r="A14" s="207" t="s">
        <v>186</v>
      </c>
      <c r="B14" s="207" t="s">
        <v>32</v>
      </c>
      <c r="C14" s="411">
        <v>0</v>
      </c>
      <c r="D14" s="411">
        <v>0</v>
      </c>
      <c r="E14" s="411">
        <v>0</v>
      </c>
      <c r="F14" s="411">
        <v>0</v>
      </c>
    </row>
    <row r="15" spans="1:8">
      <c r="A15" s="207" t="s">
        <v>185</v>
      </c>
      <c r="B15" s="207" t="s">
        <v>32</v>
      </c>
      <c r="C15" s="411">
        <v>0</v>
      </c>
      <c r="D15" s="411">
        <v>0</v>
      </c>
      <c r="E15" s="411">
        <v>0</v>
      </c>
      <c r="F15" s="411">
        <v>0</v>
      </c>
    </row>
    <row r="16" spans="1:8">
      <c r="A16" s="207" t="s">
        <v>69</v>
      </c>
      <c r="B16" s="207" t="s">
        <v>33</v>
      </c>
      <c r="C16" s="411">
        <v>0</v>
      </c>
      <c r="D16" s="411">
        <v>0</v>
      </c>
      <c r="E16" s="411">
        <v>0</v>
      </c>
      <c r="F16" s="411">
        <v>0</v>
      </c>
    </row>
    <row r="17" spans="1:6">
      <c r="A17" s="205" t="s">
        <v>70</v>
      </c>
      <c r="B17" s="246"/>
      <c r="C17" s="411">
        <v>0</v>
      </c>
      <c r="D17" s="411">
        <v>0</v>
      </c>
      <c r="E17" s="411">
        <v>0</v>
      </c>
      <c r="F17" s="411">
        <v>0</v>
      </c>
    </row>
    <row r="18" spans="1:6">
      <c r="A18" s="205" t="s">
        <v>7</v>
      </c>
      <c r="B18" s="246"/>
      <c r="C18" s="411">
        <v>0</v>
      </c>
      <c r="D18" s="411">
        <v>0</v>
      </c>
      <c r="E18" s="411">
        <v>0</v>
      </c>
      <c r="F18" s="411">
        <v>0</v>
      </c>
    </row>
    <row r="19" spans="1:6">
      <c r="A19" s="208"/>
      <c r="B19" s="208"/>
      <c r="C19" s="208"/>
      <c r="D19" s="196"/>
    </row>
    <row r="20" spans="1:6" ht="18.600000000000001">
      <c r="A20" s="289" t="s">
        <v>164</v>
      </c>
      <c r="B20" s="238"/>
      <c r="C20" s="238"/>
      <c r="D20" s="238"/>
      <c r="E20" s="238"/>
      <c r="F20" s="239"/>
    </row>
    <row r="21" spans="1:6">
      <c r="A21" s="209"/>
      <c r="B21" s="208"/>
      <c r="C21" s="208"/>
      <c r="D21" s="196"/>
      <c r="E21" s="510" t="s">
        <v>20</v>
      </c>
      <c r="F21" s="512"/>
    </row>
    <row r="22" spans="1:6">
      <c r="A22" s="205" t="s">
        <v>126</v>
      </c>
      <c r="B22" s="210" t="s">
        <v>11</v>
      </c>
      <c r="C22" s="211"/>
      <c r="D22" s="212"/>
      <c r="E22" s="206" t="s">
        <v>127</v>
      </c>
      <c r="F22" s="206" t="s">
        <v>128</v>
      </c>
    </row>
    <row r="23" spans="1:6">
      <c r="A23" s="207" t="s">
        <v>129</v>
      </c>
      <c r="B23" s="246" t="s">
        <v>17</v>
      </c>
      <c r="C23" s="247"/>
      <c r="D23" s="247"/>
      <c r="E23" s="411">
        <v>0</v>
      </c>
      <c r="F23" s="411">
        <v>0</v>
      </c>
    </row>
    <row r="24" spans="1:6">
      <c r="A24" s="207" t="s">
        <v>130</v>
      </c>
      <c r="B24" s="246" t="s">
        <v>17</v>
      </c>
      <c r="C24" s="248"/>
      <c r="D24" s="248"/>
      <c r="E24" s="411">
        <v>0</v>
      </c>
      <c r="F24" s="411">
        <v>0</v>
      </c>
    </row>
    <row r="25" spans="1:6">
      <c r="A25" s="207" t="s">
        <v>131</v>
      </c>
      <c r="B25" s="246" t="s">
        <v>17</v>
      </c>
      <c r="C25" s="248"/>
      <c r="D25" s="248"/>
      <c r="E25" s="411">
        <v>0</v>
      </c>
      <c r="F25" s="411">
        <v>0</v>
      </c>
    </row>
    <row r="26" spans="1:6">
      <c r="A26" s="207" t="s">
        <v>132</v>
      </c>
      <c r="B26" s="246" t="s">
        <v>17</v>
      </c>
      <c r="C26" s="249"/>
      <c r="D26" s="248"/>
      <c r="E26" s="411">
        <v>0</v>
      </c>
      <c r="F26" s="411">
        <v>0</v>
      </c>
    </row>
    <row r="27" spans="1:6">
      <c r="A27" s="207" t="s">
        <v>133</v>
      </c>
      <c r="B27" s="246" t="s">
        <v>17</v>
      </c>
      <c r="C27" s="249"/>
      <c r="D27" s="248"/>
      <c r="E27" s="411">
        <v>0</v>
      </c>
      <c r="F27" s="411">
        <v>0</v>
      </c>
    </row>
    <row r="29" spans="1:6" ht="18.600000000000001">
      <c r="A29" s="289" t="s">
        <v>134</v>
      </c>
      <c r="B29" s="238"/>
      <c r="C29" s="238"/>
      <c r="D29" s="238"/>
      <c r="E29" s="238"/>
      <c r="F29" s="239"/>
    </row>
    <row r="30" spans="1:6">
      <c r="A30" s="209"/>
      <c r="B30" s="208"/>
      <c r="C30" s="208"/>
      <c r="D30" s="196"/>
    </row>
    <row r="31" spans="1:6">
      <c r="A31" s="205" t="s">
        <v>47</v>
      </c>
      <c r="B31" s="203" t="s">
        <v>11</v>
      </c>
      <c r="C31" s="213"/>
      <c r="D31" s="213"/>
      <c r="E31" s="213"/>
      <c r="F31" s="214" t="s">
        <v>108</v>
      </c>
    </row>
    <row r="32" spans="1:6">
      <c r="A32" s="207" t="s">
        <v>135</v>
      </c>
      <c r="B32" s="215" t="s">
        <v>109</v>
      </c>
      <c r="C32" s="215"/>
      <c r="D32" s="215"/>
      <c r="E32" s="215"/>
      <c r="F32" s="411">
        <v>0</v>
      </c>
    </row>
    <row r="33" spans="1:6">
      <c r="A33" s="207" t="s">
        <v>135</v>
      </c>
      <c r="B33" s="215" t="s">
        <v>111</v>
      </c>
      <c r="C33" s="215"/>
      <c r="D33" s="215"/>
      <c r="E33" s="215"/>
      <c r="F33" s="411">
        <v>0</v>
      </c>
    </row>
    <row r="34" spans="1:6">
      <c r="A34" s="207" t="s">
        <v>135</v>
      </c>
      <c r="B34" s="215" t="s">
        <v>110</v>
      </c>
      <c r="C34" s="215"/>
      <c r="D34" s="215"/>
      <c r="E34" s="215"/>
      <c r="F34" s="411">
        <v>0</v>
      </c>
    </row>
    <row r="35" spans="1:6">
      <c r="A35" s="207" t="s">
        <v>123</v>
      </c>
      <c r="B35" s="215" t="s">
        <v>109</v>
      </c>
      <c r="C35" s="215"/>
      <c r="D35" s="215"/>
      <c r="E35" s="215"/>
      <c r="F35" s="411">
        <v>0</v>
      </c>
    </row>
    <row r="36" spans="1:6" s="12" customFormat="1">
      <c r="A36" s="208"/>
      <c r="B36" s="208"/>
      <c r="C36" s="37"/>
      <c r="D36" s="37"/>
      <c r="E36" s="37"/>
      <c r="F36" s="37"/>
    </row>
    <row r="37" spans="1:6" ht="15.6">
      <c r="A37" s="293" t="s">
        <v>1</v>
      </c>
      <c r="B37" s="196"/>
      <c r="C37" s="196"/>
      <c r="D37" s="208"/>
    </row>
    <row r="38" spans="1:6">
      <c r="A38" s="208" t="s">
        <v>36</v>
      </c>
    </row>
    <row r="39" spans="1:6">
      <c r="A39" s="208" t="s">
        <v>136</v>
      </c>
      <c r="B39" s="196"/>
      <c r="C39" s="196"/>
      <c r="D39" s="208"/>
    </row>
    <row r="40" spans="1:6" ht="12.75" customHeight="1">
      <c r="A40" s="208"/>
      <c r="B40" s="196"/>
      <c r="C40" s="196"/>
      <c r="D40" s="208"/>
    </row>
    <row r="41" spans="1:6">
      <c r="A41" s="208"/>
      <c r="B41" s="196"/>
      <c r="C41" s="196"/>
      <c r="D41" s="208"/>
    </row>
    <row r="42" spans="1:6">
      <c r="A42" s="208"/>
      <c r="B42" s="196"/>
      <c r="C42" s="196"/>
      <c r="D42" s="208"/>
    </row>
    <row r="44" spans="1:6">
      <c r="A44" s="216"/>
      <c r="B44" s="196"/>
      <c r="C44" s="196"/>
      <c r="D44" s="196"/>
    </row>
    <row r="45" spans="1:6">
      <c r="A45" s="216"/>
    </row>
    <row r="46" spans="1:6">
      <c r="A46" s="216"/>
    </row>
    <row r="47" spans="1:6">
      <c r="A47" s="216"/>
    </row>
  </sheetData>
  <mergeCells count="2">
    <mergeCell ref="C12:F12"/>
    <mergeCell ref="E21:F21"/>
  </mergeCells>
  <phoneticPr fontId="12"/>
  <conditionalFormatting sqref="E23:F27">
    <cfRule type="cellIs" dxfId="1" priority="3" stopIfTrue="1" operator="equal">
      <formula>"nvt"</formula>
    </cfRule>
  </conditionalFormatting>
  <conditionalFormatting sqref="F32:F3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X35"/>
  <sheetViews>
    <sheetView showGridLines="0" zoomScale="85" zoomScaleNormal="85" zoomScaleSheetLayoutView="50" zoomScalePageLayoutView="50" workbookViewId="0">
      <pane ySplit="10" topLeftCell="A11" activePane="bottomLeft" state="frozen"/>
      <selection pane="bottomLeft" activeCell="F5" sqref="F5"/>
    </sheetView>
  </sheetViews>
  <sheetFormatPr defaultColWidth="13.6640625" defaultRowHeight="13.2"/>
  <cols>
    <col min="1" max="1" width="46.109375" style="225" customWidth="1"/>
    <col min="2" max="2" width="36.21875" style="230" bestFit="1" customWidth="1"/>
    <col min="3" max="3" width="25.44140625" style="230" customWidth="1"/>
    <col min="4" max="4" width="12.109375" style="225" customWidth="1"/>
    <col min="5" max="5" width="11.6640625" style="231" customWidth="1"/>
    <col min="6" max="6" width="16.109375" style="232" customWidth="1"/>
    <col min="7" max="7" width="13.6640625" style="231" customWidth="1"/>
    <col min="8" max="8" width="11.6640625" style="231" customWidth="1"/>
    <col min="9" max="9" width="16.109375" style="232" customWidth="1"/>
    <col min="10" max="10" width="13.6640625" style="231" customWidth="1"/>
    <col min="11" max="11" width="15.88671875" style="231" customWidth="1"/>
    <col min="12" max="245" width="13.6640625" style="27"/>
    <col min="246" max="246" width="22.109375" style="27" customWidth="1"/>
    <col min="247" max="253" width="13.6640625" style="27" customWidth="1"/>
    <col min="254" max="254" width="15.88671875" style="27" customWidth="1"/>
    <col min="255" max="255" width="16.5546875" style="27" bestFit="1" customWidth="1"/>
    <col min="256" max="256" width="13.6640625" style="27" customWidth="1"/>
    <col min="257" max="257" width="17.109375" style="27" bestFit="1" customWidth="1"/>
    <col min="258" max="258" width="4" style="27" customWidth="1"/>
    <col min="259" max="259" width="13.6640625" style="27" customWidth="1"/>
    <col min="260" max="501" width="13.6640625" style="27"/>
    <col min="502" max="502" width="22.109375" style="27" customWidth="1"/>
    <col min="503" max="509" width="13.6640625" style="27" customWidth="1"/>
    <col min="510" max="510" width="15.88671875" style="27" customWidth="1"/>
    <col min="511" max="511" width="16.5546875" style="27" bestFit="1" customWidth="1"/>
    <col min="512" max="512" width="13.6640625" style="27" customWidth="1"/>
    <col min="513" max="513" width="17.109375" style="27" bestFit="1" customWidth="1"/>
    <col min="514" max="514" width="4" style="27" customWidth="1"/>
    <col min="515" max="515" width="13.6640625" style="27" customWidth="1"/>
    <col min="516" max="757" width="13.6640625" style="27"/>
    <col min="758" max="758" width="22.109375" style="27" customWidth="1"/>
    <col min="759" max="765" width="13.6640625" style="27" customWidth="1"/>
    <col min="766" max="766" width="15.88671875" style="27" customWidth="1"/>
    <col min="767" max="767" width="16.5546875" style="27" bestFit="1" customWidth="1"/>
    <col min="768" max="768" width="13.6640625" style="27" customWidth="1"/>
    <col min="769" max="769" width="17.109375" style="27" bestFit="1" customWidth="1"/>
    <col min="770" max="770" width="4" style="27" customWidth="1"/>
    <col min="771" max="771" width="13.6640625" style="27" customWidth="1"/>
    <col min="772" max="1013" width="13.6640625" style="27"/>
    <col min="1014" max="1014" width="22.109375" style="27" customWidth="1"/>
    <col min="1015" max="1021" width="13.6640625" style="27" customWidth="1"/>
    <col min="1022" max="1022" width="15.88671875" style="27" customWidth="1"/>
    <col min="1023" max="1023" width="16.5546875" style="27" bestFit="1" customWidth="1"/>
    <col min="1024" max="1024" width="13.6640625" style="27" customWidth="1"/>
    <col min="1025" max="1025" width="17.109375" style="27" bestFit="1" customWidth="1"/>
    <col min="1026" max="1026" width="4" style="27" customWidth="1"/>
    <col min="1027" max="1027" width="13.6640625" style="27" customWidth="1"/>
    <col min="1028" max="1269" width="13.6640625" style="27"/>
    <col min="1270" max="1270" width="22.109375" style="27" customWidth="1"/>
    <col min="1271" max="1277" width="13.6640625" style="27" customWidth="1"/>
    <col min="1278" max="1278" width="15.88671875" style="27" customWidth="1"/>
    <col min="1279" max="1279" width="16.5546875" style="27" bestFit="1" customWidth="1"/>
    <col min="1280" max="1280" width="13.6640625" style="27" customWidth="1"/>
    <col min="1281" max="1281" width="17.109375" style="27" bestFit="1" customWidth="1"/>
    <col min="1282" max="1282" width="4" style="27" customWidth="1"/>
    <col min="1283" max="1283" width="13.6640625" style="27" customWidth="1"/>
    <col min="1284" max="1525" width="13.6640625" style="27"/>
    <col min="1526" max="1526" width="22.109375" style="27" customWidth="1"/>
    <col min="1527" max="1533" width="13.6640625" style="27" customWidth="1"/>
    <col min="1534" max="1534" width="15.88671875" style="27" customWidth="1"/>
    <col min="1535" max="1535" width="16.5546875" style="27" bestFit="1" customWidth="1"/>
    <col min="1536" max="1536" width="13.6640625" style="27" customWidth="1"/>
    <col min="1537" max="1537" width="17.109375" style="27" bestFit="1" customWidth="1"/>
    <col min="1538" max="1538" width="4" style="27" customWidth="1"/>
    <col min="1539" max="1539" width="13.6640625" style="27" customWidth="1"/>
    <col min="1540" max="1781" width="13.6640625" style="27"/>
    <col min="1782" max="1782" width="22.109375" style="27" customWidth="1"/>
    <col min="1783" max="1789" width="13.6640625" style="27" customWidth="1"/>
    <col min="1790" max="1790" width="15.88671875" style="27" customWidth="1"/>
    <col min="1791" max="1791" width="16.5546875" style="27" bestFit="1" customWidth="1"/>
    <col min="1792" max="1792" width="13.6640625" style="27" customWidth="1"/>
    <col min="1793" max="1793" width="17.109375" style="27" bestFit="1" customWidth="1"/>
    <col min="1794" max="1794" width="4" style="27" customWidth="1"/>
    <col min="1795" max="1795" width="13.6640625" style="27" customWidth="1"/>
    <col min="1796" max="2037" width="13.6640625" style="27"/>
    <col min="2038" max="2038" width="22.109375" style="27" customWidth="1"/>
    <col min="2039" max="2045" width="13.6640625" style="27" customWidth="1"/>
    <col min="2046" max="2046" width="15.88671875" style="27" customWidth="1"/>
    <col min="2047" max="2047" width="16.5546875" style="27" bestFit="1" customWidth="1"/>
    <col min="2048" max="2048" width="13.6640625" style="27" customWidth="1"/>
    <col min="2049" max="2049" width="17.109375" style="27" bestFit="1" customWidth="1"/>
    <col min="2050" max="2050" width="4" style="27" customWidth="1"/>
    <col min="2051" max="2051" width="13.6640625" style="27" customWidth="1"/>
    <col min="2052" max="2293" width="13.6640625" style="27"/>
    <col min="2294" max="2294" width="22.109375" style="27" customWidth="1"/>
    <col min="2295" max="2301" width="13.6640625" style="27" customWidth="1"/>
    <col min="2302" max="2302" width="15.88671875" style="27" customWidth="1"/>
    <col min="2303" max="2303" width="16.5546875" style="27" bestFit="1" customWidth="1"/>
    <col min="2304" max="2304" width="13.6640625" style="27" customWidth="1"/>
    <col min="2305" max="2305" width="17.109375" style="27" bestFit="1" customWidth="1"/>
    <col min="2306" max="2306" width="4" style="27" customWidth="1"/>
    <col min="2307" max="2307" width="13.6640625" style="27" customWidth="1"/>
    <col min="2308" max="2549" width="13.6640625" style="27"/>
    <col min="2550" max="2550" width="22.109375" style="27" customWidth="1"/>
    <col min="2551" max="2557" width="13.6640625" style="27" customWidth="1"/>
    <col min="2558" max="2558" width="15.88671875" style="27" customWidth="1"/>
    <col min="2559" max="2559" width="16.5546875" style="27" bestFit="1" customWidth="1"/>
    <col min="2560" max="2560" width="13.6640625" style="27" customWidth="1"/>
    <col min="2561" max="2561" width="17.109375" style="27" bestFit="1" customWidth="1"/>
    <col min="2562" max="2562" width="4" style="27" customWidth="1"/>
    <col min="2563" max="2563" width="13.6640625" style="27" customWidth="1"/>
    <col min="2564" max="2805" width="13.6640625" style="27"/>
    <col min="2806" max="2806" width="22.109375" style="27" customWidth="1"/>
    <col min="2807" max="2813" width="13.6640625" style="27" customWidth="1"/>
    <col min="2814" max="2814" width="15.88671875" style="27" customWidth="1"/>
    <col min="2815" max="2815" width="16.5546875" style="27" bestFit="1" customWidth="1"/>
    <col min="2816" max="2816" width="13.6640625" style="27" customWidth="1"/>
    <col min="2817" max="2817" width="17.109375" style="27" bestFit="1" customWidth="1"/>
    <col min="2818" max="2818" width="4" style="27" customWidth="1"/>
    <col min="2819" max="2819" width="13.6640625" style="27" customWidth="1"/>
    <col min="2820" max="3061" width="13.6640625" style="27"/>
    <col min="3062" max="3062" width="22.109375" style="27" customWidth="1"/>
    <col min="3063" max="3069" width="13.6640625" style="27" customWidth="1"/>
    <col min="3070" max="3070" width="15.88671875" style="27" customWidth="1"/>
    <col min="3071" max="3071" width="16.5546875" style="27" bestFit="1" customWidth="1"/>
    <col min="3072" max="3072" width="13.6640625" style="27" customWidth="1"/>
    <col min="3073" max="3073" width="17.109375" style="27" bestFit="1" customWidth="1"/>
    <col min="3074" max="3074" width="4" style="27" customWidth="1"/>
    <col min="3075" max="3075" width="13.6640625" style="27" customWidth="1"/>
    <col min="3076" max="3317" width="13.6640625" style="27"/>
    <col min="3318" max="3318" width="22.109375" style="27" customWidth="1"/>
    <col min="3319" max="3325" width="13.6640625" style="27" customWidth="1"/>
    <col min="3326" max="3326" width="15.88671875" style="27" customWidth="1"/>
    <col min="3327" max="3327" width="16.5546875" style="27" bestFit="1" customWidth="1"/>
    <col min="3328" max="3328" width="13.6640625" style="27" customWidth="1"/>
    <col min="3329" max="3329" width="17.109375" style="27" bestFit="1" customWidth="1"/>
    <col min="3330" max="3330" width="4" style="27" customWidth="1"/>
    <col min="3331" max="3331" width="13.6640625" style="27" customWidth="1"/>
    <col min="3332" max="3573" width="13.6640625" style="27"/>
    <col min="3574" max="3574" width="22.109375" style="27" customWidth="1"/>
    <col min="3575" max="3581" width="13.6640625" style="27" customWidth="1"/>
    <col min="3582" max="3582" width="15.88671875" style="27" customWidth="1"/>
    <col min="3583" max="3583" width="16.5546875" style="27" bestFit="1" customWidth="1"/>
    <col min="3584" max="3584" width="13.6640625" style="27" customWidth="1"/>
    <col min="3585" max="3585" width="17.109375" style="27" bestFit="1" customWidth="1"/>
    <col min="3586" max="3586" width="4" style="27" customWidth="1"/>
    <col min="3587" max="3587" width="13.6640625" style="27" customWidth="1"/>
    <col min="3588" max="3829" width="13.6640625" style="27"/>
    <col min="3830" max="3830" width="22.109375" style="27" customWidth="1"/>
    <col min="3831" max="3837" width="13.6640625" style="27" customWidth="1"/>
    <col min="3838" max="3838" width="15.88671875" style="27" customWidth="1"/>
    <col min="3839" max="3839" width="16.5546875" style="27" bestFit="1" customWidth="1"/>
    <col min="3840" max="3840" width="13.6640625" style="27" customWidth="1"/>
    <col min="3841" max="3841" width="17.109375" style="27" bestFit="1" customWidth="1"/>
    <col min="3842" max="3842" width="4" style="27" customWidth="1"/>
    <col min="3843" max="3843" width="13.6640625" style="27" customWidth="1"/>
    <col min="3844" max="4085" width="13.6640625" style="27"/>
    <col min="4086" max="4086" width="22.109375" style="27" customWidth="1"/>
    <col min="4087" max="4093" width="13.6640625" style="27" customWidth="1"/>
    <col min="4094" max="4094" width="15.88671875" style="27" customWidth="1"/>
    <col min="4095" max="4095" width="16.5546875" style="27" bestFit="1" customWidth="1"/>
    <col min="4096" max="4096" width="13.6640625" style="27" customWidth="1"/>
    <col min="4097" max="4097" width="17.109375" style="27" bestFit="1" customWidth="1"/>
    <col min="4098" max="4098" width="4" style="27" customWidth="1"/>
    <col min="4099" max="4099" width="13.6640625" style="27" customWidth="1"/>
    <col min="4100" max="4341" width="13.6640625" style="27"/>
    <col min="4342" max="4342" width="22.109375" style="27" customWidth="1"/>
    <col min="4343" max="4349" width="13.6640625" style="27" customWidth="1"/>
    <col min="4350" max="4350" width="15.88671875" style="27" customWidth="1"/>
    <col min="4351" max="4351" width="16.5546875" style="27" bestFit="1" customWidth="1"/>
    <col min="4352" max="4352" width="13.6640625" style="27" customWidth="1"/>
    <col min="4353" max="4353" width="17.109375" style="27" bestFit="1" customWidth="1"/>
    <col min="4354" max="4354" width="4" style="27" customWidth="1"/>
    <col min="4355" max="4355" width="13.6640625" style="27" customWidth="1"/>
    <col min="4356" max="4597" width="13.6640625" style="27"/>
    <col min="4598" max="4598" width="22.109375" style="27" customWidth="1"/>
    <col min="4599" max="4605" width="13.6640625" style="27" customWidth="1"/>
    <col min="4606" max="4606" width="15.88671875" style="27" customWidth="1"/>
    <col min="4607" max="4607" width="16.5546875" style="27" bestFit="1" customWidth="1"/>
    <col min="4608" max="4608" width="13.6640625" style="27" customWidth="1"/>
    <col min="4609" max="4609" width="17.109375" style="27" bestFit="1" customWidth="1"/>
    <col min="4610" max="4610" width="4" style="27" customWidth="1"/>
    <col min="4611" max="4611" width="13.6640625" style="27" customWidth="1"/>
    <col min="4612" max="4853" width="13.6640625" style="27"/>
    <col min="4854" max="4854" width="22.109375" style="27" customWidth="1"/>
    <col min="4855" max="4861" width="13.6640625" style="27" customWidth="1"/>
    <col min="4862" max="4862" width="15.88671875" style="27" customWidth="1"/>
    <col min="4863" max="4863" width="16.5546875" style="27" bestFit="1" customWidth="1"/>
    <col min="4864" max="4864" width="13.6640625" style="27" customWidth="1"/>
    <col min="4865" max="4865" width="17.109375" style="27" bestFit="1" customWidth="1"/>
    <col min="4866" max="4866" width="4" style="27" customWidth="1"/>
    <col min="4867" max="4867" width="13.6640625" style="27" customWidth="1"/>
    <col min="4868" max="5109" width="13.6640625" style="27"/>
    <col min="5110" max="5110" width="22.109375" style="27" customWidth="1"/>
    <col min="5111" max="5117" width="13.6640625" style="27" customWidth="1"/>
    <col min="5118" max="5118" width="15.88671875" style="27" customWidth="1"/>
    <col min="5119" max="5119" width="16.5546875" style="27" bestFit="1" customWidth="1"/>
    <col min="5120" max="5120" width="13.6640625" style="27" customWidth="1"/>
    <col min="5121" max="5121" width="17.109375" style="27" bestFit="1" customWidth="1"/>
    <col min="5122" max="5122" width="4" style="27" customWidth="1"/>
    <col min="5123" max="5123" width="13.6640625" style="27" customWidth="1"/>
    <col min="5124" max="5365" width="13.6640625" style="27"/>
    <col min="5366" max="5366" width="22.109375" style="27" customWidth="1"/>
    <col min="5367" max="5373" width="13.6640625" style="27" customWidth="1"/>
    <col min="5374" max="5374" width="15.88671875" style="27" customWidth="1"/>
    <col min="5375" max="5375" width="16.5546875" style="27" bestFit="1" customWidth="1"/>
    <col min="5376" max="5376" width="13.6640625" style="27" customWidth="1"/>
    <col min="5377" max="5377" width="17.109375" style="27" bestFit="1" customWidth="1"/>
    <col min="5378" max="5378" width="4" style="27" customWidth="1"/>
    <col min="5379" max="5379" width="13.6640625" style="27" customWidth="1"/>
    <col min="5380" max="5621" width="13.6640625" style="27"/>
    <col min="5622" max="5622" width="22.109375" style="27" customWidth="1"/>
    <col min="5623" max="5629" width="13.6640625" style="27" customWidth="1"/>
    <col min="5630" max="5630" width="15.88671875" style="27" customWidth="1"/>
    <col min="5631" max="5631" width="16.5546875" style="27" bestFit="1" customWidth="1"/>
    <col min="5632" max="5632" width="13.6640625" style="27" customWidth="1"/>
    <col min="5633" max="5633" width="17.109375" style="27" bestFit="1" customWidth="1"/>
    <col min="5634" max="5634" width="4" style="27" customWidth="1"/>
    <col min="5635" max="5635" width="13.6640625" style="27" customWidth="1"/>
    <col min="5636" max="5877" width="13.6640625" style="27"/>
    <col min="5878" max="5878" width="22.109375" style="27" customWidth="1"/>
    <col min="5879" max="5885" width="13.6640625" style="27" customWidth="1"/>
    <col min="5886" max="5886" width="15.88671875" style="27" customWidth="1"/>
    <col min="5887" max="5887" width="16.5546875" style="27" bestFit="1" customWidth="1"/>
    <col min="5888" max="5888" width="13.6640625" style="27" customWidth="1"/>
    <col min="5889" max="5889" width="17.109375" style="27" bestFit="1" customWidth="1"/>
    <col min="5890" max="5890" width="4" style="27" customWidth="1"/>
    <col min="5891" max="5891" width="13.6640625" style="27" customWidth="1"/>
    <col min="5892" max="6133" width="13.6640625" style="27"/>
    <col min="6134" max="6134" width="22.109375" style="27" customWidth="1"/>
    <col min="6135" max="6141" width="13.6640625" style="27" customWidth="1"/>
    <col min="6142" max="6142" width="15.88671875" style="27" customWidth="1"/>
    <col min="6143" max="6143" width="16.5546875" style="27" bestFit="1" customWidth="1"/>
    <col min="6144" max="6144" width="13.6640625" style="27" customWidth="1"/>
    <col min="6145" max="6145" width="17.109375" style="27" bestFit="1" customWidth="1"/>
    <col min="6146" max="6146" width="4" style="27" customWidth="1"/>
    <col min="6147" max="6147" width="13.6640625" style="27" customWidth="1"/>
    <col min="6148" max="6389" width="13.6640625" style="27"/>
    <col min="6390" max="6390" width="22.109375" style="27" customWidth="1"/>
    <col min="6391" max="6397" width="13.6640625" style="27" customWidth="1"/>
    <col min="6398" max="6398" width="15.88671875" style="27" customWidth="1"/>
    <col min="6399" max="6399" width="16.5546875" style="27" bestFit="1" customWidth="1"/>
    <col min="6400" max="6400" width="13.6640625" style="27" customWidth="1"/>
    <col min="6401" max="6401" width="17.109375" style="27" bestFit="1" customWidth="1"/>
    <col min="6402" max="6402" width="4" style="27" customWidth="1"/>
    <col min="6403" max="6403" width="13.6640625" style="27" customWidth="1"/>
    <col min="6404" max="6645" width="13.6640625" style="27"/>
    <col min="6646" max="6646" width="22.109375" style="27" customWidth="1"/>
    <col min="6647" max="6653" width="13.6640625" style="27" customWidth="1"/>
    <col min="6654" max="6654" width="15.88671875" style="27" customWidth="1"/>
    <col min="6655" max="6655" width="16.5546875" style="27" bestFit="1" customWidth="1"/>
    <col min="6656" max="6656" width="13.6640625" style="27" customWidth="1"/>
    <col min="6657" max="6657" width="17.109375" style="27" bestFit="1" customWidth="1"/>
    <col min="6658" max="6658" width="4" style="27" customWidth="1"/>
    <col min="6659" max="6659" width="13.6640625" style="27" customWidth="1"/>
    <col min="6660" max="6901" width="13.6640625" style="27"/>
    <col min="6902" max="6902" width="22.109375" style="27" customWidth="1"/>
    <col min="6903" max="6909" width="13.6640625" style="27" customWidth="1"/>
    <col min="6910" max="6910" width="15.88671875" style="27" customWidth="1"/>
    <col min="6911" max="6911" width="16.5546875" style="27" bestFit="1" customWidth="1"/>
    <col min="6912" max="6912" width="13.6640625" style="27" customWidth="1"/>
    <col min="6913" max="6913" width="17.109375" style="27" bestFit="1" customWidth="1"/>
    <col min="6914" max="6914" width="4" style="27" customWidth="1"/>
    <col min="6915" max="6915" width="13.6640625" style="27" customWidth="1"/>
    <col min="6916" max="7157" width="13.6640625" style="27"/>
    <col min="7158" max="7158" width="22.109375" style="27" customWidth="1"/>
    <col min="7159" max="7165" width="13.6640625" style="27" customWidth="1"/>
    <col min="7166" max="7166" width="15.88671875" style="27" customWidth="1"/>
    <col min="7167" max="7167" width="16.5546875" style="27" bestFit="1" customWidth="1"/>
    <col min="7168" max="7168" width="13.6640625" style="27" customWidth="1"/>
    <col min="7169" max="7169" width="17.109375" style="27" bestFit="1" customWidth="1"/>
    <col min="7170" max="7170" width="4" style="27" customWidth="1"/>
    <col min="7171" max="7171" width="13.6640625" style="27" customWidth="1"/>
    <col min="7172" max="7413" width="13.6640625" style="27"/>
    <col min="7414" max="7414" width="22.109375" style="27" customWidth="1"/>
    <col min="7415" max="7421" width="13.6640625" style="27" customWidth="1"/>
    <col min="7422" max="7422" width="15.88671875" style="27" customWidth="1"/>
    <col min="7423" max="7423" width="16.5546875" style="27" bestFit="1" customWidth="1"/>
    <col min="7424" max="7424" width="13.6640625" style="27" customWidth="1"/>
    <col min="7425" max="7425" width="17.109375" style="27" bestFit="1" customWidth="1"/>
    <col min="7426" max="7426" width="4" style="27" customWidth="1"/>
    <col min="7427" max="7427" width="13.6640625" style="27" customWidth="1"/>
    <col min="7428" max="7669" width="13.6640625" style="27"/>
    <col min="7670" max="7670" width="22.109375" style="27" customWidth="1"/>
    <col min="7671" max="7677" width="13.6640625" style="27" customWidth="1"/>
    <col min="7678" max="7678" width="15.88671875" style="27" customWidth="1"/>
    <col min="7679" max="7679" width="16.5546875" style="27" bestFit="1" customWidth="1"/>
    <col min="7680" max="7680" width="13.6640625" style="27" customWidth="1"/>
    <col min="7681" max="7681" width="17.109375" style="27" bestFit="1" customWidth="1"/>
    <col min="7682" max="7682" width="4" style="27" customWidth="1"/>
    <col min="7683" max="7683" width="13.6640625" style="27" customWidth="1"/>
    <col min="7684" max="7925" width="13.6640625" style="27"/>
    <col min="7926" max="7926" width="22.109375" style="27" customWidth="1"/>
    <col min="7927" max="7933" width="13.6640625" style="27" customWidth="1"/>
    <col min="7934" max="7934" width="15.88671875" style="27" customWidth="1"/>
    <col min="7935" max="7935" width="16.5546875" style="27" bestFit="1" customWidth="1"/>
    <col min="7936" max="7936" width="13.6640625" style="27" customWidth="1"/>
    <col min="7937" max="7937" width="17.109375" style="27" bestFit="1" customWidth="1"/>
    <col min="7938" max="7938" width="4" style="27" customWidth="1"/>
    <col min="7939" max="7939" width="13.6640625" style="27" customWidth="1"/>
    <col min="7940" max="8181" width="13.6640625" style="27"/>
    <col min="8182" max="8182" width="22.109375" style="27" customWidth="1"/>
    <col min="8183" max="8189" width="13.6640625" style="27" customWidth="1"/>
    <col min="8190" max="8190" width="15.88671875" style="27" customWidth="1"/>
    <col min="8191" max="8191" width="16.5546875" style="27" bestFit="1" customWidth="1"/>
    <col min="8192" max="8192" width="13.6640625" style="27" customWidth="1"/>
    <col min="8193" max="8193" width="17.109375" style="27" bestFit="1" customWidth="1"/>
    <col min="8194" max="8194" width="4" style="27" customWidth="1"/>
    <col min="8195" max="8195" width="13.6640625" style="27" customWidth="1"/>
    <col min="8196" max="8437" width="13.6640625" style="27"/>
    <col min="8438" max="8438" width="22.109375" style="27" customWidth="1"/>
    <col min="8439" max="8445" width="13.6640625" style="27" customWidth="1"/>
    <col min="8446" max="8446" width="15.88671875" style="27" customWidth="1"/>
    <col min="8447" max="8447" width="16.5546875" style="27" bestFit="1" customWidth="1"/>
    <col min="8448" max="8448" width="13.6640625" style="27" customWidth="1"/>
    <col min="8449" max="8449" width="17.109375" style="27" bestFit="1" customWidth="1"/>
    <col min="8450" max="8450" width="4" style="27" customWidth="1"/>
    <col min="8451" max="8451" width="13.6640625" style="27" customWidth="1"/>
    <col min="8452" max="8693" width="13.6640625" style="27"/>
    <col min="8694" max="8694" width="22.109375" style="27" customWidth="1"/>
    <col min="8695" max="8701" width="13.6640625" style="27" customWidth="1"/>
    <col min="8702" max="8702" width="15.88671875" style="27" customWidth="1"/>
    <col min="8703" max="8703" width="16.5546875" style="27" bestFit="1" customWidth="1"/>
    <col min="8704" max="8704" width="13.6640625" style="27" customWidth="1"/>
    <col min="8705" max="8705" width="17.109375" style="27" bestFit="1" customWidth="1"/>
    <col min="8706" max="8706" width="4" style="27" customWidth="1"/>
    <col min="8707" max="8707" width="13.6640625" style="27" customWidth="1"/>
    <col min="8708" max="8949" width="13.6640625" style="27"/>
    <col min="8950" max="8950" width="22.109375" style="27" customWidth="1"/>
    <col min="8951" max="8957" width="13.6640625" style="27" customWidth="1"/>
    <col min="8958" max="8958" width="15.88671875" style="27" customWidth="1"/>
    <col min="8959" max="8959" width="16.5546875" style="27" bestFit="1" customWidth="1"/>
    <col min="8960" max="8960" width="13.6640625" style="27" customWidth="1"/>
    <col min="8961" max="8961" width="17.109375" style="27" bestFit="1" customWidth="1"/>
    <col min="8962" max="8962" width="4" style="27" customWidth="1"/>
    <col min="8963" max="8963" width="13.6640625" style="27" customWidth="1"/>
    <col min="8964" max="9205" width="13.6640625" style="27"/>
    <col min="9206" max="9206" width="22.109375" style="27" customWidth="1"/>
    <col min="9207" max="9213" width="13.6640625" style="27" customWidth="1"/>
    <col min="9214" max="9214" width="15.88671875" style="27" customWidth="1"/>
    <col min="9215" max="9215" width="16.5546875" style="27" bestFit="1" customWidth="1"/>
    <col min="9216" max="9216" width="13.6640625" style="27" customWidth="1"/>
    <col min="9217" max="9217" width="17.109375" style="27" bestFit="1" customWidth="1"/>
    <col min="9218" max="9218" width="4" style="27" customWidth="1"/>
    <col min="9219" max="9219" width="13.6640625" style="27" customWidth="1"/>
    <col min="9220" max="9461" width="13.6640625" style="27"/>
    <col min="9462" max="9462" width="22.109375" style="27" customWidth="1"/>
    <col min="9463" max="9469" width="13.6640625" style="27" customWidth="1"/>
    <col min="9470" max="9470" width="15.88671875" style="27" customWidth="1"/>
    <col min="9471" max="9471" width="16.5546875" style="27" bestFit="1" customWidth="1"/>
    <col min="9472" max="9472" width="13.6640625" style="27" customWidth="1"/>
    <col min="9473" max="9473" width="17.109375" style="27" bestFit="1" customWidth="1"/>
    <col min="9474" max="9474" width="4" style="27" customWidth="1"/>
    <col min="9475" max="9475" width="13.6640625" style="27" customWidth="1"/>
    <col min="9476" max="9717" width="13.6640625" style="27"/>
    <col min="9718" max="9718" width="22.109375" style="27" customWidth="1"/>
    <col min="9719" max="9725" width="13.6640625" style="27" customWidth="1"/>
    <col min="9726" max="9726" width="15.88671875" style="27" customWidth="1"/>
    <col min="9727" max="9727" width="16.5546875" style="27" bestFit="1" customWidth="1"/>
    <col min="9728" max="9728" width="13.6640625" style="27" customWidth="1"/>
    <col min="9729" max="9729" width="17.109375" style="27" bestFit="1" customWidth="1"/>
    <col min="9730" max="9730" width="4" style="27" customWidth="1"/>
    <col min="9731" max="9731" width="13.6640625" style="27" customWidth="1"/>
    <col min="9732" max="9973" width="13.6640625" style="27"/>
    <col min="9974" max="9974" width="22.109375" style="27" customWidth="1"/>
    <col min="9975" max="9981" width="13.6640625" style="27" customWidth="1"/>
    <col min="9982" max="9982" width="15.88671875" style="27" customWidth="1"/>
    <col min="9983" max="9983" width="16.5546875" style="27" bestFit="1" customWidth="1"/>
    <col min="9984" max="9984" width="13.6640625" style="27" customWidth="1"/>
    <col min="9985" max="9985" width="17.109375" style="27" bestFit="1" customWidth="1"/>
    <col min="9986" max="9986" width="4" style="27" customWidth="1"/>
    <col min="9987" max="9987" width="13.6640625" style="27" customWidth="1"/>
    <col min="9988" max="10229" width="13.6640625" style="27"/>
    <col min="10230" max="10230" width="22.109375" style="27" customWidth="1"/>
    <col min="10231" max="10237" width="13.6640625" style="27" customWidth="1"/>
    <col min="10238" max="10238" width="15.88671875" style="27" customWidth="1"/>
    <col min="10239" max="10239" width="16.5546875" style="27" bestFit="1" customWidth="1"/>
    <col min="10240" max="10240" width="13.6640625" style="27" customWidth="1"/>
    <col min="10241" max="10241" width="17.109375" style="27" bestFit="1" customWidth="1"/>
    <col min="10242" max="10242" width="4" style="27" customWidth="1"/>
    <col min="10243" max="10243" width="13.6640625" style="27" customWidth="1"/>
    <col min="10244" max="10485" width="13.6640625" style="27"/>
    <col min="10486" max="10486" width="22.109375" style="27" customWidth="1"/>
    <col min="10487" max="10493" width="13.6640625" style="27" customWidth="1"/>
    <col min="10494" max="10494" width="15.88671875" style="27" customWidth="1"/>
    <col min="10495" max="10495" width="16.5546875" style="27" bestFit="1" customWidth="1"/>
    <col min="10496" max="10496" width="13.6640625" style="27" customWidth="1"/>
    <col min="10497" max="10497" width="17.109375" style="27" bestFit="1" customWidth="1"/>
    <col min="10498" max="10498" width="4" style="27" customWidth="1"/>
    <col min="10499" max="10499" width="13.6640625" style="27" customWidth="1"/>
    <col min="10500" max="10741" width="13.6640625" style="27"/>
    <col min="10742" max="10742" width="22.109375" style="27" customWidth="1"/>
    <col min="10743" max="10749" width="13.6640625" style="27" customWidth="1"/>
    <col min="10750" max="10750" width="15.88671875" style="27" customWidth="1"/>
    <col min="10751" max="10751" width="16.5546875" style="27" bestFit="1" customWidth="1"/>
    <col min="10752" max="10752" width="13.6640625" style="27" customWidth="1"/>
    <col min="10753" max="10753" width="17.109375" style="27" bestFit="1" customWidth="1"/>
    <col min="10754" max="10754" width="4" style="27" customWidth="1"/>
    <col min="10755" max="10755" width="13.6640625" style="27" customWidth="1"/>
    <col min="10756" max="10997" width="13.6640625" style="27"/>
    <col min="10998" max="10998" width="22.109375" style="27" customWidth="1"/>
    <col min="10999" max="11005" width="13.6640625" style="27" customWidth="1"/>
    <col min="11006" max="11006" width="15.88671875" style="27" customWidth="1"/>
    <col min="11007" max="11007" width="16.5546875" style="27" bestFit="1" customWidth="1"/>
    <col min="11008" max="11008" width="13.6640625" style="27" customWidth="1"/>
    <col min="11009" max="11009" width="17.109375" style="27" bestFit="1" customWidth="1"/>
    <col min="11010" max="11010" width="4" style="27" customWidth="1"/>
    <col min="11011" max="11011" width="13.6640625" style="27" customWidth="1"/>
    <col min="11012" max="11253" width="13.6640625" style="27"/>
    <col min="11254" max="11254" width="22.109375" style="27" customWidth="1"/>
    <col min="11255" max="11261" width="13.6640625" style="27" customWidth="1"/>
    <col min="11262" max="11262" width="15.88671875" style="27" customWidth="1"/>
    <col min="11263" max="11263" width="16.5546875" style="27" bestFit="1" customWidth="1"/>
    <col min="11264" max="11264" width="13.6640625" style="27" customWidth="1"/>
    <col min="11265" max="11265" width="17.109375" style="27" bestFit="1" customWidth="1"/>
    <col min="11266" max="11266" width="4" style="27" customWidth="1"/>
    <col min="11267" max="11267" width="13.6640625" style="27" customWidth="1"/>
    <col min="11268" max="11509" width="13.6640625" style="27"/>
    <col min="11510" max="11510" width="22.109375" style="27" customWidth="1"/>
    <col min="11511" max="11517" width="13.6640625" style="27" customWidth="1"/>
    <col min="11518" max="11518" width="15.88671875" style="27" customWidth="1"/>
    <col min="11519" max="11519" width="16.5546875" style="27" bestFit="1" customWidth="1"/>
    <col min="11520" max="11520" width="13.6640625" style="27" customWidth="1"/>
    <col min="11521" max="11521" width="17.109375" style="27" bestFit="1" customWidth="1"/>
    <col min="11522" max="11522" width="4" style="27" customWidth="1"/>
    <col min="11523" max="11523" width="13.6640625" style="27" customWidth="1"/>
    <col min="11524" max="11765" width="13.6640625" style="27"/>
    <col min="11766" max="11766" width="22.109375" style="27" customWidth="1"/>
    <col min="11767" max="11773" width="13.6640625" style="27" customWidth="1"/>
    <col min="11774" max="11774" width="15.88671875" style="27" customWidth="1"/>
    <col min="11775" max="11775" width="16.5546875" style="27" bestFit="1" customWidth="1"/>
    <col min="11776" max="11776" width="13.6640625" style="27" customWidth="1"/>
    <col min="11777" max="11777" width="17.109375" style="27" bestFit="1" customWidth="1"/>
    <col min="11778" max="11778" width="4" style="27" customWidth="1"/>
    <col min="11779" max="11779" width="13.6640625" style="27" customWidth="1"/>
    <col min="11780" max="12021" width="13.6640625" style="27"/>
    <col min="12022" max="12022" width="22.109375" style="27" customWidth="1"/>
    <col min="12023" max="12029" width="13.6640625" style="27" customWidth="1"/>
    <col min="12030" max="12030" width="15.88671875" style="27" customWidth="1"/>
    <col min="12031" max="12031" width="16.5546875" style="27" bestFit="1" customWidth="1"/>
    <col min="12032" max="12032" width="13.6640625" style="27" customWidth="1"/>
    <col min="12033" max="12033" width="17.109375" style="27" bestFit="1" customWidth="1"/>
    <col min="12034" max="12034" width="4" style="27" customWidth="1"/>
    <col min="12035" max="12035" width="13.6640625" style="27" customWidth="1"/>
    <col min="12036" max="12277" width="13.6640625" style="27"/>
    <col min="12278" max="12278" width="22.109375" style="27" customWidth="1"/>
    <col min="12279" max="12285" width="13.6640625" style="27" customWidth="1"/>
    <col min="12286" max="12286" width="15.88671875" style="27" customWidth="1"/>
    <col min="12287" max="12287" width="16.5546875" style="27" bestFit="1" customWidth="1"/>
    <col min="12288" max="12288" width="13.6640625" style="27" customWidth="1"/>
    <col min="12289" max="12289" width="17.109375" style="27" bestFit="1" customWidth="1"/>
    <col min="12290" max="12290" width="4" style="27" customWidth="1"/>
    <col min="12291" max="12291" width="13.6640625" style="27" customWidth="1"/>
    <col min="12292" max="12533" width="13.6640625" style="27"/>
    <col min="12534" max="12534" width="22.109375" style="27" customWidth="1"/>
    <col min="12535" max="12541" width="13.6640625" style="27" customWidth="1"/>
    <col min="12542" max="12542" width="15.88671875" style="27" customWidth="1"/>
    <col min="12543" max="12543" width="16.5546875" style="27" bestFit="1" customWidth="1"/>
    <col min="12544" max="12544" width="13.6640625" style="27" customWidth="1"/>
    <col min="12545" max="12545" width="17.109375" style="27" bestFit="1" customWidth="1"/>
    <col min="12546" max="12546" width="4" style="27" customWidth="1"/>
    <col min="12547" max="12547" width="13.6640625" style="27" customWidth="1"/>
    <col min="12548" max="12789" width="13.6640625" style="27"/>
    <col min="12790" max="12790" width="22.109375" style="27" customWidth="1"/>
    <col min="12791" max="12797" width="13.6640625" style="27" customWidth="1"/>
    <col min="12798" max="12798" width="15.88671875" style="27" customWidth="1"/>
    <col min="12799" max="12799" width="16.5546875" style="27" bestFit="1" customWidth="1"/>
    <col min="12800" max="12800" width="13.6640625" style="27" customWidth="1"/>
    <col min="12801" max="12801" width="17.109375" style="27" bestFit="1" customWidth="1"/>
    <col min="12802" max="12802" width="4" style="27" customWidth="1"/>
    <col min="12803" max="12803" width="13.6640625" style="27" customWidth="1"/>
    <col min="12804" max="13045" width="13.6640625" style="27"/>
    <col min="13046" max="13046" width="22.109375" style="27" customWidth="1"/>
    <col min="13047" max="13053" width="13.6640625" style="27" customWidth="1"/>
    <col min="13054" max="13054" width="15.88671875" style="27" customWidth="1"/>
    <col min="13055" max="13055" width="16.5546875" style="27" bestFit="1" customWidth="1"/>
    <col min="13056" max="13056" width="13.6640625" style="27" customWidth="1"/>
    <col min="13057" max="13057" width="17.109375" style="27" bestFit="1" customWidth="1"/>
    <col min="13058" max="13058" width="4" style="27" customWidth="1"/>
    <col min="13059" max="13059" width="13.6640625" style="27" customWidth="1"/>
    <col min="13060" max="13301" width="13.6640625" style="27"/>
    <col min="13302" max="13302" width="22.109375" style="27" customWidth="1"/>
    <col min="13303" max="13309" width="13.6640625" style="27" customWidth="1"/>
    <col min="13310" max="13310" width="15.88671875" style="27" customWidth="1"/>
    <col min="13311" max="13311" width="16.5546875" style="27" bestFit="1" customWidth="1"/>
    <col min="13312" max="13312" width="13.6640625" style="27" customWidth="1"/>
    <col min="13313" max="13313" width="17.109375" style="27" bestFit="1" customWidth="1"/>
    <col min="13314" max="13314" width="4" style="27" customWidth="1"/>
    <col min="13315" max="13315" width="13.6640625" style="27" customWidth="1"/>
    <col min="13316" max="13557" width="13.6640625" style="27"/>
    <col min="13558" max="13558" width="22.109375" style="27" customWidth="1"/>
    <col min="13559" max="13565" width="13.6640625" style="27" customWidth="1"/>
    <col min="13566" max="13566" width="15.88671875" style="27" customWidth="1"/>
    <col min="13567" max="13567" width="16.5546875" style="27" bestFit="1" customWidth="1"/>
    <col min="13568" max="13568" width="13.6640625" style="27" customWidth="1"/>
    <col min="13569" max="13569" width="17.109375" style="27" bestFit="1" customWidth="1"/>
    <col min="13570" max="13570" width="4" style="27" customWidth="1"/>
    <col min="13571" max="13571" width="13.6640625" style="27" customWidth="1"/>
    <col min="13572" max="13813" width="13.6640625" style="27"/>
    <col min="13814" max="13814" width="22.109375" style="27" customWidth="1"/>
    <col min="13815" max="13821" width="13.6640625" style="27" customWidth="1"/>
    <col min="13822" max="13822" width="15.88671875" style="27" customWidth="1"/>
    <col min="13823" max="13823" width="16.5546875" style="27" bestFit="1" customWidth="1"/>
    <col min="13824" max="13824" width="13.6640625" style="27" customWidth="1"/>
    <col min="13825" max="13825" width="17.109375" style="27" bestFit="1" customWidth="1"/>
    <col min="13826" max="13826" width="4" style="27" customWidth="1"/>
    <col min="13827" max="13827" width="13.6640625" style="27" customWidth="1"/>
    <col min="13828" max="14069" width="13.6640625" style="27"/>
    <col min="14070" max="14070" width="22.109375" style="27" customWidth="1"/>
    <col min="14071" max="14077" width="13.6640625" style="27" customWidth="1"/>
    <col min="14078" max="14078" width="15.88671875" style="27" customWidth="1"/>
    <col min="14079" max="14079" width="16.5546875" style="27" bestFit="1" customWidth="1"/>
    <col min="14080" max="14080" width="13.6640625" style="27" customWidth="1"/>
    <col min="14081" max="14081" width="17.109375" style="27" bestFit="1" customWidth="1"/>
    <col min="14082" max="14082" width="4" style="27" customWidth="1"/>
    <col min="14083" max="14083" width="13.6640625" style="27" customWidth="1"/>
    <col min="14084" max="14325" width="13.6640625" style="27"/>
    <col min="14326" max="14326" width="22.109375" style="27" customWidth="1"/>
    <col min="14327" max="14333" width="13.6640625" style="27" customWidth="1"/>
    <col min="14334" max="14334" width="15.88671875" style="27" customWidth="1"/>
    <col min="14335" max="14335" width="16.5546875" style="27" bestFit="1" customWidth="1"/>
    <col min="14336" max="14336" width="13.6640625" style="27" customWidth="1"/>
    <col min="14337" max="14337" width="17.109375" style="27" bestFit="1" customWidth="1"/>
    <col min="14338" max="14338" width="4" style="27" customWidth="1"/>
    <col min="14339" max="14339" width="13.6640625" style="27" customWidth="1"/>
    <col min="14340" max="14581" width="13.6640625" style="27"/>
    <col min="14582" max="14582" width="22.109375" style="27" customWidth="1"/>
    <col min="14583" max="14589" width="13.6640625" style="27" customWidth="1"/>
    <col min="14590" max="14590" width="15.88671875" style="27" customWidth="1"/>
    <col min="14591" max="14591" width="16.5546875" style="27" bestFit="1" customWidth="1"/>
    <col min="14592" max="14592" width="13.6640625" style="27" customWidth="1"/>
    <col min="14593" max="14593" width="17.109375" style="27" bestFit="1" customWidth="1"/>
    <col min="14594" max="14594" width="4" style="27" customWidth="1"/>
    <col min="14595" max="14595" width="13.6640625" style="27" customWidth="1"/>
    <col min="14596" max="14837" width="13.6640625" style="27"/>
    <col min="14838" max="14838" width="22.109375" style="27" customWidth="1"/>
    <col min="14839" max="14845" width="13.6640625" style="27" customWidth="1"/>
    <col min="14846" max="14846" width="15.88671875" style="27" customWidth="1"/>
    <col min="14847" max="14847" width="16.5546875" style="27" bestFit="1" customWidth="1"/>
    <col min="14848" max="14848" width="13.6640625" style="27" customWidth="1"/>
    <col min="14849" max="14849" width="17.109375" style="27" bestFit="1" customWidth="1"/>
    <col min="14850" max="14850" width="4" style="27" customWidth="1"/>
    <col min="14851" max="14851" width="13.6640625" style="27" customWidth="1"/>
    <col min="14852" max="15093" width="13.6640625" style="27"/>
    <col min="15094" max="15094" width="22.109375" style="27" customWidth="1"/>
    <col min="15095" max="15101" width="13.6640625" style="27" customWidth="1"/>
    <col min="15102" max="15102" width="15.88671875" style="27" customWidth="1"/>
    <col min="15103" max="15103" width="16.5546875" style="27" bestFit="1" customWidth="1"/>
    <col min="15104" max="15104" width="13.6640625" style="27" customWidth="1"/>
    <col min="15105" max="15105" width="17.109375" style="27" bestFit="1" customWidth="1"/>
    <col min="15106" max="15106" width="4" style="27" customWidth="1"/>
    <col min="15107" max="15107" width="13.6640625" style="27" customWidth="1"/>
    <col min="15108" max="15349" width="13.6640625" style="27"/>
    <col min="15350" max="15350" width="22.109375" style="27" customWidth="1"/>
    <col min="15351" max="15357" width="13.6640625" style="27" customWidth="1"/>
    <col min="15358" max="15358" width="15.88671875" style="27" customWidth="1"/>
    <col min="15359" max="15359" width="16.5546875" style="27" bestFit="1" customWidth="1"/>
    <col min="15360" max="15360" width="13.6640625" style="27" customWidth="1"/>
    <col min="15361" max="15361" width="17.109375" style="27" bestFit="1" customWidth="1"/>
    <col min="15362" max="15362" width="4" style="27" customWidth="1"/>
    <col min="15363" max="15363" width="13.6640625" style="27" customWidth="1"/>
    <col min="15364" max="15605" width="13.6640625" style="27"/>
    <col min="15606" max="15606" width="22.109375" style="27" customWidth="1"/>
    <col min="15607" max="15613" width="13.6640625" style="27" customWidth="1"/>
    <col min="15614" max="15614" width="15.88671875" style="27" customWidth="1"/>
    <col min="15615" max="15615" width="16.5546875" style="27" bestFit="1" customWidth="1"/>
    <col min="15616" max="15616" width="13.6640625" style="27" customWidth="1"/>
    <col min="15617" max="15617" width="17.109375" style="27" bestFit="1" customWidth="1"/>
    <col min="15618" max="15618" width="4" style="27" customWidth="1"/>
    <col min="15619" max="15619" width="13.6640625" style="27" customWidth="1"/>
    <col min="15620" max="15861" width="13.6640625" style="27"/>
    <col min="15862" max="15862" width="22.109375" style="27" customWidth="1"/>
    <col min="15863" max="15869" width="13.6640625" style="27" customWidth="1"/>
    <col min="15870" max="15870" width="15.88671875" style="27" customWidth="1"/>
    <col min="15871" max="15871" width="16.5546875" style="27" bestFit="1" customWidth="1"/>
    <col min="15872" max="15872" width="13.6640625" style="27" customWidth="1"/>
    <col min="15873" max="15873" width="17.109375" style="27" bestFit="1" customWidth="1"/>
    <col min="15874" max="15874" width="4" style="27" customWidth="1"/>
    <col min="15875" max="15875" width="13.6640625" style="27" customWidth="1"/>
    <col min="15876" max="16117" width="13.6640625" style="27"/>
    <col min="16118" max="16118" width="22.109375" style="27" customWidth="1"/>
    <col min="16119" max="16125" width="13.6640625" style="27" customWidth="1"/>
    <col min="16126" max="16126" width="15.88671875" style="27" customWidth="1"/>
    <col min="16127" max="16127" width="16.5546875" style="27" bestFit="1" customWidth="1"/>
    <col min="16128" max="16128" width="13.6640625" style="27" customWidth="1"/>
    <col min="16129" max="16129" width="17.109375" style="27" bestFit="1" customWidth="1"/>
    <col min="16130" max="16130" width="4" style="27" customWidth="1"/>
    <col min="16131" max="16131" width="13.6640625" style="27" customWidth="1"/>
    <col min="16132" max="16384" width="13.6640625" style="27"/>
  </cols>
  <sheetData>
    <row r="1" spans="1:24" s="21" customFormat="1" ht="16.2">
      <c r="A1" s="297" t="s">
        <v>22</v>
      </c>
      <c r="B1" s="217"/>
      <c r="C1" s="217"/>
      <c r="D1" s="90"/>
      <c r="E1" s="90"/>
      <c r="F1" s="218"/>
      <c r="G1" s="90"/>
      <c r="H1" s="90"/>
      <c r="I1" s="218"/>
      <c r="J1" s="90"/>
      <c r="K1" s="90"/>
    </row>
    <row r="2" spans="1:24" s="21" customFormat="1" ht="16.2">
      <c r="A2" s="298"/>
      <c r="B2" s="217"/>
      <c r="C2" s="217"/>
      <c r="D2" s="219"/>
      <c r="G2" s="219"/>
      <c r="J2" s="219"/>
      <c r="K2" s="90"/>
    </row>
    <row r="3" spans="1:24" s="21" customFormat="1" ht="18.600000000000001">
      <c r="A3" s="287" t="str">
        <f>'2-Kosten per locatie'!A3</f>
        <v>Naam opdrachtgever</v>
      </c>
      <c r="B3" s="195" t="str">
        <f>'2-Kosten per locatie'!B3</f>
        <v>Blosse Kindcentra</v>
      </c>
      <c r="C3" s="195"/>
      <c r="D3" s="219"/>
      <c r="G3" s="219"/>
      <c r="J3" s="219"/>
      <c r="K3" s="90"/>
    </row>
    <row r="4" spans="1:24" s="21" customFormat="1" ht="18.600000000000001">
      <c r="A4" s="287" t="str">
        <f>'2-Kosten per locatie'!A4</f>
        <v>Calculatie onderdeel</v>
      </c>
      <c r="B4" s="195" t="str">
        <f ca="1">MID(CELL("bestandsnaam",$C$9),SEARCH("]",CELL("bestandsnaam",$C$9),1)+1,256)</f>
        <v>9-Vloeronderhoud</v>
      </c>
      <c r="C4" s="195"/>
      <c r="D4" s="219"/>
      <c r="G4" s="219"/>
      <c r="J4" s="219"/>
      <c r="K4" s="90"/>
    </row>
    <row r="5" spans="1:24" s="21" customFormat="1" ht="18.600000000000001">
      <c r="A5" s="287" t="str">
        <f>'2-Kosten per locatie'!A5</f>
        <v>Gebouw/plaats</v>
      </c>
      <c r="B5" s="195" t="str">
        <f>'2-Kosten per locatie'!B5</f>
        <v>Heerhugowaard en regio</v>
      </c>
      <c r="C5" s="195"/>
      <c r="D5" s="219"/>
      <c r="G5" s="219"/>
      <c r="J5" s="219"/>
      <c r="K5" s="221"/>
      <c r="L5" s="22"/>
      <c r="M5" s="24"/>
      <c r="N5" s="23"/>
      <c r="O5" s="22"/>
      <c r="P5" s="23"/>
      <c r="Q5" s="23"/>
      <c r="R5" s="22"/>
      <c r="S5" s="23"/>
      <c r="T5" s="23"/>
      <c r="U5" s="22"/>
      <c r="V5" s="23"/>
      <c r="W5" s="23"/>
      <c r="X5" s="22"/>
    </row>
    <row r="6" spans="1:24" s="21" customFormat="1" ht="17.25" customHeight="1">
      <c r="A6" s="287" t="str">
        <f>'2-Kosten per locatie'!A6</f>
        <v>Referentie nummer</v>
      </c>
      <c r="B6" s="195" t="str">
        <f>'2-Kosten per locatie'!B6</f>
        <v>Blosse-EU-RT-MVD-2024</v>
      </c>
      <c r="C6" s="195"/>
      <c r="D6" s="219"/>
      <c r="G6" s="219"/>
      <c r="J6" s="219"/>
      <c r="K6" s="221"/>
      <c r="L6" s="26"/>
      <c r="M6" s="24"/>
      <c r="N6" s="25"/>
      <c r="O6" s="26"/>
      <c r="P6" s="23"/>
      <c r="Q6" s="25"/>
      <c r="R6" s="26"/>
      <c r="S6" s="23"/>
      <c r="T6" s="25"/>
      <c r="U6" s="26"/>
      <c r="V6" s="23"/>
      <c r="W6" s="25"/>
      <c r="X6" s="26"/>
    </row>
    <row r="7" spans="1:24" s="21" customFormat="1" ht="17.25" customHeight="1">
      <c r="A7" s="287" t="str">
        <f>'2-Kosten per locatie'!A7</f>
        <v>Naam dienstverlener</v>
      </c>
      <c r="B7" s="195" t="str">
        <f>'2-Kosten per locatie'!B7</f>
        <v>…............................</v>
      </c>
      <c r="C7" s="195"/>
      <c r="D7" s="219"/>
      <c r="G7" s="219"/>
      <c r="J7" s="219"/>
    </row>
    <row r="8" spans="1:24" s="21" customFormat="1" ht="17.25" customHeight="1">
      <c r="A8" s="287" t="str">
        <f>'2-Kosten per locatie'!A8</f>
        <v>Prijspeil</v>
      </c>
      <c r="B8" s="409">
        <f>'2-Kosten per locatie'!B8</f>
        <v>45474</v>
      </c>
      <c r="D8" s="219"/>
      <c r="G8" s="219"/>
      <c r="J8" s="219"/>
      <c r="K8" s="221"/>
    </row>
    <row r="9" spans="1:24" s="21" customFormat="1" ht="17.25" customHeight="1">
      <c r="A9" s="219"/>
      <c r="B9" s="219"/>
      <c r="C9" s="219"/>
      <c r="D9" s="219"/>
      <c r="G9" s="219"/>
      <c r="J9" s="219"/>
      <c r="K9" s="221"/>
    </row>
    <row r="10" spans="1:24" s="28" customFormat="1" ht="60" customHeight="1">
      <c r="A10" s="294" t="s">
        <v>94</v>
      </c>
      <c r="B10" s="295" t="s">
        <v>178</v>
      </c>
      <c r="C10" s="295" t="s">
        <v>177</v>
      </c>
      <c r="D10" s="296" t="s">
        <v>124</v>
      </c>
      <c r="E10" s="295" t="s">
        <v>1136</v>
      </c>
      <c r="F10" s="295" t="s">
        <v>1059</v>
      </c>
      <c r="G10" s="295" t="s">
        <v>1060</v>
      </c>
      <c r="H10" s="295" t="s">
        <v>1135</v>
      </c>
      <c r="I10" s="295" t="s">
        <v>1059</v>
      </c>
      <c r="J10" s="295" t="s">
        <v>1137</v>
      </c>
      <c r="K10" s="295" t="s">
        <v>1061</v>
      </c>
    </row>
    <row r="11" spans="1:24">
      <c r="A11" s="222" t="s">
        <v>810</v>
      </c>
      <c r="B11" s="220" t="s">
        <v>780</v>
      </c>
      <c r="C11" s="220" t="s">
        <v>1057</v>
      </c>
      <c r="D11" s="413">
        <f>SUMIFS('4-Basis ruimtestaat'!J:J,'4-Basis ruimtestaat'!B:B,'9-Vloeronderhoud'!A11,'4-Basis ruimtestaat'!I:I,'9-Vloeronderhoud'!B11)-SUMIFS('4-Basis ruimtestaat'!J:J,'4-Basis ruimtestaat'!B:B,'9-Vloeronderhoud'!A11,'4-Basis ruimtestaat'!I:I,'9-Vloeronderhoud'!B11,'4-Basis ruimtestaat'!L:L,"nio")</f>
        <v>1123.2699986648558</v>
      </c>
      <c r="E11" s="412">
        <v>0</v>
      </c>
      <c r="F11" s="414">
        <f>(D11*E11)</f>
        <v>0</v>
      </c>
      <c r="G11" s="415" t="s">
        <v>179</v>
      </c>
      <c r="H11" s="412">
        <v>0</v>
      </c>
      <c r="I11" s="414">
        <f>(D11*H11)</f>
        <v>0</v>
      </c>
      <c r="J11" s="415" t="s">
        <v>1138</v>
      </c>
      <c r="K11" s="414">
        <f>G11*F11+I11*J11</f>
        <v>0</v>
      </c>
    </row>
    <row r="12" spans="1:24">
      <c r="A12" s="222" t="s">
        <v>805</v>
      </c>
      <c r="B12" s="220" t="s">
        <v>780</v>
      </c>
      <c r="C12" s="220" t="s">
        <v>1057</v>
      </c>
      <c r="D12" s="413">
        <f>SUMIFS('4-Basis ruimtestaat'!J:J,'4-Basis ruimtestaat'!B:B,'9-Vloeronderhoud'!A12,'4-Basis ruimtestaat'!I:I,'9-Vloeronderhoud'!B12)-SUMIFS('4-Basis ruimtestaat'!J:J,'4-Basis ruimtestaat'!B:B,'9-Vloeronderhoud'!A12,'4-Basis ruimtestaat'!I:I,'9-Vloeronderhoud'!B12,'4-Basis ruimtestaat'!L:L,"nio")</f>
        <v>2024.0900048160559</v>
      </c>
      <c r="E12" s="412">
        <v>0</v>
      </c>
      <c r="F12" s="414">
        <f t="shared" ref="F12:F18" si="0">(D12*E12)</f>
        <v>0</v>
      </c>
      <c r="G12" s="415" t="s">
        <v>179</v>
      </c>
      <c r="H12" s="412">
        <v>0</v>
      </c>
      <c r="I12" s="414">
        <f>(D12*H12)</f>
        <v>0</v>
      </c>
      <c r="J12" s="415" t="s">
        <v>1138</v>
      </c>
      <c r="K12" s="414">
        <f t="shared" ref="K12:K31" si="1">G12*F12+I12*J12</f>
        <v>0</v>
      </c>
    </row>
    <row r="13" spans="1:24">
      <c r="A13" s="222" t="s">
        <v>815</v>
      </c>
      <c r="B13" s="220" t="s">
        <v>780</v>
      </c>
      <c r="C13" s="220" t="s">
        <v>1057</v>
      </c>
      <c r="D13" s="413">
        <f>SUMIFS('4-Basis ruimtestaat'!J:J,'4-Basis ruimtestaat'!B:B,'9-Vloeronderhoud'!A13,'4-Basis ruimtestaat'!I:I,'9-Vloeronderhoud'!B13)-SUMIFS('4-Basis ruimtestaat'!J:J,'4-Basis ruimtestaat'!B:B,'9-Vloeronderhoud'!A13,'4-Basis ruimtestaat'!I:I,'9-Vloeronderhoud'!B13,'4-Basis ruimtestaat'!L:L,"nio")</f>
        <v>829.40000486373901</v>
      </c>
      <c r="E13" s="412">
        <v>0</v>
      </c>
      <c r="F13" s="414">
        <f t="shared" si="0"/>
        <v>0</v>
      </c>
      <c r="G13" s="415" t="s">
        <v>179</v>
      </c>
      <c r="H13" s="412">
        <v>0</v>
      </c>
      <c r="I13" s="414">
        <f t="shared" ref="I13:I31" si="2">(D13*H13)</f>
        <v>0</v>
      </c>
      <c r="J13" s="415" t="s">
        <v>1138</v>
      </c>
      <c r="K13" s="414">
        <f t="shared" si="1"/>
        <v>0</v>
      </c>
    </row>
    <row r="14" spans="1:24">
      <c r="A14" s="222" t="s">
        <v>812</v>
      </c>
      <c r="B14" s="220" t="s">
        <v>780</v>
      </c>
      <c r="C14" s="220" t="s">
        <v>1057</v>
      </c>
      <c r="D14" s="413">
        <f>SUMIFS('4-Basis ruimtestaat'!J:J,'4-Basis ruimtestaat'!B:B,'9-Vloeronderhoud'!A14,'4-Basis ruimtestaat'!I:I,'9-Vloeronderhoud'!B14)-SUMIFS('4-Basis ruimtestaat'!J:J,'4-Basis ruimtestaat'!B:B,'9-Vloeronderhoud'!A14,'4-Basis ruimtestaat'!I:I,'9-Vloeronderhoud'!B14,'4-Basis ruimtestaat'!L:L,"nio")</f>
        <v>476.56999952316278</v>
      </c>
      <c r="E14" s="412">
        <v>0</v>
      </c>
      <c r="F14" s="414">
        <f t="shared" si="0"/>
        <v>0</v>
      </c>
      <c r="G14" s="415" t="s">
        <v>179</v>
      </c>
      <c r="H14" s="412">
        <v>0</v>
      </c>
      <c r="I14" s="414">
        <f t="shared" si="2"/>
        <v>0</v>
      </c>
      <c r="J14" s="415" t="s">
        <v>1138</v>
      </c>
      <c r="K14" s="414">
        <f t="shared" si="1"/>
        <v>0</v>
      </c>
    </row>
    <row r="15" spans="1:24">
      <c r="A15" s="223" t="s">
        <v>814</v>
      </c>
      <c r="B15" s="220" t="s">
        <v>780</v>
      </c>
      <c r="C15" s="220" t="s">
        <v>1057</v>
      </c>
      <c r="D15" s="413">
        <f>SUMIFS('4-Basis ruimtestaat'!J:J,'4-Basis ruimtestaat'!B:B,'9-Vloeronderhoud'!A15,'4-Basis ruimtestaat'!I:I,'9-Vloeronderhoud'!B15)-SUMIFS('4-Basis ruimtestaat'!J:J,'4-Basis ruimtestaat'!B:B,'9-Vloeronderhoud'!A15,'4-Basis ruimtestaat'!I:I,'9-Vloeronderhoud'!B15,'4-Basis ruimtestaat'!L:L,"nio")</f>
        <v>1412.8999999237058</v>
      </c>
      <c r="E15" s="412">
        <v>0</v>
      </c>
      <c r="F15" s="414">
        <f t="shared" si="0"/>
        <v>0</v>
      </c>
      <c r="G15" s="415" t="s">
        <v>179</v>
      </c>
      <c r="H15" s="412">
        <v>0</v>
      </c>
      <c r="I15" s="414">
        <f t="shared" si="2"/>
        <v>0</v>
      </c>
      <c r="J15" s="415" t="s">
        <v>1138</v>
      </c>
      <c r="K15" s="414">
        <f t="shared" si="1"/>
        <v>0</v>
      </c>
    </row>
    <row r="16" spans="1:24">
      <c r="A16" s="223" t="s">
        <v>817</v>
      </c>
      <c r="B16" s="220" t="s">
        <v>780</v>
      </c>
      <c r="C16" s="220" t="s">
        <v>1057</v>
      </c>
      <c r="D16" s="413">
        <f>SUMIFS('4-Basis ruimtestaat'!J:J,'4-Basis ruimtestaat'!B:B,'9-Vloeronderhoud'!A16,'4-Basis ruimtestaat'!I:I,'9-Vloeronderhoud'!B16)-SUMIFS('4-Basis ruimtestaat'!J:J,'4-Basis ruimtestaat'!B:B,'9-Vloeronderhoud'!A16,'4-Basis ruimtestaat'!I:I,'9-Vloeronderhoud'!B16,'4-Basis ruimtestaat'!L:L,"nio")</f>
        <v>999.71000039100625</v>
      </c>
      <c r="E16" s="412">
        <v>0</v>
      </c>
      <c r="F16" s="414">
        <f t="shared" si="0"/>
        <v>0</v>
      </c>
      <c r="G16" s="415" t="s">
        <v>179</v>
      </c>
      <c r="H16" s="412">
        <v>0</v>
      </c>
      <c r="I16" s="414">
        <f t="shared" si="2"/>
        <v>0</v>
      </c>
      <c r="J16" s="415" t="s">
        <v>1138</v>
      </c>
      <c r="K16" s="414">
        <f t="shared" si="1"/>
        <v>0</v>
      </c>
    </row>
    <row r="17" spans="1:11">
      <c r="A17" s="223" t="s">
        <v>820</v>
      </c>
      <c r="B17" s="220" t="s">
        <v>780</v>
      </c>
      <c r="C17" s="220" t="s">
        <v>1057</v>
      </c>
      <c r="D17" s="413">
        <f>SUMIFS('4-Basis ruimtestaat'!J:J,'4-Basis ruimtestaat'!B:B,'9-Vloeronderhoud'!A17,'4-Basis ruimtestaat'!I:I,'9-Vloeronderhoud'!B17)-SUMIFS('4-Basis ruimtestaat'!J:J,'4-Basis ruimtestaat'!B:B,'9-Vloeronderhoud'!A17,'4-Basis ruimtestaat'!I:I,'9-Vloeronderhoud'!B17,'4-Basis ruimtestaat'!L:L,"nio")</f>
        <v>0</v>
      </c>
      <c r="E17" s="412">
        <v>0</v>
      </c>
      <c r="F17" s="414">
        <f t="shared" si="0"/>
        <v>0</v>
      </c>
      <c r="G17" s="415" t="s">
        <v>179</v>
      </c>
      <c r="H17" s="412">
        <v>0</v>
      </c>
      <c r="I17" s="414">
        <f t="shared" si="2"/>
        <v>0</v>
      </c>
      <c r="J17" s="415" t="s">
        <v>1138</v>
      </c>
      <c r="K17" s="414">
        <f t="shared" si="1"/>
        <v>0</v>
      </c>
    </row>
    <row r="18" spans="1:11">
      <c r="A18" s="223" t="s">
        <v>811</v>
      </c>
      <c r="B18" s="220" t="s">
        <v>780</v>
      </c>
      <c r="C18" s="220" t="s">
        <v>1057</v>
      </c>
      <c r="D18" s="413">
        <f>SUMIFS('4-Basis ruimtestaat'!J:J,'4-Basis ruimtestaat'!B:B,'9-Vloeronderhoud'!A18,'4-Basis ruimtestaat'!I:I,'9-Vloeronderhoud'!B18)-SUMIFS('4-Basis ruimtestaat'!J:J,'4-Basis ruimtestaat'!B:B,'9-Vloeronderhoud'!A18,'4-Basis ruimtestaat'!I:I,'9-Vloeronderhoud'!B18,'4-Basis ruimtestaat'!L:L,"nio")</f>
        <v>287.40000000000003</v>
      </c>
      <c r="E18" s="412">
        <v>0</v>
      </c>
      <c r="F18" s="462">
        <f t="shared" si="0"/>
        <v>0</v>
      </c>
      <c r="G18" s="415" t="s">
        <v>179</v>
      </c>
      <c r="H18" s="412">
        <v>0</v>
      </c>
      <c r="I18" s="414">
        <f t="shared" si="2"/>
        <v>0</v>
      </c>
      <c r="J18" s="415" t="s">
        <v>1138</v>
      </c>
      <c r="K18" s="414">
        <f t="shared" si="1"/>
        <v>0</v>
      </c>
    </row>
    <row r="19" spans="1:11">
      <c r="A19" s="223" t="s">
        <v>823</v>
      </c>
      <c r="B19" s="220" t="s">
        <v>780</v>
      </c>
      <c r="C19" s="220" t="s">
        <v>1057</v>
      </c>
      <c r="D19" s="413">
        <f>SUMIFS('4-Basis ruimtestaat'!J:J,'4-Basis ruimtestaat'!B:B,'9-Vloeronderhoud'!A19,'4-Basis ruimtestaat'!I:I,'9-Vloeronderhoud'!B19)</f>
        <v>264.39</v>
      </c>
      <c r="E19" s="412">
        <v>0</v>
      </c>
      <c r="F19" s="462">
        <f t="shared" ref="F19:F31" si="3">(D19*E19)</f>
        <v>0</v>
      </c>
      <c r="G19" s="415" t="s">
        <v>179</v>
      </c>
      <c r="H19" s="412">
        <v>0</v>
      </c>
      <c r="I19" s="414">
        <f t="shared" si="2"/>
        <v>0</v>
      </c>
      <c r="J19" s="415" t="s">
        <v>1138</v>
      </c>
      <c r="K19" s="414">
        <f t="shared" si="1"/>
        <v>0</v>
      </c>
    </row>
    <row r="20" spans="1:11">
      <c r="A20" s="223" t="s">
        <v>822</v>
      </c>
      <c r="B20" s="220" t="s">
        <v>780</v>
      </c>
      <c r="C20" s="220" t="s">
        <v>1057</v>
      </c>
      <c r="D20" s="413">
        <f>SUMIFS('4-Basis ruimtestaat'!J:J,'4-Basis ruimtestaat'!B:B,'9-Vloeronderhoud'!A20,'4-Basis ruimtestaat'!I:I,'9-Vloeronderhoud'!B20)-SUMIFS('4-Basis ruimtestaat'!J:J,'4-Basis ruimtestaat'!B:B,'9-Vloeronderhoud'!A20,'4-Basis ruimtestaat'!I:I,'9-Vloeronderhoud'!B20,'4-Basis ruimtestaat'!L:L,"nio")</f>
        <v>375.67367199999984</v>
      </c>
      <c r="E20" s="412">
        <v>0</v>
      </c>
      <c r="F20" s="414">
        <f t="shared" si="3"/>
        <v>0</v>
      </c>
      <c r="G20" s="415" t="s">
        <v>179</v>
      </c>
      <c r="H20" s="412">
        <v>0</v>
      </c>
      <c r="I20" s="414">
        <f t="shared" si="2"/>
        <v>0</v>
      </c>
      <c r="J20" s="415" t="s">
        <v>1138</v>
      </c>
      <c r="K20" s="414">
        <f t="shared" si="1"/>
        <v>0</v>
      </c>
    </row>
    <row r="21" spans="1:11">
      <c r="A21" s="223" t="s">
        <v>806</v>
      </c>
      <c r="B21" s="220" t="s">
        <v>780</v>
      </c>
      <c r="C21" s="220" t="s">
        <v>1057</v>
      </c>
      <c r="D21" s="413">
        <f>SUMIFS('4-Basis ruimtestaat'!J:J,'4-Basis ruimtestaat'!B:B,'9-Vloeronderhoud'!A21,'4-Basis ruimtestaat'!I:I,'9-Vloeronderhoud'!B21)-SUMIFS('4-Basis ruimtestaat'!J:J,'4-Basis ruimtestaat'!B:B,'9-Vloeronderhoud'!A21,'4-Basis ruimtestaat'!I:I,'9-Vloeronderhoud'!B21,'4-Basis ruimtestaat'!L:L,"nio")</f>
        <v>855.42999633789066</v>
      </c>
      <c r="E21" s="412">
        <v>0</v>
      </c>
      <c r="F21" s="414">
        <f t="shared" si="3"/>
        <v>0</v>
      </c>
      <c r="G21" s="415" t="s">
        <v>179</v>
      </c>
      <c r="H21" s="412">
        <v>0</v>
      </c>
      <c r="I21" s="414">
        <f t="shared" si="2"/>
        <v>0</v>
      </c>
      <c r="J21" s="415" t="s">
        <v>1138</v>
      </c>
      <c r="K21" s="414">
        <f t="shared" si="1"/>
        <v>0</v>
      </c>
    </row>
    <row r="22" spans="1:11">
      <c r="A22" s="50" t="s">
        <v>1110</v>
      </c>
      <c r="B22" s="220" t="s">
        <v>780</v>
      </c>
      <c r="C22" s="220" t="s">
        <v>1057</v>
      </c>
      <c r="D22" s="413">
        <f>SUMIFS('4-Basis ruimtestaat'!J:J,'4-Basis ruimtestaat'!B:B,'9-Vloeronderhoud'!A22,'4-Basis ruimtestaat'!I:I,'9-Vloeronderhoud'!B22)-SUMIFS('4-Basis ruimtestaat'!J:J,'4-Basis ruimtestaat'!B:B,'9-Vloeronderhoud'!A22,'4-Basis ruimtestaat'!I:I,'9-Vloeronderhoud'!B22,'4-Basis ruimtestaat'!L:L,"nio")</f>
        <v>501.44000325679792</v>
      </c>
      <c r="E22" s="412">
        <v>0</v>
      </c>
      <c r="F22" s="414">
        <f t="shared" si="3"/>
        <v>0</v>
      </c>
      <c r="G22" s="415" t="s">
        <v>179</v>
      </c>
      <c r="H22" s="412">
        <v>0</v>
      </c>
      <c r="I22" s="414">
        <f t="shared" si="2"/>
        <v>0</v>
      </c>
      <c r="J22" s="415" t="s">
        <v>1138</v>
      </c>
      <c r="K22" s="414">
        <f t="shared" si="1"/>
        <v>0</v>
      </c>
    </row>
    <row r="23" spans="1:11">
      <c r="A23" s="50" t="s">
        <v>1111</v>
      </c>
      <c r="B23" s="220" t="s">
        <v>780</v>
      </c>
      <c r="C23" s="220" t="s">
        <v>1057</v>
      </c>
      <c r="D23" s="413">
        <f>SUMIFS('4-Basis ruimtestaat'!J:J,'4-Basis ruimtestaat'!B:B,'9-Vloeronderhoud'!A23,'4-Basis ruimtestaat'!I:I,'9-Vloeronderhoud'!B23)-SUMIFS('4-Basis ruimtestaat'!J:J,'4-Basis ruimtestaat'!B:B,'9-Vloeronderhoud'!A23,'4-Basis ruimtestaat'!I:I,'9-Vloeronderhoud'!B23,'4-Basis ruimtestaat'!L:L,"nio")</f>
        <v>750.62999865531913</v>
      </c>
      <c r="E23" s="412">
        <v>0</v>
      </c>
      <c r="F23" s="414">
        <f t="shared" ref="F23:F24" si="4">(D23*E23)</f>
        <v>0</v>
      </c>
      <c r="G23" s="415" t="s">
        <v>179</v>
      </c>
      <c r="H23" s="412">
        <v>0</v>
      </c>
      <c r="I23" s="414">
        <f t="shared" si="2"/>
        <v>0</v>
      </c>
      <c r="J23" s="415" t="s">
        <v>1138</v>
      </c>
      <c r="K23" s="414">
        <f t="shared" si="1"/>
        <v>0</v>
      </c>
    </row>
    <row r="24" spans="1:11">
      <c r="A24" s="50" t="s">
        <v>1112</v>
      </c>
      <c r="B24" s="220" t="s">
        <v>780</v>
      </c>
      <c r="C24" s="220" t="s">
        <v>1057</v>
      </c>
      <c r="D24" s="413">
        <f>SUMIFS('4-Basis ruimtestaat'!J:J,'4-Basis ruimtestaat'!B:B,'9-Vloeronderhoud'!A24,'4-Basis ruimtestaat'!I:I,'9-Vloeronderhoud'!B24)-SUMIFS('4-Basis ruimtestaat'!J:J,'4-Basis ruimtestaat'!B:B,'9-Vloeronderhoud'!A24,'4-Basis ruimtestaat'!I:I,'9-Vloeronderhoud'!B24,'4-Basis ruimtestaat'!L:L,"nio")</f>
        <v>701.19000547409041</v>
      </c>
      <c r="E24" s="412">
        <v>0</v>
      </c>
      <c r="F24" s="414">
        <f t="shared" si="4"/>
        <v>0</v>
      </c>
      <c r="G24" s="415" t="s">
        <v>179</v>
      </c>
      <c r="H24" s="412">
        <v>0</v>
      </c>
      <c r="I24" s="414">
        <f t="shared" si="2"/>
        <v>0</v>
      </c>
      <c r="J24" s="415" t="s">
        <v>1138</v>
      </c>
      <c r="K24" s="414">
        <f t="shared" si="1"/>
        <v>0</v>
      </c>
    </row>
    <row r="25" spans="1:11">
      <c r="A25" s="223" t="s">
        <v>816</v>
      </c>
      <c r="B25" s="220" t="s">
        <v>780</v>
      </c>
      <c r="C25" s="220" t="s">
        <v>1057</v>
      </c>
      <c r="D25" s="413">
        <f>SUMIFS('4-Basis ruimtestaat'!J:J,'4-Basis ruimtestaat'!B:B,'9-Vloeronderhoud'!A25,'4-Basis ruimtestaat'!I:I,'9-Vloeronderhoud'!B25)-SUMIFS('4-Basis ruimtestaat'!J:J,'4-Basis ruimtestaat'!B:B,'9-Vloeronderhoud'!A25,'4-Basis ruimtestaat'!I:I,'9-Vloeronderhoud'!B25,'4-Basis ruimtestaat'!L:L,"nio")</f>
        <v>658.74999987602234</v>
      </c>
      <c r="E25" s="412">
        <v>0</v>
      </c>
      <c r="F25" s="414">
        <f t="shared" si="3"/>
        <v>0</v>
      </c>
      <c r="G25" s="415" t="s">
        <v>179</v>
      </c>
      <c r="H25" s="412">
        <v>0</v>
      </c>
      <c r="I25" s="414">
        <f t="shared" si="2"/>
        <v>0</v>
      </c>
      <c r="J25" s="415" t="s">
        <v>1138</v>
      </c>
      <c r="K25" s="414">
        <f t="shared" si="1"/>
        <v>0</v>
      </c>
    </row>
    <row r="26" spans="1:11">
      <c r="A26" s="223" t="s">
        <v>807</v>
      </c>
      <c r="B26" s="220" t="s">
        <v>780</v>
      </c>
      <c r="C26" s="220" t="s">
        <v>1057</v>
      </c>
      <c r="D26" s="413">
        <f>SUMIFS('4-Basis ruimtestaat'!J:J,'4-Basis ruimtestaat'!B:B,'9-Vloeronderhoud'!A26,'4-Basis ruimtestaat'!I:I,'9-Vloeronderhoud'!B26)-SUMIFS('4-Basis ruimtestaat'!J:J,'4-Basis ruimtestaat'!B:B,'9-Vloeronderhoud'!A26,'4-Basis ruimtestaat'!I:I,'9-Vloeronderhoud'!B26,'4-Basis ruimtestaat'!L:L,"nio")</f>
        <v>2293.1999986648566</v>
      </c>
      <c r="E26" s="412">
        <v>0</v>
      </c>
      <c r="F26" s="414">
        <f t="shared" si="3"/>
        <v>0</v>
      </c>
      <c r="G26" s="415" t="s">
        <v>179</v>
      </c>
      <c r="H26" s="412">
        <v>0</v>
      </c>
      <c r="I26" s="414">
        <f t="shared" si="2"/>
        <v>0</v>
      </c>
      <c r="J26" s="415" t="s">
        <v>1138</v>
      </c>
      <c r="K26" s="414">
        <f t="shared" si="1"/>
        <v>0</v>
      </c>
    </row>
    <row r="27" spans="1:11">
      <c r="A27" s="224" t="s">
        <v>808</v>
      </c>
      <c r="B27" s="220" t="s">
        <v>780</v>
      </c>
      <c r="C27" s="220" t="s">
        <v>1057</v>
      </c>
      <c r="D27" s="413">
        <f>SUMIFS('4-Basis ruimtestaat'!J:J,'4-Basis ruimtestaat'!B:B,'9-Vloeronderhoud'!A27,'4-Basis ruimtestaat'!I:I,'9-Vloeronderhoud'!B27)-SUMIFS('4-Basis ruimtestaat'!J:J,'4-Basis ruimtestaat'!B:B,'9-Vloeronderhoud'!A27,'4-Basis ruimtestaat'!I:I,'9-Vloeronderhoud'!B27,'4-Basis ruimtestaat'!L:L,"nio")</f>
        <v>1102.1599992370609</v>
      </c>
      <c r="E27" s="412">
        <v>0</v>
      </c>
      <c r="F27" s="414">
        <f t="shared" si="3"/>
        <v>0</v>
      </c>
      <c r="G27" s="415" t="s">
        <v>179</v>
      </c>
      <c r="H27" s="412">
        <v>0</v>
      </c>
      <c r="I27" s="414">
        <f t="shared" si="2"/>
        <v>0</v>
      </c>
      <c r="J27" s="415" t="s">
        <v>1138</v>
      </c>
      <c r="K27" s="414">
        <f t="shared" si="1"/>
        <v>0</v>
      </c>
    </row>
    <row r="28" spans="1:11">
      <c r="A28" s="226" t="s">
        <v>809</v>
      </c>
      <c r="B28" s="220" t="s">
        <v>780</v>
      </c>
      <c r="C28" s="220" t="s">
        <v>1057</v>
      </c>
      <c r="D28" s="413">
        <f>SUMIFS('4-Basis ruimtestaat'!J:J,'4-Basis ruimtestaat'!B:B,'9-Vloeronderhoud'!A28,'4-Basis ruimtestaat'!I:I,'9-Vloeronderhoud'!B28)-SUMIFS('4-Basis ruimtestaat'!J:J,'4-Basis ruimtestaat'!B:B,'9-Vloeronderhoud'!A28,'4-Basis ruimtestaat'!I:I,'9-Vloeronderhoud'!B28,'4-Basis ruimtestaat'!L:L,"nio")</f>
        <v>236.7</v>
      </c>
      <c r="E28" s="412">
        <v>0</v>
      </c>
      <c r="F28" s="414">
        <f t="shared" si="3"/>
        <v>0</v>
      </c>
      <c r="G28" s="415" t="s">
        <v>179</v>
      </c>
      <c r="H28" s="412">
        <v>0</v>
      </c>
      <c r="I28" s="414">
        <f t="shared" si="2"/>
        <v>0</v>
      </c>
      <c r="J28" s="415" t="s">
        <v>1138</v>
      </c>
      <c r="K28" s="414">
        <f t="shared" si="1"/>
        <v>0</v>
      </c>
    </row>
    <row r="29" spans="1:11">
      <c r="A29" s="226" t="s">
        <v>818</v>
      </c>
      <c r="B29" s="220" t="s">
        <v>780</v>
      </c>
      <c r="C29" s="220" t="s">
        <v>1057</v>
      </c>
      <c r="D29" s="413">
        <f>SUMIFS('4-Basis ruimtestaat'!J:J,'4-Basis ruimtestaat'!B:B,'9-Vloeronderhoud'!A29,'4-Basis ruimtestaat'!I:I,'9-Vloeronderhoud'!B29)-SUMIFS('4-Basis ruimtestaat'!J:J,'4-Basis ruimtestaat'!B:B,'9-Vloeronderhoud'!A29,'4-Basis ruimtestaat'!I:I,'9-Vloeronderhoud'!B29,'4-Basis ruimtestaat'!L:L,"nio")</f>
        <v>1407.57000041008</v>
      </c>
      <c r="E29" s="412">
        <v>0</v>
      </c>
      <c r="F29" s="414">
        <f t="shared" si="3"/>
        <v>0</v>
      </c>
      <c r="G29" s="415" t="s">
        <v>179</v>
      </c>
      <c r="H29" s="412">
        <v>0</v>
      </c>
      <c r="I29" s="414">
        <f t="shared" si="2"/>
        <v>0</v>
      </c>
      <c r="J29" s="415" t="s">
        <v>1138</v>
      </c>
      <c r="K29" s="414">
        <f t="shared" si="1"/>
        <v>0</v>
      </c>
    </row>
    <row r="30" spans="1:11">
      <c r="A30" s="226" t="s">
        <v>819</v>
      </c>
      <c r="B30" s="220" t="s">
        <v>780</v>
      </c>
      <c r="C30" s="220" t="s">
        <v>1057</v>
      </c>
      <c r="D30" s="413">
        <f>SUMIFS('4-Basis ruimtestaat'!J:J,'4-Basis ruimtestaat'!B:B,'9-Vloeronderhoud'!A30,'4-Basis ruimtestaat'!I:I,'9-Vloeronderhoud'!B30)-SUMIFS('4-Basis ruimtestaat'!J:J,'4-Basis ruimtestaat'!B:B,'9-Vloeronderhoud'!A30,'4-Basis ruimtestaat'!I:I,'9-Vloeronderhoud'!B30,'4-Basis ruimtestaat'!L:L,"nio")</f>
        <v>905.25000000000023</v>
      </c>
      <c r="E30" s="412">
        <v>0</v>
      </c>
      <c r="F30" s="414">
        <f t="shared" si="3"/>
        <v>0</v>
      </c>
      <c r="G30" s="415" t="s">
        <v>179</v>
      </c>
      <c r="H30" s="412">
        <v>0</v>
      </c>
      <c r="I30" s="414">
        <f t="shared" si="2"/>
        <v>0</v>
      </c>
      <c r="J30" s="415" t="s">
        <v>1138</v>
      </c>
      <c r="K30" s="414">
        <f t="shared" si="1"/>
        <v>0</v>
      </c>
    </row>
    <row r="31" spans="1:11">
      <c r="A31" s="226" t="s">
        <v>821</v>
      </c>
      <c r="B31" s="220" t="s">
        <v>780</v>
      </c>
      <c r="C31" s="220" t="s">
        <v>1057</v>
      </c>
      <c r="D31" s="413">
        <f>SUMIFS('4-Basis ruimtestaat'!J:J,'4-Basis ruimtestaat'!B:B,'9-Vloeronderhoud'!A31,'4-Basis ruimtestaat'!I:I,'9-Vloeronderhoud'!B31)-SUMIFS('4-Basis ruimtestaat'!J:J,'4-Basis ruimtestaat'!B:B,'9-Vloeronderhoud'!A31,'4-Basis ruimtestaat'!I:I,'9-Vloeronderhoud'!B31,'4-Basis ruimtestaat'!L:L,"nio")</f>
        <v>120.99000000000001</v>
      </c>
      <c r="E31" s="412">
        <v>0</v>
      </c>
      <c r="F31" s="414">
        <f t="shared" si="3"/>
        <v>0</v>
      </c>
      <c r="G31" s="415" t="s">
        <v>179</v>
      </c>
      <c r="H31" s="412">
        <v>0</v>
      </c>
      <c r="I31" s="414">
        <f t="shared" si="2"/>
        <v>0</v>
      </c>
      <c r="J31" s="415" t="s">
        <v>1138</v>
      </c>
      <c r="K31" s="414">
        <f t="shared" si="1"/>
        <v>0</v>
      </c>
    </row>
    <row r="32" spans="1:11">
      <c r="B32" s="225"/>
      <c r="C32" s="225"/>
      <c r="D32" s="416"/>
      <c r="E32" s="416"/>
      <c r="F32" s="416"/>
      <c r="G32" s="416"/>
      <c r="H32" s="416"/>
      <c r="I32" s="416"/>
      <c r="J32" s="416"/>
      <c r="K32" s="416"/>
    </row>
    <row r="33" spans="1:11">
      <c r="A33" s="227" t="s">
        <v>8</v>
      </c>
      <c r="B33" s="228"/>
      <c r="C33" s="229"/>
      <c r="D33" s="417">
        <f>SUM(D11:D31)</f>
        <v>17326.713682094647</v>
      </c>
      <c r="E33" s="418"/>
      <c r="F33" s="479">
        <f>SUM(F11:F31)</f>
        <v>0</v>
      </c>
      <c r="G33" s="420"/>
      <c r="H33" s="418"/>
      <c r="I33" s="479">
        <f>SUM(I11:I31)</f>
        <v>0</v>
      </c>
      <c r="J33" s="420"/>
      <c r="K33" s="421">
        <f>SUM(K11:K31)</f>
        <v>0</v>
      </c>
    </row>
    <row r="35" spans="1:11" ht="15.6">
      <c r="A35" s="449" t="s">
        <v>1058</v>
      </c>
    </row>
  </sheetData>
  <autoFilter ref="A10:X33"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2CA38CD2-004F-4124-A658-D5780DD16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8-Afroepprijs</vt:lpstr>
      <vt:lpstr>9-Vloeronderhoud</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'8-Afroepprijs'!Afdrukbereik</vt:lpstr>
      <vt:lpstr>'10-Glasbewassing'!Afdruktitels</vt:lpstr>
      <vt:lpstr>'2-Kosten per locatie'!Afdruktitels</vt:lpstr>
      <vt:lpstr>'4-Basis ruimtestaat'!Afdruktitels</vt:lpstr>
      <vt:lpstr>'6-Opbouw uurtarief productie'!Afdruktitels</vt:lpstr>
      <vt:lpstr>'8-Afroepprijs'!Afdruktitels</vt:lpstr>
      <vt:lpstr>'9-Vloeronderhoud'!Afdruktitels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2024-03-15T07:53:40Z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