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Oude IJsselstreek\Aanbesteding 2023\Uitlever\"/>
    </mc:Choice>
  </mc:AlternateContent>
  <xr:revisionPtr revIDLastSave="0" documentId="13_ncr:1_{1D84F179-1EFD-4DE5-8154-8866B8C95B9B}" xr6:coauthVersionLast="47" xr6:coauthVersionMax="47" xr10:uidLastSave="{00000000-0000-0000-0000-000000000000}"/>
  <bookViews>
    <workbookView xWindow="28680" yWindow="-120" windowWidth="29040" windowHeight="15720" firstSheet="4" activeTab="11" xr2:uid="{763018FC-30A6-47C9-AE40-A16E1EE49A16}"/>
  </bookViews>
  <sheets>
    <sheet name="Voorblad" sheetId="1" r:id="rId1"/>
    <sheet name="Omreken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froep" sheetId="10" r:id="rId10"/>
    <sheet name="Afroep incidenteel" sheetId="11" r:id="rId11"/>
    <sheet name="Totaal" sheetId="12" r:id="rId12"/>
  </sheets>
  <definedNames>
    <definedName name="_xlnm._FilterDatabase" localSheetId="4" hidden="1">'Ruimten werkdag'!$A$3:$U$170</definedName>
    <definedName name="_xlnm.Print_Titles" localSheetId="9">Afroep!$1:$3</definedName>
    <definedName name="_xlnm.Print_Titles" localSheetId="10">'Afroep incidenteel'!$1:$3</definedName>
    <definedName name="_xlnm.Print_Titles" localSheetId="2">Categorienormen!$1:$3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3">'Regulier werk'!$1:$3</definedName>
    <definedName name="_xlnm.Print_Titles" localSheetId="4">'Ruimten werkdag'!$1:$3</definedName>
    <definedName name="_xlnm.Print_Titles" localSheetId="11">Totaal!$1:$3</definedName>
    <definedName name="_xlnm.Print_Titles" localSheetId="8">'Totaalblad Objecten'!$1:$3</definedName>
    <definedName name="catdw_1_AHV_12">Categorienormen!$F$20</definedName>
    <definedName name="catdw_1_AZV_1">Categorienormen!$F$21</definedName>
    <definedName name="catdw_1_AZV_12">Categorienormen!$F$22</definedName>
    <definedName name="catdw_1_BHB_1">Categorienormen!$F$6</definedName>
    <definedName name="catdw_1_BHV_51">Categorienormen!$F$7</definedName>
    <definedName name="catdw_1_BZB_1">Categorienormen!$F$8</definedName>
    <definedName name="catdw_1_BZV_51">Categorienormen!$F$9</definedName>
    <definedName name="catdw_1_CHV_1">Categorienormen!$F$23</definedName>
    <definedName name="catdw_1_DHB_1">Categorienormen!$F$14</definedName>
    <definedName name="catdw_1_DHV_51">Categorienormen!$F$15</definedName>
    <definedName name="catdw_1_EHB_1">Categorienormen!$F$24</definedName>
    <definedName name="catdw_1_EHV_51">Categorienormen!$F$25</definedName>
    <definedName name="catdw_1_EZB_1">Categorienormen!$F$26</definedName>
    <definedName name="catdw_1_EZV_51">Categorienormen!$F$27</definedName>
    <definedName name="catdw_1_IHB_1">Categorienormen!$F$28</definedName>
    <definedName name="catdw_1_IHV_51">Categorienormen!$F$29</definedName>
    <definedName name="catdw_1_KHB_1">Categorienormen!$F$16</definedName>
    <definedName name="catdw_1_KHV_51">Categorienormen!$F$17</definedName>
    <definedName name="catdw_1_OHB_1">Categorienormen!$F$10</definedName>
    <definedName name="catdw_1_OHV_51">Categorienormen!$F$11</definedName>
    <definedName name="catdw_1_OZB_1">Categorienormen!$F$12</definedName>
    <definedName name="catdw_1_OZV_51">Categorienormen!$F$13</definedName>
    <definedName name="catdw_1_PHB_1">Categorienormen!$F$30</definedName>
    <definedName name="catdw_1_PHV_51">Categorienormen!$F$31</definedName>
    <definedName name="catdw_1_PZB_1">Categorienormen!$F$32</definedName>
    <definedName name="catdw_1_PZV_51">Categorienormen!$F$33</definedName>
    <definedName name="catdw_1_RHB_1">Categorienormen!$F$34</definedName>
    <definedName name="catdw_1_RHV_51">Categorienormen!$F$35</definedName>
    <definedName name="catdw_1_RZB_1">Categorienormen!$F$36</definedName>
    <definedName name="catdw_1_RZV_51">Categorienormen!$F$37</definedName>
    <definedName name="catdw_1_SHB_1">Categorienormen!$F$18</definedName>
    <definedName name="catdw_1_SHV_51">Categorienormen!$F$19</definedName>
    <definedName name="catdw_1_THB_1">Categorienormen!$F$38</definedName>
    <definedName name="catdw_1_THV_51">Categorienormen!$F$39</definedName>
    <definedName name="catdw_1_VHB_1">Categorienormen!$F$40</definedName>
    <definedName name="catdw_1_VHV_51">Categorienormen!$F$41</definedName>
    <definedName name="catdw_1_VZB_1">Categorienormen!$F$42</definedName>
    <definedName name="catdw_1_VZV_51">Categorienormen!$F$43</definedName>
    <definedName name="catdw_1_XBB_1">Categorienormen!$F$44</definedName>
    <definedName name="catfd_1_AHV_12">Categorienormen!$C$20</definedName>
    <definedName name="catfd_1_AZV_1">Categorienormen!$C$21</definedName>
    <definedName name="catfd_1_AZV_12">Categorienormen!$C$22</definedName>
    <definedName name="catfd_1_BHB_1">Categorienormen!$C$6</definedName>
    <definedName name="catfd_1_BHV_51">Categorienormen!$C$7</definedName>
    <definedName name="catfd_1_BZB_1">Categorienormen!$C$8</definedName>
    <definedName name="catfd_1_BZV_51">Categorienormen!$C$9</definedName>
    <definedName name="catfd_1_CHV_1">Categorienormen!$C$23</definedName>
    <definedName name="catfd_1_DHB_1">Categorienormen!$C$14</definedName>
    <definedName name="catfd_1_DHV_51">Categorienormen!$C$15</definedName>
    <definedName name="catfd_1_EHB_1">Categorienormen!$C$24</definedName>
    <definedName name="catfd_1_EHV_51">Categorienormen!$C$25</definedName>
    <definedName name="catfd_1_EZB_1">Categorienormen!$C$26</definedName>
    <definedName name="catfd_1_EZV_51">Categorienormen!$C$27</definedName>
    <definedName name="catfd_1_IHB_1">Categorienormen!$C$28</definedName>
    <definedName name="catfd_1_IHV_51">Categorienormen!$C$29</definedName>
    <definedName name="catfd_1_KHB_1">Categorienormen!$C$16</definedName>
    <definedName name="catfd_1_KHV_51">Categorienormen!$C$17</definedName>
    <definedName name="catfd_1_OHB_1">Categorienormen!$C$10</definedName>
    <definedName name="catfd_1_OHV_51">Categorienormen!$C$11</definedName>
    <definedName name="catfd_1_OZB_1">Categorienormen!$C$12</definedName>
    <definedName name="catfd_1_OZV_51">Categorienormen!$C$13</definedName>
    <definedName name="catfd_1_PHB_1">Categorienormen!$C$30</definedName>
    <definedName name="catfd_1_PHV_51">Categorienormen!$C$31</definedName>
    <definedName name="catfd_1_PZB_1">Categorienormen!$C$32</definedName>
    <definedName name="catfd_1_PZV_51">Categorienormen!$C$33</definedName>
    <definedName name="catfd_1_RHB_1">Categorienormen!$C$34</definedName>
    <definedName name="catfd_1_RHV_51">Categorienormen!$C$35</definedName>
    <definedName name="catfd_1_RZB_1">Categorienormen!$C$36</definedName>
    <definedName name="catfd_1_RZV_51">Categorienormen!$C$37</definedName>
    <definedName name="catfd_1_SHB_1">Categorienormen!$C$18</definedName>
    <definedName name="catfd_1_SHV_51">Categorienormen!$C$19</definedName>
    <definedName name="catfd_1_THB_1">Categorienormen!$C$38</definedName>
    <definedName name="catfd_1_THV_51">Categorienormen!$C$39</definedName>
    <definedName name="catfd_1_VHB_1">Categorienormen!$C$40</definedName>
    <definedName name="catfd_1_VHV_51">Categorienormen!$C$41</definedName>
    <definedName name="catfd_1_VZB_1">Categorienormen!$C$42</definedName>
    <definedName name="catfd_1_VZV_51">Categorienormen!$C$43</definedName>
    <definedName name="catfd_1_XBB_1">Categorienormen!$C$44</definedName>
    <definedName name="catpn_1_AHV_12">Categorienormen!$E$20</definedName>
    <definedName name="catpn_1_AZV_1">Categorienormen!$E$21</definedName>
    <definedName name="catpn_1_AZV_12">Categorienormen!$E$22</definedName>
    <definedName name="catpn_1_BHB_1">Categorienormen!$E$6</definedName>
    <definedName name="catpn_1_BHV_51">Categorienormen!$E$7</definedName>
    <definedName name="catpn_1_BZB_1">Categorienormen!$E$8</definedName>
    <definedName name="catpn_1_BZV_51">Categorienormen!$E$9</definedName>
    <definedName name="catpn_1_CHV_1">Categorienormen!$E$23</definedName>
    <definedName name="catpn_1_DHB_1">Categorienormen!$E$14</definedName>
    <definedName name="catpn_1_DHV_51">Categorienormen!$E$15</definedName>
    <definedName name="catpn_1_EHB_1">Categorienormen!$E$24</definedName>
    <definedName name="catpn_1_EHV_51">Categorienormen!$E$25</definedName>
    <definedName name="catpn_1_EZB_1">Categorienormen!$E$26</definedName>
    <definedName name="catpn_1_EZV_51">Categorienormen!$E$27</definedName>
    <definedName name="catpn_1_IHB_1">Categorienormen!$E$28</definedName>
    <definedName name="catpn_1_IHV_51">Categorienormen!$E$29</definedName>
    <definedName name="catpn_1_KHB_1">Categorienormen!$E$16</definedName>
    <definedName name="catpn_1_KHV_51">Categorienormen!$E$17</definedName>
    <definedName name="catpn_1_OHB_1">Categorienormen!$E$10</definedName>
    <definedName name="catpn_1_OHV_51">Categorienormen!$E$11</definedName>
    <definedName name="catpn_1_OZB_1">Categorienormen!$E$12</definedName>
    <definedName name="catpn_1_OZV_51">Categorienormen!$E$13</definedName>
    <definedName name="catpn_1_PHB_1">Categorienormen!$E$30</definedName>
    <definedName name="catpn_1_PHV_51">Categorienormen!$E$31</definedName>
    <definedName name="catpn_1_PZB_1">Categorienormen!$E$32</definedName>
    <definedName name="catpn_1_PZV_51">Categorienormen!$E$33</definedName>
    <definedName name="catpn_1_RHB_1">Categorienormen!$E$34</definedName>
    <definedName name="catpn_1_RHV_51">Categorienormen!$E$35</definedName>
    <definedName name="catpn_1_RZB_1">Categorienormen!$E$36</definedName>
    <definedName name="catpn_1_RZV_51">Categorienormen!$E$37</definedName>
    <definedName name="catpn_1_SHB_1">Categorienormen!$E$18</definedName>
    <definedName name="catpn_1_SHV_51">Categorienormen!$E$19</definedName>
    <definedName name="catpn_1_THB_1">Categorienormen!$E$38</definedName>
    <definedName name="catpn_1_THV_51">Categorienormen!$E$39</definedName>
    <definedName name="catpn_1_VHB_1">Categorienormen!$E$40</definedName>
    <definedName name="catpn_1_VHV_51">Categorienormen!$E$41</definedName>
    <definedName name="catpn_1_VZB_1">Categorienormen!$E$42</definedName>
    <definedName name="catpn_1_VZV_51">Categorienormen!$E$43</definedName>
    <definedName name="catpn_1_XBB_1">Categorienormen!$E$44</definedName>
    <definedName name="cattf_1_AHV_12">Categorienormen!$H$20</definedName>
    <definedName name="cattf_1_AZV_1">Categorienormen!$H$21</definedName>
    <definedName name="cattf_1_AZV_12">Categorienormen!$H$22</definedName>
    <definedName name="cattf_1_BHB_1">Categorienormen!$H$6</definedName>
    <definedName name="cattf_1_BHV_51">Categorienormen!$H$7</definedName>
    <definedName name="cattf_1_BZB_1">Categorienormen!$H$8</definedName>
    <definedName name="cattf_1_BZV_51">Categorienormen!$H$9</definedName>
    <definedName name="cattf_1_CHV_1">Categorienormen!$H$23</definedName>
    <definedName name="cattf_1_DHB_1">Categorienormen!$H$14</definedName>
    <definedName name="cattf_1_DHV_51">Categorienormen!$H$15</definedName>
    <definedName name="cattf_1_EHB_1">Categorienormen!$H$24</definedName>
    <definedName name="cattf_1_EHV_51">Categorienormen!$H$25</definedName>
    <definedName name="cattf_1_EZB_1">Categorienormen!$H$26</definedName>
    <definedName name="cattf_1_EZV_51">Categorienormen!$H$27</definedName>
    <definedName name="cattf_1_IHB_1">Categorienormen!$H$28</definedName>
    <definedName name="cattf_1_IHV_51">Categorienormen!$H$29</definedName>
    <definedName name="cattf_1_KHB_1">Categorienormen!$H$16</definedName>
    <definedName name="cattf_1_KHV_51">Categorienormen!$H$17</definedName>
    <definedName name="cattf_1_OHB_1">Categorienormen!$H$10</definedName>
    <definedName name="cattf_1_OHV_51">Categorienormen!$H$11</definedName>
    <definedName name="cattf_1_OZB_1">Categorienormen!$H$12</definedName>
    <definedName name="cattf_1_OZV_51">Categorienormen!$H$13</definedName>
    <definedName name="cattf_1_PHB_1">Categorienormen!$H$30</definedName>
    <definedName name="cattf_1_PHV_51">Categorienormen!$H$31</definedName>
    <definedName name="cattf_1_PZB_1">Categorienormen!$H$32</definedName>
    <definedName name="cattf_1_PZV_51">Categorienormen!$H$33</definedName>
    <definedName name="cattf_1_RHB_1">Categorienormen!$H$34</definedName>
    <definedName name="cattf_1_RHV_51">Categorienormen!$H$35</definedName>
    <definedName name="cattf_1_RZB_1">Categorienormen!$H$36</definedName>
    <definedName name="cattf_1_RZV_51">Categorienormen!$H$37</definedName>
    <definedName name="cattf_1_SHB_1">Categorienormen!$H$18</definedName>
    <definedName name="cattf_1_SHV_51">Categorienormen!$H$19</definedName>
    <definedName name="cattf_1_THB_1">Categorienormen!$H$38</definedName>
    <definedName name="cattf_1_THV_51">Categorienormen!$H$39</definedName>
    <definedName name="cattf_1_VHB_1">Categorienormen!$H$40</definedName>
    <definedName name="cattf_1_VHV_51">Categorienormen!$H$41</definedName>
    <definedName name="cattf_1_VZB_1">Categorienormen!$H$42</definedName>
    <definedName name="cattf_1_VZV_51">Categorienormen!$H$43</definedName>
    <definedName name="cattf_1_XBB_1">Categorienormen!$H$44</definedName>
    <definedName name="dagenperjaar1">Omreken!$B$9</definedName>
    <definedName name="dagenperweek1">Omreken!$B$10</definedName>
    <definedName name="dagsoorttabel1">Omreken!$A$13:$B$24</definedName>
    <definedName name="dagwerk10">'Regulier werk'!$H$9</definedName>
    <definedName name="dagwerk11">'Regulier werk'!$H$10</definedName>
    <definedName name="dagwerk12">'Regulier werk'!$H$11</definedName>
    <definedName name="dagwerk13">'Regulier werk'!$H$12</definedName>
    <definedName name="dagwerk14">'Regulier werk'!$H$13</definedName>
    <definedName name="dagwerk15">'Regulier werk'!$H$14</definedName>
    <definedName name="dagwerk16">'Regulier werk'!$H$15</definedName>
    <definedName name="dagwerk17">'Regulier werk'!$H$16</definedName>
    <definedName name="dagwerk18">'Regulier werk'!$H$17</definedName>
    <definedName name="dagwerk19">'Regulier werk'!$H$18</definedName>
    <definedName name="dagwerk20">'Regulier werk'!$H$19</definedName>
    <definedName name="dagwerk21">'Regulier werk'!$H$20</definedName>
    <definedName name="dagwerk22">'Regulier werk'!$H$21</definedName>
    <definedName name="dagwerk23">'Regulier werk'!$H$22</definedName>
    <definedName name="dagwerk24">'Regulier werk'!$H$23</definedName>
    <definedName name="dagwerk25">'Regulier werk'!$H$24</definedName>
    <definedName name="dagwerk26">'Regulier werk'!$H$25</definedName>
    <definedName name="dagwerk27">'Regulier werk'!$H$26</definedName>
    <definedName name="dagwerk28">'Regulier werk'!$H$27</definedName>
    <definedName name="dagwerk29">'Regulier werk'!$H$28</definedName>
    <definedName name="dagwerk30">'Regulier werk'!$H$29</definedName>
    <definedName name="dagwerk31">'Regulier werk'!$H$30</definedName>
    <definedName name="dagwerk32">'Regulier werk'!$H$31</definedName>
    <definedName name="dagwerk6">'Regulier werk'!$H$32</definedName>
    <definedName name="dagwerk7">'Regulier werk'!$H$6</definedName>
    <definedName name="dagwerk8">'Regulier werk'!$H$7</definedName>
    <definedName name="dagwerk9">'Regulier werk'!$H$8</definedName>
    <definedName name="dagwerktabel1">Objectinformatie!$H$5:$H$31</definedName>
    <definedName name="gemuurtarief1">'Regulier werk'!$J$35</definedName>
    <definedName name="kengetaltabel1">Objectinformatie!$G$5:$G$31</definedName>
    <definedName name="object1_gemuurtarief1">'Ruimten werkdag'!$P$139</definedName>
    <definedName name="object1_opptabel1">Objectinformatie!$J$5:$J$31</definedName>
    <definedName name="object1_prijsdag1">'Ruimten werkdag'!$S$139</definedName>
    <definedName name="object1_prijsjaar1">'Ruimten werkdag'!$U$139</definedName>
    <definedName name="object1_urendag1">'Ruimten werkdag'!$Q$139</definedName>
    <definedName name="object1_urendaghf1">'Ruimten werkdag'!$R$139</definedName>
    <definedName name="object1_urenjaar1">'Ruimten werkdag'!$T$139</definedName>
    <definedName name="object2_gemuurtarief1">'Ruimten werkdag'!$P$170</definedName>
    <definedName name="object2_opptabel1">Objectinformatie!$K$5:$K$31</definedName>
    <definedName name="object2_prijsdag1">'Ruimten werkdag'!$S$170</definedName>
    <definedName name="object2_prijsjaar1">'Ruimten werkdag'!$U$170</definedName>
    <definedName name="object2_urendag1">'Ruimten werkdag'!$Q$170</definedName>
    <definedName name="object2_urendaghf1">'Ruimten werkdag'!$R$170</definedName>
    <definedName name="object2_urenjaar1">'Ruimten werkdag'!$T$170</definedName>
    <definedName name="objectprijs1_1">Objecten!$Q$6</definedName>
    <definedName name="objectprijs2_1">Objecten!$Q$7</definedName>
    <definedName name="objecturen1_1">Objecten!$P$6</definedName>
    <definedName name="objecturen2_1">Objecten!$P$7</definedName>
    <definedName name="objecturenhf1_1">Objecten!$O$6</definedName>
    <definedName name="objecturenhf2_1">Objecten!$O$7</definedName>
    <definedName name="prijsdag1">'Regulier werk'!$L$33</definedName>
    <definedName name="prijsjaar">'Regulier werk'!$N$38</definedName>
    <definedName name="prijsjaar1">'Regulier werk'!$N$33</definedName>
    <definedName name="prijsjaarafroep">Afroep!$K$28</definedName>
    <definedName name="prijsjaarafroep1">Afroep!$K$26</definedName>
    <definedName name="prijsjaarnietmeewerkend">'Niet-meewerkende objectleiding'!$J$27</definedName>
    <definedName name="prijsjaartotaal">Objecten!$Q$11</definedName>
    <definedName name="prijsjaartotaal1">Objecten!$Q$8</definedName>
    <definedName name="prijsjaartotaaloverzicht">'Totaalblad Objecten'!$G$7</definedName>
    <definedName name="prijsmaandtotaal1">Objecten!$R$8</definedName>
    <definedName name="prodnorm0">Afroep!$H$25</definedName>
    <definedName name="prodnorm10">'Regulier werk'!$G$9</definedName>
    <definedName name="prodnorm11">'Regulier werk'!$G$10</definedName>
    <definedName name="prodnorm12">'Regulier werk'!$G$11</definedName>
    <definedName name="prodnorm13">'Regulier werk'!$G$12</definedName>
    <definedName name="prodnorm14">'Regulier werk'!$G$13</definedName>
    <definedName name="prodnorm15">'Regulier werk'!$G$14</definedName>
    <definedName name="prodnorm16">'Regulier werk'!$G$15</definedName>
    <definedName name="prodnorm17">'Regulier werk'!$G$16</definedName>
    <definedName name="prodnorm18">'Regulier werk'!$G$17</definedName>
    <definedName name="prodnorm19">'Regulier werk'!$G$18</definedName>
    <definedName name="prodnorm20">'Regulier werk'!$G$19</definedName>
    <definedName name="prodnorm21">'Regulier werk'!$G$20</definedName>
    <definedName name="prodnorm22">'Regulier werk'!$G$21</definedName>
    <definedName name="prodnorm23">'Regulier werk'!$G$22</definedName>
    <definedName name="prodnorm24">'Regulier werk'!$G$23</definedName>
    <definedName name="prodnorm25">'Regulier werk'!$G$24</definedName>
    <definedName name="prodnorm26">'Regulier werk'!$G$25</definedName>
    <definedName name="prodnorm27">'Regulier werk'!$G$26</definedName>
    <definedName name="prodnorm28">'Regulier werk'!$G$27</definedName>
    <definedName name="prodnorm29">'Regulier werk'!$G$28</definedName>
    <definedName name="prodnorm30">'Regulier werk'!$G$29</definedName>
    <definedName name="prodnorm31">'Regulier werk'!$G$30</definedName>
    <definedName name="prodnorm32">'Regulier werk'!$G$31</definedName>
    <definedName name="prodnorm6">'Regulier werk'!$G$32</definedName>
    <definedName name="prodnorm7">'Regulier werk'!$G$6</definedName>
    <definedName name="prodnorm8">'Regulier werk'!$G$7</definedName>
    <definedName name="prodnorm9">'Regulier werk'!$G$8</definedName>
    <definedName name="taakfreqtabel1">Objectinformatie!$E$5:$E$31</definedName>
    <definedName name="tabeltype">Omreken!$B$5:$B$5</definedName>
    <definedName name="tarieftabel1">Objectinformatie!$I$5:$I$31</definedName>
    <definedName name="tzpjt1">'Niet-meewerkende objectleiding'!$J$24</definedName>
    <definedName name="tzpjt1_1">'Niet-meewerkende objectleiding'!$J$13</definedName>
    <definedName name="tzpjt2_1">'Niet-meewerkende objectleiding'!$J$22</definedName>
    <definedName name="tzpmt1">'Niet-meewerkende objectleiding'!$K$24</definedName>
    <definedName name="tzpmt1_1">'Niet-meewerkende objectleiding'!$K$13</definedName>
    <definedName name="tzpmt2_1">'Niet-meewerkende objectleiding'!$K$22</definedName>
    <definedName name="tzujt1">'Niet-meewerkende objectleiding'!$H$24</definedName>
    <definedName name="tzujt1_1">'Niet-meewerkende objectleiding'!$H$13</definedName>
    <definedName name="tzujt2_1">'Niet-meewerkende objectleiding'!$H$22</definedName>
    <definedName name="urendag1">'Regulier werk'!$K$33</definedName>
    <definedName name="urenjaar">'Regulier werk'!$M$38</definedName>
    <definedName name="urenjaar1">'Regulier werk'!$M$33</definedName>
    <definedName name="urenjaarnietmeewerkend">'Niet-meewerkende objectleiding'!$H$27</definedName>
    <definedName name="urenjaartotaal">Objecten!$P$11</definedName>
    <definedName name="urenjaartotaal1">Objecten!$P$8</definedName>
    <definedName name="urenjaartotaalhf">Objecten!$O$11</definedName>
    <definedName name="urenjaartotaalhf1">Objecten!$O$8</definedName>
    <definedName name="urenjaartotaaloverzicht">'Totaalblad Objecten'!$F$7</definedName>
    <definedName name="urenjaartotaaloverzichthf">'Totaalblad Objecten'!$E$7</definedName>
    <definedName name="uurfactortabel1">Objectinformatie!$F$5:$F$31</definedName>
    <definedName name="uurtarief0">'Afroep incidenteel'!$E$77</definedName>
    <definedName name="uurtarief10">'Regulier werk'!$J$9</definedName>
    <definedName name="uurtarief11">'Regulier werk'!$J$10</definedName>
    <definedName name="uurtarief12">'Regulier werk'!$J$11</definedName>
    <definedName name="uurtarief13">'Regulier werk'!$J$12</definedName>
    <definedName name="uurtarief14">'Regulier werk'!$J$13</definedName>
    <definedName name="uurtarief15">'Regulier werk'!$J$14</definedName>
    <definedName name="uurtarief16">'Regulier werk'!$J$15</definedName>
    <definedName name="uurtarief17">'Regulier werk'!$J$16</definedName>
    <definedName name="uurtarief18">'Regulier werk'!$J$17</definedName>
    <definedName name="uurtarief19">'Regulier werk'!$J$18</definedName>
    <definedName name="uurtarief20">'Regulier werk'!$J$19</definedName>
    <definedName name="uurtarief21">'Regulier werk'!$J$20</definedName>
    <definedName name="uurtarief22">'Regulier werk'!$J$21</definedName>
    <definedName name="uurtarief23">'Regulier werk'!$J$22</definedName>
    <definedName name="uurtarief24">'Regulier werk'!$J$23</definedName>
    <definedName name="uurtarief25">'Regulier werk'!$J$24</definedName>
    <definedName name="uurtarief26">'Regulier werk'!$J$25</definedName>
    <definedName name="uurtarief27">'Regulier werk'!$J$26</definedName>
    <definedName name="uurtarief28">'Regulier werk'!$J$27</definedName>
    <definedName name="uurtarief29">'Regulier werk'!$J$28</definedName>
    <definedName name="uurtarief30">'Regulier werk'!$J$29</definedName>
    <definedName name="uurtarief31">'Regulier werk'!$J$30</definedName>
    <definedName name="uurtarief32">'Regulier werk'!$J$31</definedName>
    <definedName name="uurtarief6">'Regulier werk'!$J$32</definedName>
    <definedName name="uurtarief7">'Regulier werk'!$J$6</definedName>
    <definedName name="uurtarief8">'Regulier werk'!$J$7</definedName>
    <definedName name="uurtarief9">'Regulier werk'!$J$8</definedName>
    <definedName name="vu_variant">Totaal!$B$8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2" l="1"/>
  <c r="A1" i="11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A1" i="10"/>
  <c r="A1" i="9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31" i="6"/>
  <c r="H31" i="6"/>
  <c r="G31" i="6"/>
  <c r="I30" i="6"/>
  <c r="H30" i="6"/>
  <c r="G30" i="6"/>
  <c r="P169" i="5"/>
  <c r="N169" i="5"/>
  <c r="M169" i="5"/>
  <c r="P162" i="5"/>
  <c r="N162" i="5"/>
  <c r="M162" i="5"/>
  <c r="P144" i="5"/>
  <c r="N144" i="5"/>
  <c r="M144" i="5"/>
  <c r="P138" i="5"/>
  <c r="N138" i="5"/>
  <c r="M138" i="5"/>
  <c r="A1" i="5"/>
  <c r="K31" i="4"/>
  <c r="J30" i="4"/>
  <c r="H30" i="4"/>
  <c r="G30" i="4"/>
  <c r="J29" i="4"/>
  <c r="H29" i="4"/>
  <c r="G29" i="4"/>
  <c r="J28" i="4"/>
  <c r="H28" i="4"/>
  <c r="G28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B24" i="2"/>
  <c r="B23" i="2"/>
  <c r="B22" i="2"/>
  <c r="B21" i="2"/>
  <c r="B20" i="2"/>
  <c r="B19" i="2"/>
  <c r="B18" i="2"/>
  <c r="B17" i="2"/>
  <c r="B16" i="2"/>
  <c r="B15" i="2"/>
  <c r="B14" i="2"/>
  <c r="B13" i="2"/>
  <c r="C17" i="8" l="1"/>
  <c r="I17" i="8" s="1"/>
  <c r="C8" i="8"/>
  <c r="I8" i="8" s="1"/>
  <c r="E28" i="6"/>
  <c r="E27" i="6"/>
  <c r="E26" i="6"/>
  <c r="E25" i="6"/>
  <c r="E24" i="6"/>
  <c r="E23" i="6"/>
  <c r="E22" i="6"/>
  <c r="E21" i="6"/>
  <c r="E19" i="6"/>
  <c r="E17" i="6"/>
  <c r="E16" i="6"/>
  <c r="E15" i="6"/>
  <c r="E14" i="6"/>
  <c r="E13" i="6"/>
  <c r="E11" i="6"/>
  <c r="E9" i="6"/>
  <c r="L168" i="5"/>
  <c r="L167" i="5"/>
  <c r="L166" i="5"/>
  <c r="L165" i="5"/>
  <c r="L164" i="5"/>
  <c r="L163" i="5"/>
  <c r="L161" i="5"/>
  <c r="L160" i="5"/>
  <c r="L159" i="5"/>
  <c r="L157" i="5"/>
  <c r="L155" i="5"/>
  <c r="L154" i="5"/>
  <c r="L153" i="5"/>
  <c r="L152" i="5"/>
  <c r="L151" i="5"/>
  <c r="L150" i="5"/>
  <c r="L149" i="5"/>
  <c r="L148" i="5"/>
  <c r="L146" i="5"/>
  <c r="L145" i="5"/>
  <c r="L143" i="5"/>
  <c r="L142" i="5"/>
  <c r="L141" i="5"/>
  <c r="L137" i="5"/>
  <c r="L136" i="5"/>
  <c r="L135" i="5"/>
  <c r="L134" i="5"/>
  <c r="L133" i="5"/>
  <c r="L132" i="5"/>
  <c r="L131" i="5"/>
  <c r="L128" i="5"/>
  <c r="L127" i="5"/>
  <c r="L120" i="5"/>
  <c r="L113" i="5"/>
  <c r="L112" i="5"/>
  <c r="L103" i="5"/>
  <c r="L92" i="5"/>
  <c r="L91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68" i="5"/>
  <c r="L67" i="5"/>
  <c r="L59" i="5"/>
  <c r="L58" i="5"/>
  <c r="L57" i="5"/>
  <c r="L47" i="5"/>
  <c r="L46" i="5"/>
  <c r="L34" i="5"/>
  <c r="L31" i="5"/>
  <c r="L30" i="5"/>
  <c r="L29" i="5"/>
  <c r="L28" i="5"/>
  <c r="L27" i="5"/>
  <c r="L23" i="5"/>
  <c r="L19" i="5"/>
  <c r="L16" i="5"/>
  <c r="L14" i="5"/>
  <c r="L13" i="5"/>
  <c r="L12" i="5"/>
  <c r="L11" i="5"/>
  <c r="L10" i="5"/>
  <c r="F29" i="4"/>
  <c r="F28" i="4"/>
  <c r="F27" i="4"/>
  <c r="F26" i="4"/>
  <c r="F25" i="4"/>
  <c r="F24" i="4"/>
  <c r="F23" i="4"/>
  <c r="F22" i="4"/>
  <c r="F20" i="4"/>
  <c r="F18" i="4"/>
  <c r="F17" i="4"/>
  <c r="F16" i="4"/>
  <c r="F15" i="4"/>
  <c r="F14" i="4"/>
  <c r="F12" i="4"/>
  <c r="F10" i="4"/>
  <c r="E20" i="6"/>
  <c r="E18" i="6"/>
  <c r="L118" i="5"/>
  <c r="L117" i="5"/>
  <c r="L104" i="5"/>
  <c r="L85" i="5"/>
  <c r="L56" i="5"/>
  <c r="L55" i="5"/>
  <c r="L52" i="5"/>
  <c r="L50" i="5"/>
  <c r="L32" i="5"/>
  <c r="L26" i="5"/>
  <c r="L25" i="5"/>
  <c r="L24" i="5"/>
  <c r="F21" i="4"/>
  <c r="F19" i="4"/>
  <c r="E10" i="6"/>
  <c r="E8" i="6"/>
  <c r="L130" i="5"/>
  <c r="L129" i="5"/>
  <c r="L126" i="5"/>
  <c r="L125" i="5"/>
  <c r="L124" i="5"/>
  <c r="L123" i="5"/>
  <c r="L122" i="5"/>
  <c r="L121" i="5"/>
  <c r="L119" i="5"/>
  <c r="L116" i="5"/>
  <c r="L115" i="5"/>
  <c r="L114" i="5"/>
  <c r="L111" i="5"/>
  <c r="L110" i="5"/>
  <c r="L109" i="5"/>
  <c r="L108" i="5"/>
  <c r="L107" i="5"/>
  <c r="L106" i="5"/>
  <c r="L105" i="5"/>
  <c r="L101" i="5"/>
  <c r="L100" i="5"/>
  <c r="L99" i="5"/>
  <c r="L98" i="5"/>
  <c r="L97" i="5"/>
  <c r="L96" i="5"/>
  <c r="L95" i="5"/>
  <c r="L94" i="5"/>
  <c r="L93" i="5"/>
  <c r="L90" i="5"/>
  <c r="L89" i="5"/>
  <c r="L88" i="5"/>
  <c r="L87" i="5"/>
  <c r="L86" i="5"/>
  <c r="L84" i="5"/>
  <c r="L70" i="5"/>
  <c r="L69" i="5"/>
  <c r="L66" i="5"/>
  <c r="L65" i="5"/>
  <c r="L64" i="5"/>
  <c r="L63" i="5"/>
  <c r="L62" i="5"/>
  <c r="L61" i="5"/>
  <c r="L60" i="5"/>
  <c r="L54" i="5"/>
  <c r="L53" i="5"/>
  <c r="L51" i="5"/>
  <c r="L49" i="5"/>
  <c r="L48" i="5"/>
  <c r="L45" i="5"/>
  <c r="L44" i="5"/>
  <c r="L43" i="5"/>
  <c r="L42" i="5"/>
  <c r="L41" i="5"/>
  <c r="L40" i="5"/>
  <c r="L39" i="5"/>
  <c r="L38" i="5"/>
  <c r="L36" i="5"/>
  <c r="L33" i="5"/>
  <c r="L22" i="5"/>
  <c r="L21" i="5"/>
  <c r="L20" i="5"/>
  <c r="L17" i="5"/>
  <c r="L15" i="5"/>
  <c r="L9" i="5"/>
  <c r="L7" i="5"/>
  <c r="L6" i="5"/>
  <c r="L5" i="5"/>
  <c r="F11" i="4"/>
  <c r="F9" i="4"/>
  <c r="E31" i="6"/>
  <c r="L169" i="5"/>
  <c r="Q169" i="5" s="1"/>
  <c r="T169" i="5" s="1"/>
  <c r="U169" i="5" s="1"/>
  <c r="L138" i="5"/>
  <c r="Q138" i="5" s="1"/>
  <c r="T138" i="5" s="1"/>
  <c r="U138" i="5" s="1"/>
  <c r="F32" i="4"/>
  <c r="K32" i="4" s="1"/>
  <c r="C16" i="10"/>
  <c r="K16" i="10" s="1"/>
  <c r="L16" i="10" s="1"/>
  <c r="C15" i="10"/>
  <c r="K15" i="10" s="1"/>
  <c r="L15" i="10" s="1"/>
  <c r="C14" i="10"/>
  <c r="K14" i="10" s="1"/>
  <c r="L14" i="10" s="1"/>
  <c r="E6" i="6"/>
  <c r="E5" i="6"/>
  <c r="L35" i="5"/>
  <c r="L18" i="5"/>
  <c r="F7" i="4"/>
  <c r="F6" i="4"/>
  <c r="E30" i="6"/>
  <c r="L162" i="5"/>
  <c r="L144" i="5"/>
  <c r="F31" i="4"/>
  <c r="C25" i="10"/>
  <c r="K25" i="10" s="1"/>
  <c r="L25" i="10" s="1"/>
  <c r="C24" i="10"/>
  <c r="K24" i="10" s="1"/>
  <c r="L24" i="10" s="1"/>
  <c r="C23" i="10"/>
  <c r="K23" i="10" s="1"/>
  <c r="L23" i="10" s="1"/>
  <c r="C22" i="10"/>
  <c r="K22" i="10" s="1"/>
  <c r="L22" i="10" s="1"/>
  <c r="C21" i="10"/>
  <c r="K21" i="10" s="1"/>
  <c r="L21" i="10" s="1"/>
  <c r="C20" i="10"/>
  <c r="K20" i="10" s="1"/>
  <c r="L20" i="10" s="1"/>
  <c r="C19" i="10"/>
  <c r="K19" i="10" s="1"/>
  <c r="L19" i="10" s="1"/>
  <c r="C18" i="10"/>
  <c r="K18" i="10" s="1"/>
  <c r="L18" i="10" s="1"/>
  <c r="C17" i="10"/>
  <c r="K17" i="10" s="1"/>
  <c r="L17" i="10" s="1"/>
  <c r="C13" i="10"/>
  <c r="K13" i="10" s="1"/>
  <c r="L13" i="10" s="1"/>
  <c r="C12" i="10"/>
  <c r="K12" i="10" s="1"/>
  <c r="L12" i="10" s="1"/>
  <c r="C11" i="10"/>
  <c r="K11" i="10" s="1"/>
  <c r="L11" i="10" s="1"/>
  <c r="C10" i="10"/>
  <c r="K10" i="10" s="1"/>
  <c r="L10" i="10" s="1"/>
  <c r="C9" i="10"/>
  <c r="K9" i="10" s="1"/>
  <c r="L9" i="10" s="1"/>
  <c r="C8" i="10"/>
  <c r="K8" i="10" s="1"/>
  <c r="L8" i="10" s="1"/>
  <c r="C7" i="10"/>
  <c r="K7" i="10" s="1"/>
  <c r="L7" i="10" s="1"/>
  <c r="C6" i="10"/>
  <c r="K6" i="10" s="1"/>
  <c r="E29" i="6"/>
  <c r="E12" i="6"/>
  <c r="E7" i="6"/>
  <c r="L158" i="5"/>
  <c r="L156" i="5"/>
  <c r="L147" i="5"/>
  <c r="L102" i="5"/>
  <c r="L37" i="5"/>
  <c r="L8" i="5"/>
  <c r="F30" i="4"/>
  <c r="F13" i="4"/>
  <c r="F8" i="4"/>
  <c r="G5" i="6"/>
  <c r="M35" i="5"/>
  <c r="K6" i="4"/>
  <c r="H5" i="6"/>
  <c r="N35" i="5"/>
  <c r="I5" i="6"/>
  <c r="P35" i="5"/>
  <c r="L6" i="4"/>
  <c r="G6" i="6"/>
  <c r="M18" i="5"/>
  <c r="K7" i="4"/>
  <c r="M7" i="4" s="1"/>
  <c r="N7" i="4" s="1"/>
  <c r="H6" i="6"/>
  <c r="N18" i="5"/>
  <c r="I6" i="6"/>
  <c r="P18" i="5"/>
  <c r="L7" i="4"/>
  <c r="G7" i="6"/>
  <c r="M37" i="5"/>
  <c r="M8" i="5"/>
  <c r="K8" i="4"/>
  <c r="M8" i="4" s="1"/>
  <c r="N8" i="4" s="1"/>
  <c r="H7" i="6"/>
  <c r="N37" i="5"/>
  <c r="N8" i="5"/>
  <c r="I7" i="6"/>
  <c r="P37" i="5"/>
  <c r="P8" i="5"/>
  <c r="L8" i="4"/>
  <c r="G8" i="6"/>
  <c r="M107" i="5"/>
  <c r="M54" i="5"/>
  <c r="M53" i="5"/>
  <c r="M22" i="5"/>
  <c r="K9" i="4"/>
  <c r="M9" i="4" s="1"/>
  <c r="N9" i="4" s="1"/>
  <c r="H8" i="6"/>
  <c r="N107" i="5"/>
  <c r="N54" i="5"/>
  <c r="N53" i="5"/>
  <c r="N22" i="5"/>
  <c r="I8" i="6"/>
  <c r="P107" i="5"/>
  <c r="P54" i="5"/>
  <c r="P53" i="5"/>
  <c r="P22" i="5"/>
  <c r="L9" i="4"/>
  <c r="G9" i="6"/>
  <c r="M157" i="5"/>
  <c r="M155" i="5"/>
  <c r="M146" i="5"/>
  <c r="K10" i="4"/>
  <c r="M10" i="4" s="1"/>
  <c r="N10" i="4" s="1"/>
  <c r="H9" i="6"/>
  <c r="N157" i="5"/>
  <c r="N155" i="5"/>
  <c r="N146" i="5"/>
  <c r="I9" i="6"/>
  <c r="P157" i="5"/>
  <c r="P155" i="5"/>
  <c r="P146" i="5"/>
  <c r="L10" i="4"/>
  <c r="G10" i="6"/>
  <c r="M130" i="5"/>
  <c r="M129" i="5"/>
  <c r="M126" i="5"/>
  <c r="M125" i="5"/>
  <c r="M124" i="5"/>
  <c r="M123" i="5"/>
  <c r="M122" i="5"/>
  <c r="M121" i="5"/>
  <c r="M119" i="5"/>
  <c r="M116" i="5"/>
  <c r="M115" i="5"/>
  <c r="M114" i="5"/>
  <c r="M111" i="5"/>
  <c r="M110" i="5"/>
  <c r="M109" i="5"/>
  <c r="M108" i="5"/>
  <c r="M106" i="5"/>
  <c r="M105" i="5"/>
  <c r="M101" i="5"/>
  <c r="M100" i="5"/>
  <c r="M99" i="5"/>
  <c r="M98" i="5"/>
  <c r="M97" i="5"/>
  <c r="M96" i="5"/>
  <c r="M95" i="5"/>
  <c r="M94" i="5"/>
  <c r="M93" i="5"/>
  <c r="M90" i="5"/>
  <c r="M89" i="5"/>
  <c r="M88" i="5"/>
  <c r="M87" i="5"/>
  <c r="M86" i="5"/>
  <c r="M84" i="5"/>
  <c r="M70" i="5"/>
  <c r="M69" i="5"/>
  <c r="M66" i="5"/>
  <c r="M65" i="5"/>
  <c r="M64" i="5"/>
  <c r="M63" i="5"/>
  <c r="M62" i="5"/>
  <c r="M61" i="5"/>
  <c r="M60" i="5"/>
  <c r="M51" i="5"/>
  <c r="M49" i="5"/>
  <c r="M48" i="5"/>
  <c r="M45" i="5"/>
  <c r="M44" i="5"/>
  <c r="M43" i="5"/>
  <c r="M42" i="5"/>
  <c r="M41" i="5"/>
  <c r="M40" i="5"/>
  <c r="M39" i="5"/>
  <c r="M38" i="5"/>
  <c r="M36" i="5"/>
  <c r="M33" i="5"/>
  <c r="M21" i="5"/>
  <c r="M20" i="5"/>
  <c r="M17" i="5"/>
  <c r="M15" i="5"/>
  <c r="M9" i="5"/>
  <c r="M7" i="5"/>
  <c r="M6" i="5"/>
  <c r="M5" i="5"/>
  <c r="K11" i="4"/>
  <c r="M11" i="4" s="1"/>
  <c r="N11" i="4" s="1"/>
  <c r="H10" i="6"/>
  <c r="N130" i="5"/>
  <c r="N129" i="5"/>
  <c r="N126" i="5"/>
  <c r="N125" i="5"/>
  <c r="N124" i="5"/>
  <c r="N123" i="5"/>
  <c r="N122" i="5"/>
  <c r="N121" i="5"/>
  <c r="N119" i="5"/>
  <c r="N116" i="5"/>
  <c r="N115" i="5"/>
  <c r="N114" i="5"/>
  <c r="N111" i="5"/>
  <c r="N110" i="5"/>
  <c r="N109" i="5"/>
  <c r="N108" i="5"/>
  <c r="N106" i="5"/>
  <c r="N105" i="5"/>
  <c r="N101" i="5"/>
  <c r="N100" i="5"/>
  <c r="N99" i="5"/>
  <c r="N98" i="5"/>
  <c r="N97" i="5"/>
  <c r="N96" i="5"/>
  <c r="N95" i="5"/>
  <c r="N94" i="5"/>
  <c r="N93" i="5"/>
  <c r="N90" i="5"/>
  <c r="N89" i="5"/>
  <c r="N88" i="5"/>
  <c r="N87" i="5"/>
  <c r="N86" i="5"/>
  <c r="N84" i="5"/>
  <c r="N70" i="5"/>
  <c r="N69" i="5"/>
  <c r="N66" i="5"/>
  <c r="N65" i="5"/>
  <c r="N64" i="5"/>
  <c r="N63" i="5"/>
  <c r="N62" i="5"/>
  <c r="N61" i="5"/>
  <c r="N60" i="5"/>
  <c r="N51" i="5"/>
  <c r="N49" i="5"/>
  <c r="N48" i="5"/>
  <c r="N45" i="5"/>
  <c r="N44" i="5"/>
  <c r="N43" i="5"/>
  <c r="N42" i="5"/>
  <c r="N41" i="5"/>
  <c r="N40" i="5"/>
  <c r="N39" i="5"/>
  <c r="N38" i="5"/>
  <c r="N36" i="5"/>
  <c r="N33" i="5"/>
  <c r="N21" i="5"/>
  <c r="N20" i="5"/>
  <c r="N17" i="5"/>
  <c r="N15" i="5"/>
  <c r="N9" i="5"/>
  <c r="N7" i="5"/>
  <c r="N6" i="5"/>
  <c r="N5" i="5"/>
  <c r="I10" i="6"/>
  <c r="P130" i="5"/>
  <c r="P129" i="5"/>
  <c r="P126" i="5"/>
  <c r="P125" i="5"/>
  <c r="P124" i="5"/>
  <c r="P123" i="5"/>
  <c r="P122" i="5"/>
  <c r="P121" i="5"/>
  <c r="P119" i="5"/>
  <c r="P116" i="5"/>
  <c r="P115" i="5"/>
  <c r="P114" i="5"/>
  <c r="P111" i="5"/>
  <c r="P110" i="5"/>
  <c r="P109" i="5"/>
  <c r="P108" i="5"/>
  <c r="P106" i="5"/>
  <c r="P105" i="5"/>
  <c r="P101" i="5"/>
  <c r="P100" i="5"/>
  <c r="P99" i="5"/>
  <c r="P98" i="5"/>
  <c r="P97" i="5"/>
  <c r="P96" i="5"/>
  <c r="P95" i="5"/>
  <c r="P94" i="5"/>
  <c r="P93" i="5"/>
  <c r="P90" i="5"/>
  <c r="P89" i="5"/>
  <c r="P88" i="5"/>
  <c r="P87" i="5"/>
  <c r="P86" i="5"/>
  <c r="P84" i="5"/>
  <c r="P70" i="5"/>
  <c r="P69" i="5"/>
  <c r="P66" i="5"/>
  <c r="P65" i="5"/>
  <c r="P64" i="5"/>
  <c r="P63" i="5"/>
  <c r="P62" i="5"/>
  <c r="P61" i="5"/>
  <c r="P60" i="5"/>
  <c r="P51" i="5"/>
  <c r="P49" i="5"/>
  <c r="P48" i="5"/>
  <c r="P45" i="5"/>
  <c r="P44" i="5"/>
  <c r="P43" i="5"/>
  <c r="P42" i="5"/>
  <c r="P41" i="5"/>
  <c r="P40" i="5"/>
  <c r="P39" i="5"/>
  <c r="P38" i="5"/>
  <c r="P36" i="5"/>
  <c r="P33" i="5"/>
  <c r="P21" i="5"/>
  <c r="P20" i="5"/>
  <c r="P17" i="5"/>
  <c r="P15" i="5"/>
  <c r="P9" i="5"/>
  <c r="P7" i="5"/>
  <c r="P6" i="5"/>
  <c r="P5" i="5"/>
  <c r="L11" i="4"/>
  <c r="G11" i="6"/>
  <c r="M166" i="5"/>
  <c r="M165" i="5"/>
  <c r="M164" i="5"/>
  <c r="M163" i="5"/>
  <c r="K12" i="4"/>
  <c r="M12" i="4" s="1"/>
  <c r="N12" i="4" s="1"/>
  <c r="H11" i="6"/>
  <c r="N166" i="5"/>
  <c r="N165" i="5"/>
  <c r="N164" i="5"/>
  <c r="N163" i="5"/>
  <c r="I11" i="6"/>
  <c r="P166" i="5"/>
  <c r="P165" i="5"/>
  <c r="P164" i="5"/>
  <c r="P163" i="5"/>
  <c r="L12" i="4"/>
  <c r="G12" i="6"/>
  <c r="M102" i="5"/>
  <c r="K13" i="4"/>
  <c r="M13" i="4" s="1"/>
  <c r="N13" i="4" s="1"/>
  <c r="H12" i="6"/>
  <c r="N102" i="5"/>
  <c r="I12" i="6"/>
  <c r="P102" i="5"/>
  <c r="L13" i="4"/>
  <c r="G13" i="6"/>
  <c r="M159" i="5"/>
  <c r="M152" i="5"/>
  <c r="M151" i="5"/>
  <c r="M11" i="5"/>
  <c r="M10" i="5"/>
  <c r="K14" i="4"/>
  <c r="M14" i="4" s="1"/>
  <c r="N14" i="4" s="1"/>
  <c r="H13" i="6"/>
  <c r="N159" i="5"/>
  <c r="N152" i="5"/>
  <c r="N151" i="5"/>
  <c r="N11" i="5"/>
  <c r="N10" i="5"/>
  <c r="I13" i="6"/>
  <c r="P159" i="5"/>
  <c r="P152" i="5"/>
  <c r="P151" i="5"/>
  <c r="P11" i="5"/>
  <c r="P10" i="5"/>
  <c r="L14" i="4"/>
  <c r="G14" i="6"/>
  <c r="M141" i="5"/>
  <c r="K15" i="4"/>
  <c r="M15" i="4" s="1"/>
  <c r="N15" i="4" s="1"/>
  <c r="H14" i="6"/>
  <c r="N141" i="5"/>
  <c r="I14" i="6"/>
  <c r="P141" i="5"/>
  <c r="L15" i="4"/>
  <c r="G15" i="6"/>
  <c r="M142" i="5"/>
  <c r="M78" i="5"/>
  <c r="M77" i="5"/>
  <c r="M13" i="5"/>
  <c r="M12" i="5"/>
  <c r="K16" i="4"/>
  <c r="M16" i="4" s="1"/>
  <c r="N16" i="4" s="1"/>
  <c r="H15" i="6"/>
  <c r="N142" i="5"/>
  <c r="N78" i="5"/>
  <c r="N77" i="5"/>
  <c r="N13" i="5"/>
  <c r="N12" i="5"/>
  <c r="I15" i="6"/>
  <c r="P142" i="5"/>
  <c r="P78" i="5"/>
  <c r="P77" i="5"/>
  <c r="P13" i="5"/>
  <c r="P12" i="5"/>
  <c r="L16" i="4"/>
  <c r="G16" i="6"/>
  <c r="M23" i="5"/>
  <c r="K17" i="4"/>
  <c r="M17" i="4" s="1"/>
  <c r="N17" i="4" s="1"/>
  <c r="H16" i="6"/>
  <c r="N23" i="5"/>
  <c r="I16" i="6"/>
  <c r="P23" i="5"/>
  <c r="L17" i="4"/>
  <c r="G17" i="6"/>
  <c r="M167" i="5"/>
  <c r="K18" i="4"/>
  <c r="M18" i="4" s="1"/>
  <c r="N18" i="4" s="1"/>
  <c r="H17" i="6"/>
  <c r="N167" i="5"/>
  <c r="I17" i="6"/>
  <c r="P167" i="5"/>
  <c r="L18" i="4"/>
  <c r="G18" i="6"/>
  <c r="M24" i="5"/>
  <c r="K19" i="4"/>
  <c r="M19" i="4" s="1"/>
  <c r="N19" i="4" s="1"/>
  <c r="H18" i="6"/>
  <c r="N24" i="5"/>
  <c r="I18" i="6"/>
  <c r="P24" i="5"/>
  <c r="L19" i="4"/>
  <c r="G19" i="6"/>
  <c r="M148" i="5"/>
  <c r="K20" i="4"/>
  <c r="M20" i="4" s="1"/>
  <c r="N20" i="4" s="1"/>
  <c r="H19" i="6"/>
  <c r="N148" i="5"/>
  <c r="I19" i="6"/>
  <c r="P148" i="5"/>
  <c r="L20" i="4"/>
  <c r="G20" i="6"/>
  <c r="M118" i="5"/>
  <c r="M117" i="5"/>
  <c r="M104" i="5"/>
  <c r="M85" i="5"/>
  <c r="M56" i="5"/>
  <c r="M55" i="5"/>
  <c r="M52" i="5"/>
  <c r="M50" i="5"/>
  <c r="M32" i="5"/>
  <c r="M26" i="5"/>
  <c r="M25" i="5"/>
  <c r="K21" i="4"/>
  <c r="M21" i="4" s="1"/>
  <c r="N21" i="4" s="1"/>
  <c r="H20" i="6"/>
  <c r="N118" i="5"/>
  <c r="N117" i="5"/>
  <c r="N104" i="5"/>
  <c r="N85" i="5"/>
  <c r="N56" i="5"/>
  <c r="N55" i="5"/>
  <c r="N52" i="5"/>
  <c r="N50" i="5"/>
  <c r="N32" i="5"/>
  <c r="N26" i="5"/>
  <c r="N25" i="5"/>
  <c r="I20" i="6"/>
  <c r="P118" i="5"/>
  <c r="P117" i="5"/>
  <c r="P104" i="5"/>
  <c r="P85" i="5"/>
  <c r="P56" i="5"/>
  <c r="P55" i="5"/>
  <c r="P52" i="5"/>
  <c r="P50" i="5"/>
  <c r="P32" i="5"/>
  <c r="P26" i="5"/>
  <c r="P25" i="5"/>
  <c r="L21" i="4"/>
  <c r="G21" i="6"/>
  <c r="M150" i="5"/>
  <c r="M58" i="5"/>
  <c r="M19" i="5"/>
  <c r="K22" i="4"/>
  <c r="M22" i="4" s="1"/>
  <c r="N22" i="4" s="1"/>
  <c r="H21" i="6"/>
  <c r="N150" i="5"/>
  <c r="N58" i="5"/>
  <c r="N19" i="5"/>
  <c r="I21" i="6"/>
  <c r="P150" i="5"/>
  <c r="P58" i="5"/>
  <c r="P19" i="5"/>
  <c r="L22" i="4"/>
  <c r="G22" i="6"/>
  <c r="M134" i="5"/>
  <c r="M131" i="5"/>
  <c r="M82" i="5"/>
  <c r="M72" i="5"/>
  <c r="K23" i="4"/>
  <c r="M23" i="4" s="1"/>
  <c r="N23" i="4" s="1"/>
  <c r="H22" i="6"/>
  <c r="N134" i="5"/>
  <c r="N131" i="5"/>
  <c r="N82" i="5"/>
  <c r="N72" i="5"/>
  <c r="I22" i="6"/>
  <c r="P134" i="5"/>
  <c r="P131" i="5"/>
  <c r="P82" i="5"/>
  <c r="P72" i="5"/>
  <c r="L23" i="4"/>
  <c r="G23" i="6"/>
  <c r="M149" i="5"/>
  <c r="K24" i="4"/>
  <c r="M24" i="4" s="1"/>
  <c r="N24" i="4" s="1"/>
  <c r="H23" i="6"/>
  <c r="N149" i="5"/>
  <c r="I23" i="6"/>
  <c r="P149" i="5"/>
  <c r="L24" i="4"/>
  <c r="G24" i="6"/>
  <c r="M31" i="5"/>
  <c r="K25" i="4"/>
  <c r="M25" i="4" s="1"/>
  <c r="N25" i="4" s="1"/>
  <c r="H24" i="6"/>
  <c r="N31" i="5"/>
  <c r="I24" i="6"/>
  <c r="P31" i="5"/>
  <c r="L25" i="4"/>
  <c r="G25" i="6"/>
  <c r="M168" i="5"/>
  <c r="M154" i="5"/>
  <c r="M153" i="5"/>
  <c r="M128" i="5"/>
  <c r="M127" i="5"/>
  <c r="M113" i="5"/>
  <c r="M112" i="5"/>
  <c r="M92" i="5"/>
  <c r="M91" i="5"/>
  <c r="M68" i="5"/>
  <c r="M67" i="5"/>
  <c r="M57" i="5"/>
  <c r="M47" i="5"/>
  <c r="M46" i="5"/>
  <c r="M30" i="5"/>
  <c r="M29" i="5"/>
  <c r="M28" i="5"/>
  <c r="K26" i="4"/>
  <c r="M26" i="4" s="1"/>
  <c r="N26" i="4" s="1"/>
  <c r="H25" i="6"/>
  <c r="N168" i="5"/>
  <c r="N154" i="5"/>
  <c r="N153" i="5"/>
  <c r="N128" i="5"/>
  <c r="N127" i="5"/>
  <c r="N113" i="5"/>
  <c r="N112" i="5"/>
  <c r="N92" i="5"/>
  <c r="N91" i="5"/>
  <c r="N68" i="5"/>
  <c r="N67" i="5"/>
  <c r="N57" i="5"/>
  <c r="N47" i="5"/>
  <c r="N46" i="5"/>
  <c r="N30" i="5"/>
  <c r="N29" i="5"/>
  <c r="N28" i="5"/>
  <c r="I25" i="6"/>
  <c r="P168" i="5"/>
  <c r="P154" i="5"/>
  <c r="P153" i="5"/>
  <c r="P128" i="5"/>
  <c r="P127" i="5"/>
  <c r="P113" i="5"/>
  <c r="P112" i="5"/>
  <c r="P92" i="5"/>
  <c r="P91" i="5"/>
  <c r="P68" i="5"/>
  <c r="P67" i="5"/>
  <c r="P57" i="5"/>
  <c r="P47" i="5"/>
  <c r="P46" i="5"/>
  <c r="P30" i="5"/>
  <c r="P29" i="5"/>
  <c r="P28" i="5"/>
  <c r="L26" i="4"/>
  <c r="G26" i="6"/>
  <c r="M160" i="5"/>
  <c r="M145" i="5"/>
  <c r="M83" i="5"/>
  <c r="M80" i="5"/>
  <c r="M75" i="5"/>
  <c r="M74" i="5"/>
  <c r="M59" i="5"/>
  <c r="K27" i="4"/>
  <c r="M27" i="4" s="1"/>
  <c r="N27" i="4" s="1"/>
  <c r="H26" i="6"/>
  <c r="N160" i="5"/>
  <c r="N145" i="5"/>
  <c r="N83" i="5"/>
  <c r="N80" i="5"/>
  <c r="N75" i="5"/>
  <c r="N74" i="5"/>
  <c r="N59" i="5"/>
  <c r="I26" i="6"/>
  <c r="P160" i="5"/>
  <c r="P145" i="5"/>
  <c r="P83" i="5"/>
  <c r="P80" i="5"/>
  <c r="P75" i="5"/>
  <c r="P74" i="5"/>
  <c r="P59" i="5"/>
  <c r="L27" i="4"/>
  <c r="G27" i="6"/>
  <c r="M161" i="5"/>
  <c r="M143" i="5"/>
  <c r="M135" i="5"/>
  <c r="M76" i="5"/>
  <c r="M34" i="5"/>
  <c r="K28" i="4"/>
  <c r="M28" i="4" s="1"/>
  <c r="N28" i="4" s="1"/>
  <c r="H27" i="6"/>
  <c r="N161" i="5"/>
  <c r="N143" i="5"/>
  <c r="N135" i="5"/>
  <c r="N76" i="5"/>
  <c r="N34" i="5"/>
  <c r="I27" i="6"/>
  <c r="P161" i="5"/>
  <c r="P143" i="5"/>
  <c r="P135" i="5"/>
  <c r="P76" i="5"/>
  <c r="P34" i="5"/>
  <c r="L28" i="4"/>
  <c r="G28" i="6"/>
  <c r="M137" i="5"/>
  <c r="M136" i="5"/>
  <c r="M133" i="5"/>
  <c r="M132" i="5"/>
  <c r="M120" i="5"/>
  <c r="M103" i="5"/>
  <c r="M81" i="5"/>
  <c r="M79" i="5"/>
  <c r="M73" i="5"/>
  <c r="M71" i="5"/>
  <c r="M27" i="5"/>
  <c r="M16" i="5"/>
  <c r="M14" i="5"/>
  <c r="K29" i="4"/>
  <c r="M29" i="4" s="1"/>
  <c r="N29" i="4" s="1"/>
  <c r="H28" i="6"/>
  <c r="N137" i="5"/>
  <c r="N136" i="5"/>
  <c r="N133" i="5"/>
  <c r="N132" i="5"/>
  <c r="N120" i="5"/>
  <c r="N103" i="5"/>
  <c r="N81" i="5"/>
  <c r="N79" i="5"/>
  <c r="N73" i="5"/>
  <c r="N71" i="5"/>
  <c r="N27" i="5"/>
  <c r="N16" i="5"/>
  <c r="N14" i="5"/>
  <c r="I28" i="6"/>
  <c r="P137" i="5"/>
  <c r="P136" i="5"/>
  <c r="P133" i="5"/>
  <c r="P132" i="5"/>
  <c r="P120" i="5"/>
  <c r="P103" i="5"/>
  <c r="P81" i="5"/>
  <c r="P79" i="5"/>
  <c r="P73" i="5"/>
  <c r="P71" i="5"/>
  <c r="P27" i="5"/>
  <c r="P16" i="5"/>
  <c r="P14" i="5"/>
  <c r="L29" i="4"/>
  <c r="G29" i="6"/>
  <c r="M158" i="5"/>
  <c r="M156" i="5"/>
  <c r="M147" i="5"/>
  <c r="K30" i="4"/>
  <c r="M30" i="4" s="1"/>
  <c r="N30" i="4" s="1"/>
  <c r="H29" i="6"/>
  <c r="N158" i="5"/>
  <c r="N156" i="5"/>
  <c r="N147" i="5"/>
  <c r="I29" i="6"/>
  <c r="P158" i="5"/>
  <c r="P156" i="5"/>
  <c r="P147" i="5"/>
  <c r="L30" i="4"/>
  <c r="M31" i="4"/>
  <c r="N31" i="4" s="1"/>
  <c r="L31" i="4"/>
  <c r="R138" i="5"/>
  <c r="S138" i="5"/>
  <c r="Q144" i="5"/>
  <c r="S144" i="5"/>
  <c r="Q162" i="5"/>
  <c r="S162" i="5"/>
  <c r="R169" i="5"/>
  <c r="S169" i="5"/>
  <c r="H4" i="9"/>
  <c r="H7" i="9" s="1"/>
  <c r="H24" i="8"/>
  <c r="H27" i="8" s="1"/>
  <c r="D5" i="12" s="1"/>
  <c r="D8" i="12" s="1"/>
  <c r="J13" i="8"/>
  <c r="K8" i="8"/>
  <c r="K13" i="8" s="1"/>
  <c r="J22" i="8"/>
  <c r="I5" i="9" s="1"/>
  <c r="K17" i="8"/>
  <c r="K22" i="8" s="1"/>
  <c r="K24" i="8" l="1"/>
  <c r="K27" i="8" s="1"/>
  <c r="I4" i="9"/>
  <c r="I7" i="9" s="1"/>
  <c r="J24" i="8"/>
  <c r="J27" i="8" s="1"/>
  <c r="E5" i="12" s="1"/>
  <c r="T162" i="5"/>
  <c r="U162" i="5" s="1"/>
  <c r="R162" i="5"/>
  <c r="T144" i="5"/>
  <c r="U144" i="5" s="1"/>
  <c r="R144" i="5"/>
  <c r="Q147" i="5"/>
  <c r="Q156" i="5"/>
  <c r="Q158" i="5"/>
  <c r="Q14" i="5"/>
  <c r="Q16" i="5"/>
  <c r="Q27" i="5"/>
  <c r="Q71" i="5"/>
  <c r="Q73" i="5"/>
  <c r="Q79" i="5"/>
  <c r="Q81" i="5"/>
  <c r="Q103" i="5"/>
  <c r="Q120" i="5"/>
  <c r="Q132" i="5"/>
  <c r="Q133" i="5"/>
  <c r="Q136" i="5"/>
  <c r="Q137" i="5"/>
  <c r="Q34" i="5"/>
  <c r="Q76" i="5"/>
  <c r="Q135" i="5"/>
  <c r="Q143" i="5"/>
  <c r="Q161" i="5"/>
  <c r="Q59" i="5"/>
  <c r="Q74" i="5"/>
  <c r="Q75" i="5"/>
  <c r="Q80" i="5"/>
  <c r="Q83" i="5"/>
  <c r="Q145" i="5"/>
  <c r="Q160" i="5"/>
  <c r="Q28" i="5"/>
  <c r="Q29" i="5"/>
  <c r="Q30" i="5"/>
  <c r="Q46" i="5"/>
  <c r="Q47" i="5"/>
  <c r="Q57" i="5"/>
  <c r="Q67" i="5"/>
  <c r="Q68" i="5"/>
  <c r="Q91" i="5"/>
  <c r="Q92" i="5"/>
  <c r="Q112" i="5"/>
  <c r="Q113" i="5"/>
  <c r="Q127" i="5"/>
  <c r="Q128" i="5"/>
  <c r="Q153" i="5"/>
  <c r="Q154" i="5"/>
  <c r="Q168" i="5"/>
  <c r="Q31" i="5"/>
  <c r="Q149" i="5"/>
  <c r="Q72" i="5"/>
  <c r="Q82" i="5"/>
  <c r="Q131" i="5"/>
  <c r="Q134" i="5"/>
  <c r="Q19" i="5"/>
  <c r="Q58" i="5"/>
  <c r="Q150" i="5"/>
  <c r="Q25" i="5"/>
  <c r="Q26" i="5"/>
  <c r="Q32" i="5"/>
  <c r="Q50" i="5"/>
  <c r="Q52" i="5"/>
  <c r="Q55" i="5"/>
  <c r="Q56" i="5"/>
  <c r="Q85" i="5"/>
  <c r="Q104" i="5"/>
  <c r="Q117" i="5"/>
  <c r="Q118" i="5"/>
  <c r="Q148" i="5"/>
  <c r="Q24" i="5"/>
  <c r="Q167" i="5"/>
  <c r="Q23" i="5"/>
  <c r="Q12" i="5"/>
  <c r="Q13" i="5"/>
  <c r="Q77" i="5"/>
  <c r="Q78" i="5"/>
  <c r="Q142" i="5"/>
  <c r="Q141" i="5"/>
  <c r="Q10" i="5"/>
  <c r="Q11" i="5"/>
  <c r="Q151" i="5"/>
  <c r="Q152" i="5"/>
  <c r="Q159" i="5"/>
  <c r="Q102" i="5"/>
  <c r="Q163" i="5"/>
  <c r="Q164" i="5"/>
  <c r="Q165" i="5"/>
  <c r="Q166" i="5"/>
  <c r="Q5" i="5"/>
  <c r="Q6" i="5"/>
  <c r="Q7" i="5"/>
  <c r="Q9" i="5"/>
  <c r="Q15" i="5"/>
  <c r="Q17" i="5"/>
  <c r="Q20" i="5"/>
  <c r="Q21" i="5"/>
  <c r="Q33" i="5"/>
  <c r="Q36" i="5"/>
  <c r="Q38" i="5"/>
  <c r="Q39" i="5"/>
  <c r="Q40" i="5"/>
  <c r="Q41" i="5"/>
  <c r="Q42" i="5"/>
  <c r="Q43" i="5"/>
  <c r="Q44" i="5"/>
  <c r="Q45" i="5"/>
  <c r="Q48" i="5"/>
  <c r="Q49" i="5"/>
  <c r="Q51" i="5"/>
  <c r="Q60" i="5"/>
  <c r="Q61" i="5"/>
  <c r="Q62" i="5"/>
  <c r="Q63" i="5"/>
  <c r="Q64" i="5"/>
  <c r="Q65" i="5"/>
  <c r="Q66" i="5"/>
  <c r="Q69" i="5"/>
  <c r="Q70" i="5"/>
  <c r="Q84" i="5"/>
  <c r="Q86" i="5"/>
  <c r="Q87" i="5"/>
  <c r="Q88" i="5"/>
  <c r="Q89" i="5"/>
  <c r="Q90" i="5"/>
  <c r="Q93" i="5"/>
  <c r="Q94" i="5"/>
  <c r="Q95" i="5"/>
  <c r="Q96" i="5"/>
  <c r="Q97" i="5"/>
  <c r="Q98" i="5"/>
  <c r="Q99" i="5"/>
  <c r="Q100" i="5"/>
  <c r="Q101" i="5"/>
  <c r="Q105" i="5"/>
  <c r="Q106" i="5"/>
  <c r="Q108" i="5"/>
  <c r="Q109" i="5"/>
  <c r="Q110" i="5"/>
  <c r="Q111" i="5"/>
  <c r="Q114" i="5"/>
  <c r="Q115" i="5"/>
  <c r="Q116" i="5"/>
  <c r="Q119" i="5"/>
  <c r="Q121" i="5"/>
  <c r="Q122" i="5"/>
  <c r="Q123" i="5"/>
  <c r="Q124" i="5"/>
  <c r="Q125" i="5"/>
  <c r="Q126" i="5"/>
  <c r="Q129" i="5"/>
  <c r="Q130" i="5"/>
  <c r="Q146" i="5"/>
  <c r="Q155" i="5"/>
  <c r="Q157" i="5"/>
  <c r="Q22" i="5"/>
  <c r="Q53" i="5"/>
  <c r="Q54" i="5"/>
  <c r="Q107" i="5"/>
  <c r="Q8" i="5"/>
  <c r="Q37" i="5"/>
  <c r="Q18" i="5"/>
  <c r="K33" i="4"/>
  <c r="M6" i="4"/>
  <c r="Q35" i="5"/>
  <c r="K26" i="10"/>
  <c r="L6" i="10"/>
  <c r="M32" i="4"/>
  <c r="N32" i="4" s="1"/>
  <c r="L32" i="4"/>
  <c r="L33" i="4" s="1"/>
  <c r="K28" i="10" l="1"/>
  <c r="L26" i="10"/>
  <c r="T35" i="5"/>
  <c r="U35" i="5" s="1"/>
  <c r="S35" i="5"/>
  <c r="R35" i="5"/>
  <c r="M33" i="4"/>
  <c r="N6" i="4"/>
  <c r="N33" i="4" s="1"/>
  <c r="N38" i="4" s="1"/>
  <c r="T18" i="5"/>
  <c r="U18" i="5" s="1"/>
  <c r="S18" i="5"/>
  <c r="R18" i="5"/>
  <c r="T37" i="5"/>
  <c r="U37" i="5" s="1"/>
  <c r="S37" i="5"/>
  <c r="R37" i="5"/>
  <c r="T8" i="5"/>
  <c r="U8" i="5" s="1"/>
  <c r="S8" i="5"/>
  <c r="R8" i="5"/>
  <c r="T107" i="5"/>
  <c r="U107" i="5" s="1"/>
  <c r="S107" i="5"/>
  <c r="R107" i="5"/>
  <c r="T54" i="5"/>
  <c r="U54" i="5" s="1"/>
  <c r="S54" i="5"/>
  <c r="R54" i="5"/>
  <c r="T53" i="5"/>
  <c r="U53" i="5" s="1"/>
  <c r="S53" i="5"/>
  <c r="R53" i="5"/>
  <c r="T22" i="5"/>
  <c r="U22" i="5" s="1"/>
  <c r="S22" i="5"/>
  <c r="R22" i="5"/>
  <c r="T157" i="5"/>
  <c r="U157" i="5" s="1"/>
  <c r="S157" i="5"/>
  <c r="R157" i="5"/>
  <c r="T155" i="5"/>
  <c r="U155" i="5" s="1"/>
  <c r="S155" i="5"/>
  <c r="R155" i="5"/>
  <c r="T146" i="5"/>
  <c r="U146" i="5" s="1"/>
  <c r="S146" i="5"/>
  <c r="R146" i="5"/>
  <c r="T130" i="5"/>
  <c r="U130" i="5" s="1"/>
  <c r="S130" i="5"/>
  <c r="R130" i="5"/>
  <c r="T129" i="5"/>
  <c r="U129" i="5" s="1"/>
  <c r="S129" i="5"/>
  <c r="R129" i="5"/>
  <c r="T126" i="5"/>
  <c r="U126" i="5" s="1"/>
  <c r="S126" i="5"/>
  <c r="R126" i="5"/>
  <c r="T125" i="5"/>
  <c r="U125" i="5" s="1"/>
  <c r="S125" i="5"/>
  <c r="R125" i="5"/>
  <c r="T124" i="5"/>
  <c r="U124" i="5" s="1"/>
  <c r="S124" i="5"/>
  <c r="R124" i="5"/>
  <c r="T123" i="5"/>
  <c r="U123" i="5" s="1"/>
  <c r="S123" i="5"/>
  <c r="R123" i="5"/>
  <c r="T122" i="5"/>
  <c r="U122" i="5" s="1"/>
  <c r="S122" i="5"/>
  <c r="R122" i="5"/>
  <c r="T121" i="5"/>
  <c r="U121" i="5" s="1"/>
  <c r="S121" i="5"/>
  <c r="R121" i="5"/>
  <c r="T119" i="5"/>
  <c r="U119" i="5" s="1"/>
  <c r="S119" i="5"/>
  <c r="R119" i="5"/>
  <c r="T116" i="5"/>
  <c r="U116" i="5" s="1"/>
  <c r="S116" i="5"/>
  <c r="R116" i="5"/>
  <c r="T115" i="5"/>
  <c r="U115" i="5" s="1"/>
  <c r="S115" i="5"/>
  <c r="R115" i="5"/>
  <c r="T114" i="5"/>
  <c r="U114" i="5" s="1"/>
  <c r="S114" i="5"/>
  <c r="R114" i="5"/>
  <c r="T111" i="5"/>
  <c r="U111" i="5" s="1"/>
  <c r="S111" i="5"/>
  <c r="R111" i="5"/>
  <c r="T110" i="5"/>
  <c r="U110" i="5" s="1"/>
  <c r="S110" i="5"/>
  <c r="R110" i="5"/>
  <c r="T109" i="5"/>
  <c r="U109" i="5" s="1"/>
  <c r="S109" i="5"/>
  <c r="R109" i="5"/>
  <c r="T108" i="5"/>
  <c r="U108" i="5" s="1"/>
  <c r="S108" i="5"/>
  <c r="R108" i="5"/>
  <c r="T106" i="5"/>
  <c r="U106" i="5" s="1"/>
  <c r="S106" i="5"/>
  <c r="R106" i="5"/>
  <c r="T105" i="5"/>
  <c r="U105" i="5" s="1"/>
  <c r="S105" i="5"/>
  <c r="R105" i="5"/>
  <c r="T101" i="5"/>
  <c r="U101" i="5" s="1"/>
  <c r="S101" i="5"/>
  <c r="R101" i="5"/>
  <c r="T100" i="5"/>
  <c r="U100" i="5" s="1"/>
  <c r="S100" i="5"/>
  <c r="R100" i="5"/>
  <c r="T99" i="5"/>
  <c r="U99" i="5" s="1"/>
  <c r="S99" i="5"/>
  <c r="R99" i="5"/>
  <c r="T98" i="5"/>
  <c r="U98" i="5" s="1"/>
  <c r="S98" i="5"/>
  <c r="R98" i="5"/>
  <c r="T97" i="5"/>
  <c r="U97" i="5" s="1"/>
  <c r="S97" i="5"/>
  <c r="R97" i="5"/>
  <c r="T96" i="5"/>
  <c r="U96" i="5" s="1"/>
  <c r="S96" i="5"/>
  <c r="R96" i="5"/>
  <c r="T95" i="5"/>
  <c r="U95" i="5" s="1"/>
  <c r="S95" i="5"/>
  <c r="R95" i="5"/>
  <c r="T94" i="5"/>
  <c r="U94" i="5" s="1"/>
  <c r="S94" i="5"/>
  <c r="R94" i="5"/>
  <c r="T93" i="5"/>
  <c r="U93" i="5" s="1"/>
  <c r="S93" i="5"/>
  <c r="R93" i="5"/>
  <c r="T90" i="5"/>
  <c r="U90" i="5" s="1"/>
  <c r="S90" i="5"/>
  <c r="R90" i="5"/>
  <c r="T89" i="5"/>
  <c r="U89" i="5" s="1"/>
  <c r="S89" i="5"/>
  <c r="R89" i="5"/>
  <c r="T88" i="5"/>
  <c r="U88" i="5" s="1"/>
  <c r="S88" i="5"/>
  <c r="R88" i="5"/>
  <c r="T87" i="5"/>
  <c r="U87" i="5" s="1"/>
  <c r="S87" i="5"/>
  <c r="R87" i="5"/>
  <c r="T86" i="5"/>
  <c r="U86" i="5" s="1"/>
  <c r="S86" i="5"/>
  <c r="R86" i="5"/>
  <c r="T84" i="5"/>
  <c r="U84" i="5" s="1"/>
  <c r="S84" i="5"/>
  <c r="R84" i="5"/>
  <c r="T70" i="5"/>
  <c r="U70" i="5" s="1"/>
  <c r="S70" i="5"/>
  <c r="R70" i="5"/>
  <c r="T69" i="5"/>
  <c r="U69" i="5" s="1"/>
  <c r="S69" i="5"/>
  <c r="R69" i="5"/>
  <c r="T66" i="5"/>
  <c r="U66" i="5" s="1"/>
  <c r="S66" i="5"/>
  <c r="R66" i="5"/>
  <c r="T65" i="5"/>
  <c r="U65" i="5" s="1"/>
  <c r="S65" i="5"/>
  <c r="R65" i="5"/>
  <c r="T64" i="5"/>
  <c r="U64" i="5" s="1"/>
  <c r="S64" i="5"/>
  <c r="R64" i="5"/>
  <c r="T63" i="5"/>
  <c r="U63" i="5" s="1"/>
  <c r="S63" i="5"/>
  <c r="R63" i="5"/>
  <c r="T62" i="5"/>
  <c r="U62" i="5" s="1"/>
  <c r="S62" i="5"/>
  <c r="R62" i="5"/>
  <c r="T61" i="5"/>
  <c r="U61" i="5" s="1"/>
  <c r="S61" i="5"/>
  <c r="R61" i="5"/>
  <c r="T60" i="5"/>
  <c r="U60" i="5" s="1"/>
  <c r="S60" i="5"/>
  <c r="R60" i="5"/>
  <c r="T51" i="5"/>
  <c r="U51" i="5" s="1"/>
  <c r="S51" i="5"/>
  <c r="R51" i="5"/>
  <c r="T49" i="5"/>
  <c r="U49" i="5" s="1"/>
  <c r="S49" i="5"/>
  <c r="R49" i="5"/>
  <c r="T48" i="5"/>
  <c r="U48" i="5" s="1"/>
  <c r="S48" i="5"/>
  <c r="R48" i="5"/>
  <c r="T45" i="5"/>
  <c r="U45" i="5" s="1"/>
  <c r="S45" i="5"/>
  <c r="R45" i="5"/>
  <c r="T44" i="5"/>
  <c r="U44" i="5" s="1"/>
  <c r="S44" i="5"/>
  <c r="R44" i="5"/>
  <c r="T43" i="5"/>
  <c r="U43" i="5" s="1"/>
  <c r="S43" i="5"/>
  <c r="R43" i="5"/>
  <c r="T42" i="5"/>
  <c r="U42" i="5" s="1"/>
  <c r="S42" i="5"/>
  <c r="R42" i="5"/>
  <c r="T41" i="5"/>
  <c r="U41" i="5" s="1"/>
  <c r="S41" i="5"/>
  <c r="R41" i="5"/>
  <c r="T40" i="5"/>
  <c r="U40" i="5" s="1"/>
  <c r="S40" i="5"/>
  <c r="R40" i="5"/>
  <c r="T39" i="5"/>
  <c r="U39" i="5" s="1"/>
  <c r="S39" i="5"/>
  <c r="R39" i="5"/>
  <c r="T38" i="5"/>
  <c r="U38" i="5" s="1"/>
  <c r="S38" i="5"/>
  <c r="R38" i="5"/>
  <c r="T36" i="5"/>
  <c r="U36" i="5" s="1"/>
  <c r="S36" i="5"/>
  <c r="R36" i="5"/>
  <c r="T33" i="5"/>
  <c r="U33" i="5" s="1"/>
  <c r="S33" i="5"/>
  <c r="R33" i="5"/>
  <c r="T21" i="5"/>
  <c r="U21" i="5" s="1"/>
  <c r="S21" i="5"/>
  <c r="R21" i="5"/>
  <c r="T20" i="5"/>
  <c r="U20" i="5" s="1"/>
  <c r="S20" i="5"/>
  <c r="R20" i="5"/>
  <c r="T17" i="5"/>
  <c r="U17" i="5" s="1"/>
  <c r="S17" i="5"/>
  <c r="R17" i="5"/>
  <c r="T15" i="5"/>
  <c r="U15" i="5" s="1"/>
  <c r="S15" i="5"/>
  <c r="R15" i="5"/>
  <c r="T9" i="5"/>
  <c r="U9" i="5" s="1"/>
  <c r="S9" i="5"/>
  <c r="R9" i="5"/>
  <c r="T7" i="5"/>
  <c r="U7" i="5" s="1"/>
  <c r="S7" i="5"/>
  <c r="R7" i="5"/>
  <c r="T6" i="5"/>
  <c r="U6" i="5" s="1"/>
  <c r="S6" i="5"/>
  <c r="R6" i="5"/>
  <c r="Q139" i="5"/>
  <c r="T5" i="5"/>
  <c r="S5" i="5"/>
  <c r="S139" i="5" s="1"/>
  <c r="R5" i="5"/>
  <c r="R139" i="5" s="1"/>
  <c r="T166" i="5"/>
  <c r="U166" i="5" s="1"/>
  <c r="S166" i="5"/>
  <c r="R166" i="5"/>
  <c r="T165" i="5"/>
  <c r="U165" i="5" s="1"/>
  <c r="S165" i="5"/>
  <c r="R165" i="5"/>
  <c r="T164" i="5"/>
  <c r="U164" i="5" s="1"/>
  <c r="S164" i="5"/>
  <c r="R164" i="5"/>
  <c r="T163" i="5"/>
  <c r="U163" i="5" s="1"/>
  <c r="S163" i="5"/>
  <c r="R163" i="5"/>
  <c r="T102" i="5"/>
  <c r="U102" i="5" s="1"/>
  <c r="S102" i="5"/>
  <c r="R102" i="5"/>
  <c r="T159" i="5"/>
  <c r="U159" i="5" s="1"/>
  <c r="S159" i="5"/>
  <c r="R159" i="5"/>
  <c r="T152" i="5"/>
  <c r="U152" i="5" s="1"/>
  <c r="S152" i="5"/>
  <c r="R152" i="5"/>
  <c r="T151" i="5"/>
  <c r="U151" i="5" s="1"/>
  <c r="S151" i="5"/>
  <c r="R151" i="5"/>
  <c r="T11" i="5"/>
  <c r="U11" i="5" s="1"/>
  <c r="S11" i="5"/>
  <c r="R11" i="5"/>
  <c r="T10" i="5"/>
  <c r="U10" i="5" s="1"/>
  <c r="S10" i="5"/>
  <c r="R10" i="5"/>
  <c r="Q170" i="5"/>
  <c r="T141" i="5"/>
  <c r="S141" i="5"/>
  <c r="S170" i="5" s="1"/>
  <c r="R141" i="5"/>
  <c r="R170" i="5" s="1"/>
  <c r="T142" i="5"/>
  <c r="U142" i="5" s="1"/>
  <c r="S142" i="5"/>
  <c r="R142" i="5"/>
  <c r="T78" i="5"/>
  <c r="U78" i="5" s="1"/>
  <c r="S78" i="5"/>
  <c r="R78" i="5"/>
  <c r="T77" i="5"/>
  <c r="U77" i="5" s="1"/>
  <c r="S77" i="5"/>
  <c r="R77" i="5"/>
  <c r="T13" i="5"/>
  <c r="U13" i="5" s="1"/>
  <c r="S13" i="5"/>
  <c r="R13" i="5"/>
  <c r="T12" i="5"/>
  <c r="U12" i="5" s="1"/>
  <c r="S12" i="5"/>
  <c r="R12" i="5"/>
  <c r="T23" i="5"/>
  <c r="U23" i="5" s="1"/>
  <c r="S23" i="5"/>
  <c r="R23" i="5"/>
  <c r="T167" i="5"/>
  <c r="U167" i="5" s="1"/>
  <c r="S167" i="5"/>
  <c r="R167" i="5"/>
  <c r="T24" i="5"/>
  <c r="U24" i="5" s="1"/>
  <c r="S24" i="5"/>
  <c r="R24" i="5"/>
  <c r="T148" i="5"/>
  <c r="U148" i="5" s="1"/>
  <c r="S148" i="5"/>
  <c r="R148" i="5"/>
  <c r="T118" i="5"/>
  <c r="U118" i="5" s="1"/>
  <c r="S118" i="5"/>
  <c r="R118" i="5"/>
  <c r="T117" i="5"/>
  <c r="U117" i="5" s="1"/>
  <c r="S117" i="5"/>
  <c r="R117" i="5"/>
  <c r="T104" i="5"/>
  <c r="U104" i="5" s="1"/>
  <c r="S104" i="5"/>
  <c r="R104" i="5"/>
  <c r="T85" i="5"/>
  <c r="U85" i="5" s="1"/>
  <c r="S85" i="5"/>
  <c r="R85" i="5"/>
  <c r="T56" i="5"/>
  <c r="U56" i="5" s="1"/>
  <c r="S56" i="5"/>
  <c r="R56" i="5"/>
  <c r="T55" i="5"/>
  <c r="U55" i="5" s="1"/>
  <c r="S55" i="5"/>
  <c r="R55" i="5"/>
  <c r="T52" i="5"/>
  <c r="U52" i="5" s="1"/>
  <c r="S52" i="5"/>
  <c r="R52" i="5"/>
  <c r="T50" i="5"/>
  <c r="U50" i="5" s="1"/>
  <c r="S50" i="5"/>
  <c r="R50" i="5"/>
  <c r="T32" i="5"/>
  <c r="U32" i="5" s="1"/>
  <c r="S32" i="5"/>
  <c r="R32" i="5"/>
  <c r="T26" i="5"/>
  <c r="U26" i="5" s="1"/>
  <c r="S26" i="5"/>
  <c r="R26" i="5"/>
  <c r="T25" i="5"/>
  <c r="U25" i="5" s="1"/>
  <c r="S25" i="5"/>
  <c r="R25" i="5"/>
  <c r="T150" i="5"/>
  <c r="U150" i="5" s="1"/>
  <c r="S150" i="5"/>
  <c r="R150" i="5"/>
  <c r="T58" i="5"/>
  <c r="U58" i="5" s="1"/>
  <c r="S58" i="5"/>
  <c r="R58" i="5"/>
  <c r="T19" i="5"/>
  <c r="U19" i="5" s="1"/>
  <c r="S19" i="5"/>
  <c r="R19" i="5"/>
  <c r="T134" i="5"/>
  <c r="U134" i="5" s="1"/>
  <c r="S134" i="5"/>
  <c r="R134" i="5"/>
  <c r="T131" i="5"/>
  <c r="U131" i="5" s="1"/>
  <c r="S131" i="5"/>
  <c r="R131" i="5"/>
  <c r="T82" i="5"/>
  <c r="U82" i="5" s="1"/>
  <c r="S82" i="5"/>
  <c r="R82" i="5"/>
  <c r="T72" i="5"/>
  <c r="U72" i="5" s="1"/>
  <c r="S72" i="5"/>
  <c r="R72" i="5"/>
  <c r="T149" i="5"/>
  <c r="U149" i="5" s="1"/>
  <c r="S149" i="5"/>
  <c r="R149" i="5"/>
  <c r="T31" i="5"/>
  <c r="U31" i="5" s="1"/>
  <c r="S31" i="5"/>
  <c r="R31" i="5"/>
  <c r="T168" i="5"/>
  <c r="U168" i="5" s="1"/>
  <c r="S168" i="5"/>
  <c r="R168" i="5"/>
  <c r="T154" i="5"/>
  <c r="U154" i="5" s="1"/>
  <c r="S154" i="5"/>
  <c r="R154" i="5"/>
  <c r="T153" i="5"/>
  <c r="U153" i="5" s="1"/>
  <c r="S153" i="5"/>
  <c r="R153" i="5"/>
  <c r="T128" i="5"/>
  <c r="U128" i="5" s="1"/>
  <c r="S128" i="5"/>
  <c r="R128" i="5"/>
  <c r="T127" i="5"/>
  <c r="U127" i="5" s="1"/>
  <c r="S127" i="5"/>
  <c r="R127" i="5"/>
  <c r="T113" i="5"/>
  <c r="U113" i="5" s="1"/>
  <c r="S113" i="5"/>
  <c r="R113" i="5"/>
  <c r="T112" i="5"/>
  <c r="U112" i="5" s="1"/>
  <c r="S112" i="5"/>
  <c r="R112" i="5"/>
  <c r="T92" i="5"/>
  <c r="U92" i="5" s="1"/>
  <c r="S92" i="5"/>
  <c r="R92" i="5"/>
  <c r="T91" i="5"/>
  <c r="U91" i="5" s="1"/>
  <c r="S91" i="5"/>
  <c r="R91" i="5"/>
  <c r="T68" i="5"/>
  <c r="U68" i="5" s="1"/>
  <c r="S68" i="5"/>
  <c r="R68" i="5"/>
  <c r="T67" i="5"/>
  <c r="U67" i="5" s="1"/>
  <c r="S67" i="5"/>
  <c r="R67" i="5"/>
  <c r="T57" i="5"/>
  <c r="U57" i="5" s="1"/>
  <c r="S57" i="5"/>
  <c r="R57" i="5"/>
  <c r="T47" i="5"/>
  <c r="U47" i="5" s="1"/>
  <c r="S47" i="5"/>
  <c r="R47" i="5"/>
  <c r="T46" i="5"/>
  <c r="U46" i="5" s="1"/>
  <c r="S46" i="5"/>
  <c r="R46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160" i="5"/>
  <c r="U160" i="5" s="1"/>
  <c r="S160" i="5"/>
  <c r="R160" i="5"/>
  <c r="T145" i="5"/>
  <c r="U145" i="5" s="1"/>
  <c r="S145" i="5"/>
  <c r="R145" i="5"/>
  <c r="T83" i="5"/>
  <c r="U83" i="5" s="1"/>
  <c r="S83" i="5"/>
  <c r="R83" i="5"/>
  <c r="T80" i="5"/>
  <c r="U80" i="5" s="1"/>
  <c r="S80" i="5"/>
  <c r="R80" i="5"/>
  <c r="T75" i="5"/>
  <c r="U75" i="5" s="1"/>
  <c r="S75" i="5"/>
  <c r="R75" i="5"/>
  <c r="T74" i="5"/>
  <c r="U74" i="5" s="1"/>
  <c r="S74" i="5"/>
  <c r="R74" i="5"/>
  <c r="T59" i="5"/>
  <c r="U59" i="5" s="1"/>
  <c r="S59" i="5"/>
  <c r="R59" i="5"/>
  <c r="T161" i="5"/>
  <c r="U161" i="5" s="1"/>
  <c r="S161" i="5"/>
  <c r="R161" i="5"/>
  <c r="T143" i="5"/>
  <c r="U143" i="5" s="1"/>
  <c r="S143" i="5"/>
  <c r="R143" i="5"/>
  <c r="T135" i="5"/>
  <c r="U135" i="5" s="1"/>
  <c r="S135" i="5"/>
  <c r="R135" i="5"/>
  <c r="T76" i="5"/>
  <c r="U76" i="5" s="1"/>
  <c r="S76" i="5"/>
  <c r="R76" i="5"/>
  <c r="T34" i="5"/>
  <c r="U34" i="5" s="1"/>
  <c r="S34" i="5"/>
  <c r="R34" i="5"/>
  <c r="T137" i="5"/>
  <c r="U137" i="5" s="1"/>
  <c r="S137" i="5"/>
  <c r="R137" i="5"/>
  <c r="T136" i="5"/>
  <c r="U136" i="5" s="1"/>
  <c r="S136" i="5"/>
  <c r="R136" i="5"/>
  <c r="T133" i="5"/>
  <c r="U133" i="5" s="1"/>
  <c r="S133" i="5"/>
  <c r="R133" i="5"/>
  <c r="T132" i="5"/>
  <c r="U132" i="5" s="1"/>
  <c r="S132" i="5"/>
  <c r="R132" i="5"/>
  <c r="T120" i="5"/>
  <c r="U120" i="5" s="1"/>
  <c r="S120" i="5"/>
  <c r="R120" i="5"/>
  <c r="T103" i="5"/>
  <c r="U103" i="5" s="1"/>
  <c r="S103" i="5"/>
  <c r="R103" i="5"/>
  <c r="T81" i="5"/>
  <c r="U81" i="5" s="1"/>
  <c r="S81" i="5"/>
  <c r="R81" i="5"/>
  <c r="T79" i="5"/>
  <c r="U79" i="5" s="1"/>
  <c r="S79" i="5"/>
  <c r="R79" i="5"/>
  <c r="T73" i="5"/>
  <c r="U73" i="5" s="1"/>
  <c r="S73" i="5"/>
  <c r="R73" i="5"/>
  <c r="T71" i="5"/>
  <c r="U71" i="5" s="1"/>
  <c r="S71" i="5"/>
  <c r="R71" i="5"/>
  <c r="T27" i="5"/>
  <c r="U27" i="5" s="1"/>
  <c r="S27" i="5"/>
  <c r="R27" i="5"/>
  <c r="T16" i="5"/>
  <c r="U16" i="5" s="1"/>
  <c r="S16" i="5"/>
  <c r="R16" i="5"/>
  <c r="T14" i="5"/>
  <c r="U14" i="5" s="1"/>
  <c r="S14" i="5"/>
  <c r="R14" i="5"/>
  <c r="T158" i="5"/>
  <c r="U158" i="5" s="1"/>
  <c r="S158" i="5"/>
  <c r="R158" i="5"/>
  <c r="T156" i="5"/>
  <c r="U156" i="5" s="1"/>
  <c r="S156" i="5"/>
  <c r="R156" i="5"/>
  <c r="T147" i="5"/>
  <c r="U147" i="5" s="1"/>
  <c r="S147" i="5"/>
  <c r="R147" i="5"/>
  <c r="T170" i="5" l="1"/>
  <c r="P170" i="5" s="1"/>
  <c r="U141" i="5"/>
  <c r="U170" i="5" s="1"/>
  <c r="T139" i="5"/>
  <c r="P139" i="5" s="1"/>
  <c r="U5" i="5"/>
  <c r="U139" i="5" s="1"/>
  <c r="M38" i="4"/>
  <c r="J35" i="4"/>
  <c r="E6" i="12"/>
  <c r="L28" i="10"/>
  <c r="F7" i="7" l="1"/>
  <c r="M7" i="7" s="1"/>
  <c r="F6" i="7"/>
  <c r="M6" i="7" s="1"/>
  <c r="L7" i="7"/>
  <c r="N7" i="7"/>
  <c r="Q7" i="7"/>
  <c r="R7" i="7"/>
  <c r="G5" i="9"/>
  <c r="J5" i="9"/>
  <c r="K5" i="9"/>
  <c r="H7" i="7"/>
  <c r="J7" i="7"/>
  <c r="O7" i="7"/>
  <c r="E5" i="9"/>
  <c r="G7" i="7"/>
  <c r="K7" i="7"/>
  <c r="P7" i="7"/>
  <c r="F5" i="9"/>
  <c r="L6" i="7"/>
  <c r="N6" i="7"/>
  <c r="Q6" i="7"/>
  <c r="R6" i="7"/>
  <c r="R8" i="7"/>
  <c r="R11" i="7"/>
  <c r="Q8" i="7"/>
  <c r="Q11" i="7"/>
  <c r="G4" i="9"/>
  <c r="J4" i="9"/>
  <c r="K4" i="9"/>
  <c r="K7" i="9"/>
  <c r="J7" i="9"/>
  <c r="G7" i="9"/>
  <c r="E4" i="12"/>
  <c r="E8" i="12"/>
  <c r="H6" i="7"/>
  <c r="J6" i="7"/>
  <c r="O6" i="7"/>
  <c r="O8" i="7"/>
  <c r="O11" i="7"/>
  <c r="E4" i="9"/>
  <c r="E7" i="9"/>
  <c r="C4" i="12"/>
  <c r="C8" i="12"/>
  <c r="G6" i="7"/>
  <c r="K6" i="7"/>
  <c r="P6" i="7"/>
  <c r="P8" i="7"/>
  <c r="P11" i="7"/>
  <c r="F4" i="9"/>
  <c r="F7" i="9"/>
  <c r="B4" i="12"/>
  <c r="B8" i="12"/>
  <c r="B10" i="12"/>
</calcChain>
</file>

<file path=xl/sharedStrings.xml><?xml version="1.0" encoding="utf-8"?>
<sst xmlns="http://schemas.openxmlformats.org/spreadsheetml/2006/main" count="2604" uniqueCount="648">
  <si>
    <t>Voorblad informatie</t>
  </si>
  <si>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</si>
  <si>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</si>
  <si>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</si>
  <si>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</si>
  <si>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</si>
  <si>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</si>
  <si>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</si>
  <si>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</si>
  <si>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</si>
  <si>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</si>
  <si>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</si>
  <si>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</si>
  <si>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</si>
  <si>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</si>
  <si>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</si>
  <si>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</si>
  <si>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</si>
  <si>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</si>
  <si>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</si>
  <si>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</si>
  <si>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</si>
  <si>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</si>
  <si>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</si>
  <si>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</si>
  <si>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</si>
  <si>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</si>
  <si>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</si>
  <si>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</si>
  <si>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</si>
  <si>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</si>
  <si>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</si>
  <si>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</si>
  <si>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Bureau-/ehbo ruimte harde vloeren (basis)</t>
  </si>
  <si>
    <t>m²/uur</t>
  </si>
  <si>
    <t>BHV</t>
  </si>
  <si>
    <t>Bureau-/ehbo ruimte harde vloeren (volledig)</t>
  </si>
  <si>
    <t>BZB</t>
  </si>
  <si>
    <t>Bureau-/ehbo ruimte zachte vloeren (basis)</t>
  </si>
  <si>
    <t>BZV</t>
  </si>
  <si>
    <t>Bureau-/ehbo ruimte zachte vloeren (volledig)</t>
  </si>
  <si>
    <t>OHB</t>
  </si>
  <si>
    <t>Vergader-/spreek-/overlegruimte harde vloeren (basis)</t>
  </si>
  <si>
    <t>OHV</t>
  </si>
  <si>
    <t>Vergader-/spreek-/overlegruimte harde vloeren (volledig)</t>
  </si>
  <si>
    <t>OZB</t>
  </si>
  <si>
    <t>Vergader-/spreek-/overlegruimte zachte vloeren (basis)</t>
  </si>
  <si>
    <t>OZV</t>
  </si>
  <si>
    <t>Vergader-/spreek-/overlegruimte zachte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</si>
  <si>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</si>
  <si>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</si>
  <si>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</si>
  <si>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</si>
  <si>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</si>
  <si>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</si>
  <si>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</si>
  <si>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</si>
  <si>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</si>
  <si>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</si>
  <si>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 (basis)</t>
  </si>
  <si>
    <t>SHV</t>
  </si>
  <si>
    <t>Sanitaire ruimte (volledig)</t>
  </si>
  <si>
    <t>AHV</t>
  </si>
  <si>
    <t xml:space="preserve">V    </t>
  </si>
  <si>
    <t>Archief/bergruimte/magazijn  - harde vloeren (volledig)</t>
  </si>
  <si>
    <t>AZV</t>
  </si>
  <si>
    <t>Archief/bergruimte/magazijn- zachte vloeren (volledig)</t>
  </si>
  <si>
    <t>CHV</t>
  </si>
  <si>
    <t>Technische ruimte harde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</si>
  <si>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</si>
  <si>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</si>
  <si>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</si>
  <si>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</si>
  <si>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</si>
  <si>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</si>
  <si>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</si>
  <si>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 (volledig)</t>
  </si>
  <si>
    <t>IHB</t>
  </si>
  <si>
    <t>Lift - harde vloeren (basis)</t>
  </si>
  <si>
    <t>IHV</t>
  </si>
  <si>
    <t>Lift - harde vloeren (volledig)</t>
  </si>
  <si>
    <t>PHB</t>
  </si>
  <si>
    <t>Pantry/keuken/koffiehoek - harde vloeren (basis)</t>
  </si>
  <si>
    <t>PHV</t>
  </si>
  <si>
    <t>Pantry/keuken/koffiehoek - harde vloeren (volledig)</t>
  </si>
  <si>
    <t>PZB</t>
  </si>
  <si>
    <t>Pantry/keuken/koffiehoek - zachte vloeren (basis)</t>
  </si>
  <si>
    <t>PZV</t>
  </si>
  <si>
    <t>Pantry/keuken/koffiehoek - zachte vloeren (volledig)</t>
  </si>
  <si>
    <t>RHB</t>
  </si>
  <si>
    <t>Personeelsrestaurant/kantine harde vloeren (basis)</t>
  </si>
  <si>
    <t>RHV</t>
  </si>
  <si>
    <t>Personeelsrestaurant/kantine harde vloeren (volleidg) (volledig)</t>
  </si>
  <si>
    <t>RZB</t>
  </si>
  <si>
    <t>Personeelsrestaurant/kantine zachte vloeren (basis)</t>
  </si>
  <si>
    <t>RZV</t>
  </si>
  <si>
    <t>Personeelsrestaurant/kantine zachte vloeren (volledig)</t>
  </si>
  <si>
    <t>THB</t>
  </si>
  <si>
    <t>Trappenhuis harde vloeren (basis)</t>
  </si>
  <si>
    <t>THV</t>
  </si>
  <si>
    <t>Trappenhuis harde vloeren (volledig)</t>
  </si>
  <si>
    <t>VHB</t>
  </si>
  <si>
    <t>Verkeersruimte/garderobe/reprografie harde vloeren (basis)</t>
  </si>
  <si>
    <t>VHV</t>
  </si>
  <si>
    <t>Verkeersruimte/garderobe/reprografie harde vloeren (volledig)</t>
  </si>
  <si>
    <t>VZB</t>
  </si>
  <si>
    <t>Verkeersruimte/garderobe/reprografie  zachte vloeren (basis)</t>
  </si>
  <si>
    <t>VZV</t>
  </si>
  <si>
    <t>Verkeersruimte/garderobe/reprografie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</si>
  <si>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</si>
  <si>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</si>
  <si>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</si>
  <si>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</si>
  <si>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</si>
  <si>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</si>
  <si>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</si>
  <si>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</si>
  <si>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</si>
  <si>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</si>
  <si>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</si>
  <si>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</si>
  <si>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</si>
  <si>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</si>
  <si>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AZ</t>
  </si>
  <si>
    <t>Archief/magazijn/opslag zachte vloeren</t>
  </si>
  <si>
    <t>BH</t>
  </si>
  <si>
    <t>Kantoor-/EHBO ruimte harde vloeren</t>
  </si>
  <si>
    <t>BZ</t>
  </si>
  <si>
    <t>Kantoor-/EHBO ruimte zachte vloeren</t>
  </si>
  <si>
    <t>CH</t>
  </si>
  <si>
    <t>Technische ruimte harde vloeren</t>
  </si>
  <si>
    <t>DH</t>
  </si>
  <si>
    <t>Douche/wasruimte harde vloeren</t>
  </si>
  <si>
    <t>EH</t>
  </si>
  <si>
    <t>Entree harde vloeren</t>
  </si>
  <si>
    <t>EZ</t>
  </si>
  <si>
    <t>Entree zachte vloeren</t>
  </si>
  <si>
    <t>IH</t>
  </si>
  <si>
    <t>Lift harde vloeren</t>
  </si>
  <si>
    <t>KH</t>
  </si>
  <si>
    <t>Kleedruimte harde vloeren</t>
  </si>
  <si>
    <t>OH</t>
  </si>
  <si>
    <t>Vergader-/spreek-/overlegruimte harde vloeren</t>
  </si>
  <si>
    <t>OZ</t>
  </si>
  <si>
    <t>Vergader-/spreek-/overlegruimte zachte vloeren</t>
  </si>
  <si>
    <t>PH</t>
  </si>
  <si>
    <t>Pantry/keuken/koffiehoek harde vloeren</t>
  </si>
  <si>
    <t>PZ</t>
  </si>
  <si>
    <t>Pantry/keuken/koffiehoek zachte vloeren</t>
  </si>
  <si>
    <t>RH</t>
  </si>
  <si>
    <t>Personeelsrestaurant/kantine harde vloeren</t>
  </si>
  <si>
    <t>RZ</t>
  </si>
  <si>
    <t>Personeelsrestaurant/kantine zachte vloeren</t>
  </si>
  <si>
    <t>SH</t>
  </si>
  <si>
    <t>Sanitaire ruimte/toiletten</t>
  </si>
  <si>
    <t>TH</t>
  </si>
  <si>
    <t>Trap(penhuis) harde vloeren</t>
  </si>
  <si>
    <t>VH</t>
  </si>
  <si>
    <t>Verkeersruimte/garderobe/reprografie harde vloeren</t>
  </si>
  <si>
    <t>VZ</t>
  </si>
  <si>
    <t>Verkeersruimte/garderobe/reprografie zachte vloeren</t>
  </si>
  <si>
    <t>XB</t>
  </si>
  <si>
    <t>vloer</t>
  </si>
  <si>
    <t>Periodiek vloeren beschermd</t>
  </si>
  <si>
    <t>Z003</t>
  </si>
  <si>
    <t>Dieptereiniing vloer</t>
  </si>
  <si>
    <t>Z001</t>
  </si>
  <si>
    <t>extra</t>
  </si>
  <si>
    <t>Doorspoelen waterleiding doucheruimten</t>
  </si>
  <si>
    <t>min./keer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</si>
  <si>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</si>
  <si>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</si>
  <si>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</si>
  <si>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</si>
  <si>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</si>
  <si>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</si>
  <si>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</si>
  <si>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</si>
  <si>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</si>
  <si>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</si>
  <si>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</si>
  <si>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UREN HOOG-FREQUENT/ DAG</t>
  </si>
  <si>
    <t>001 - Gemeentehuis, Staringstraat 25, Gendringen</t>
  </si>
  <si>
    <t>001</t>
  </si>
  <si>
    <t/>
  </si>
  <si>
    <t>0</t>
  </si>
  <si>
    <t>0.01</t>
  </si>
  <si>
    <t>Kantoor PUZA TCI</t>
  </si>
  <si>
    <t>tapijt</t>
  </si>
  <si>
    <t>0.02</t>
  </si>
  <si>
    <t>Kantoor</t>
  </si>
  <si>
    <t>0.03</t>
  </si>
  <si>
    <t>Kantoor O&amp;O Div</t>
  </si>
  <si>
    <t>0.04</t>
  </si>
  <si>
    <t>Archief O&amp;O</t>
  </si>
  <si>
    <t>0.05</t>
  </si>
  <si>
    <t>0.06</t>
  </si>
  <si>
    <t>Douche heren</t>
  </si>
  <si>
    <t>steen</t>
  </si>
  <si>
    <t>0.07</t>
  </si>
  <si>
    <t>Douche dames</t>
  </si>
  <si>
    <t>0.08</t>
  </si>
  <si>
    <t>Entree personeel</t>
  </si>
  <si>
    <t>0.08a</t>
  </si>
  <si>
    <t>inloopmat</t>
  </si>
  <si>
    <t>0.09</t>
  </si>
  <si>
    <t>Garderobe</t>
  </si>
  <si>
    <t>0.10</t>
  </si>
  <si>
    <t>0.11</t>
  </si>
  <si>
    <t>Reproruimte O&amp;O</t>
  </si>
  <si>
    <t>0.12</t>
  </si>
  <si>
    <t>Kantoor PUZA Zorgloket</t>
  </si>
  <si>
    <t>0.13</t>
  </si>
  <si>
    <t>Magazijn O&amp;O</t>
  </si>
  <si>
    <t>0.14</t>
  </si>
  <si>
    <t>Pantry magazijn</t>
  </si>
  <si>
    <t>0.15</t>
  </si>
  <si>
    <t>0.16</t>
  </si>
  <si>
    <t>0.17</t>
  </si>
  <si>
    <t>Kolfruimte</t>
  </si>
  <si>
    <t>0.18</t>
  </si>
  <si>
    <t>Lift</t>
  </si>
  <si>
    <t>0.19</t>
  </si>
  <si>
    <t>Spreekkamer PUZA Zorgloket</t>
  </si>
  <si>
    <t>0.20</t>
  </si>
  <si>
    <t>0.21</t>
  </si>
  <si>
    <t>0.22</t>
  </si>
  <si>
    <t>Repro</t>
  </si>
  <si>
    <t>0.23</t>
  </si>
  <si>
    <t>Miva toilet</t>
  </si>
  <si>
    <t>0.24</t>
  </si>
  <si>
    <t>Toiletten</t>
  </si>
  <si>
    <t>0.25</t>
  </si>
  <si>
    <t>0.26</t>
  </si>
  <si>
    <t>Kantine</t>
  </si>
  <si>
    <t>0.27</t>
  </si>
  <si>
    <t>Vergadergedeelte</t>
  </si>
  <si>
    <t>0.28</t>
  </si>
  <si>
    <t>Receptie</t>
  </si>
  <si>
    <t>0.29</t>
  </si>
  <si>
    <t>Uitgifte O&amp;O</t>
  </si>
  <si>
    <t>0.30</t>
  </si>
  <si>
    <t>Voorraad O&amp;O</t>
  </si>
  <si>
    <t>0.33</t>
  </si>
  <si>
    <t>Kantoor PUZA Burgerzaken</t>
  </si>
  <si>
    <t>0.34</t>
  </si>
  <si>
    <t>Archief</t>
  </si>
  <si>
    <t>0.35</t>
  </si>
  <si>
    <t>Kantoor O&amp;O Inkoop</t>
  </si>
  <si>
    <t>0.36</t>
  </si>
  <si>
    <t>Kantoor O&amp;O</t>
  </si>
  <si>
    <t>0.37</t>
  </si>
  <si>
    <t>Kantoor O&amp;O Communicatie</t>
  </si>
  <si>
    <t>0.38</t>
  </si>
  <si>
    <t>Kantoor O&amp;O Afdelingshoofd</t>
  </si>
  <si>
    <t>0.39</t>
  </si>
  <si>
    <t>Kantoor Afdelingshoofd</t>
  </si>
  <si>
    <t>0.40</t>
  </si>
  <si>
    <t>Kantoor Openbare ruimte</t>
  </si>
  <si>
    <t>0.41</t>
  </si>
  <si>
    <t>Kantoor PIF</t>
  </si>
  <si>
    <t>0.42</t>
  </si>
  <si>
    <t>0.43</t>
  </si>
  <si>
    <t>Toiletten dames</t>
  </si>
  <si>
    <t>0.44</t>
  </si>
  <si>
    <t>Toiletten heren</t>
  </si>
  <si>
    <t>0.45</t>
  </si>
  <si>
    <t>0.46</t>
  </si>
  <si>
    <t>0.48</t>
  </si>
  <si>
    <t>Vergaderruimte</t>
  </si>
  <si>
    <t>0.49</t>
  </si>
  <si>
    <t>Flexplekken</t>
  </si>
  <si>
    <t>0.50</t>
  </si>
  <si>
    <t>0.51A</t>
  </si>
  <si>
    <t>Kantoor Politie</t>
  </si>
  <si>
    <t>pvc</t>
  </si>
  <si>
    <t>0.51B</t>
  </si>
  <si>
    <t>0.52</t>
  </si>
  <si>
    <t>Spreekkamer Kleine Fractiekamer</t>
  </si>
  <si>
    <t>0.53</t>
  </si>
  <si>
    <t>Spreekkamer Grote Fractiekamer</t>
  </si>
  <si>
    <t>0.54</t>
  </si>
  <si>
    <t>Toilet</t>
  </si>
  <si>
    <t>0.55</t>
  </si>
  <si>
    <t>Pantry</t>
  </si>
  <si>
    <t>0.56</t>
  </si>
  <si>
    <t>Trappenhuis</t>
  </si>
  <si>
    <t>0.57</t>
  </si>
  <si>
    <t>Kantoor PIF P&amp;O</t>
  </si>
  <si>
    <t>0.58</t>
  </si>
  <si>
    <t>0.59</t>
  </si>
  <si>
    <t>0.60</t>
  </si>
  <si>
    <t>0.61</t>
  </si>
  <si>
    <t>0.62</t>
  </si>
  <si>
    <t>Kantoor PUZA Afdelingshoofd</t>
  </si>
  <si>
    <t>0.63</t>
  </si>
  <si>
    <t>0.64</t>
  </si>
  <si>
    <t>0.65</t>
  </si>
  <si>
    <t>0.66</t>
  </si>
  <si>
    <t>0.67</t>
  </si>
  <si>
    <t>Kantoor V&amp;H Bouwen</t>
  </si>
  <si>
    <t>0.68</t>
  </si>
  <si>
    <t>Gang/garderobe</t>
  </si>
  <si>
    <t>0.69</t>
  </si>
  <si>
    <t>Pantry-koffiecorner</t>
  </si>
  <si>
    <t>0.70</t>
  </si>
  <si>
    <t>Gang</t>
  </si>
  <si>
    <t>0.71</t>
  </si>
  <si>
    <t>0.72</t>
  </si>
  <si>
    <t>Trappenhuis groot</t>
  </si>
  <si>
    <t>0.73</t>
  </si>
  <si>
    <t>Centrale hal</t>
  </si>
  <si>
    <t>dhgt</t>
  </si>
  <si>
    <t>0.74</t>
  </si>
  <si>
    <t>Entree</t>
  </si>
  <si>
    <t>0.75</t>
  </si>
  <si>
    <t>Draaideur</t>
  </si>
  <si>
    <t>0.76</t>
  </si>
  <si>
    <t>0.77</t>
  </si>
  <si>
    <t>0.78</t>
  </si>
  <si>
    <t>0.79</t>
  </si>
  <si>
    <t>0.80</t>
  </si>
  <si>
    <t>1</t>
  </si>
  <si>
    <t>1.01</t>
  </si>
  <si>
    <t>Kantoor I&amp;A</t>
  </si>
  <si>
    <t>1.02</t>
  </si>
  <si>
    <t>Spreekkamer</t>
  </si>
  <si>
    <t>1.03</t>
  </si>
  <si>
    <t>1.04</t>
  </si>
  <si>
    <t>1.05</t>
  </si>
  <si>
    <t>Kantoor BDO</t>
  </si>
  <si>
    <t>1.06</t>
  </si>
  <si>
    <t>Kantoor Burgemeester</t>
  </si>
  <si>
    <t>1.07</t>
  </si>
  <si>
    <t>Kantoor Wethouder</t>
  </si>
  <si>
    <t>1.08</t>
  </si>
  <si>
    <t>1.09</t>
  </si>
  <si>
    <t>1.10</t>
  </si>
  <si>
    <t>1.11</t>
  </si>
  <si>
    <t>1.12</t>
  </si>
  <si>
    <t>1.13</t>
  </si>
  <si>
    <t>1.14</t>
  </si>
  <si>
    <t>Kantoor Directeur</t>
  </si>
  <si>
    <t>1.15</t>
  </si>
  <si>
    <t>Kantoor Griffie</t>
  </si>
  <si>
    <t>1.16</t>
  </si>
  <si>
    <t>1.17</t>
  </si>
  <si>
    <t>1.18</t>
  </si>
  <si>
    <t>Kantoor Systeembeheerder</t>
  </si>
  <si>
    <t>1.19</t>
  </si>
  <si>
    <t>Technische ruimte</t>
  </si>
  <si>
    <t>1.22</t>
  </si>
  <si>
    <t>Balkon</t>
  </si>
  <si>
    <t>1.25</t>
  </si>
  <si>
    <t>1.26</t>
  </si>
  <si>
    <t>Kantoor V&amp;H</t>
  </si>
  <si>
    <t>1.27</t>
  </si>
  <si>
    <t>1.28</t>
  </si>
  <si>
    <t>Kantoor Brandweer/Veiligheid</t>
  </si>
  <si>
    <t>1.29</t>
  </si>
  <si>
    <t>Kantoor Openbare Orde</t>
  </si>
  <si>
    <t>1.30</t>
  </si>
  <si>
    <t>Kantoor RMO</t>
  </si>
  <si>
    <t>1.31</t>
  </si>
  <si>
    <t>1.32</t>
  </si>
  <si>
    <t>1.33</t>
  </si>
  <si>
    <t>1.34</t>
  </si>
  <si>
    <t>1.35</t>
  </si>
  <si>
    <t>1.36</t>
  </si>
  <si>
    <t>Kantoor BDO/OWN</t>
  </si>
  <si>
    <t>1.37</t>
  </si>
  <si>
    <t>1.39</t>
  </si>
  <si>
    <t>1.40</t>
  </si>
  <si>
    <t>1.41</t>
  </si>
  <si>
    <t>Kantoor Milieu</t>
  </si>
  <si>
    <t>1.42</t>
  </si>
  <si>
    <t>Reproruimte</t>
  </si>
  <si>
    <t>1.43</t>
  </si>
  <si>
    <t>Kantoor Hoofd RMO</t>
  </si>
  <si>
    <t>1.44</t>
  </si>
  <si>
    <t>1.45</t>
  </si>
  <si>
    <t>1.46</t>
  </si>
  <si>
    <t>1.47</t>
  </si>
  <si>
    <t>1.48</t>
  </si>
  <si>
    <t>1.49</t>
  </si>
  <si>
    <t>1.50</t>
  </si>
  <si>
    <t>1.51</t>
  </si>
  <si>
    <t>Kantoor Hoofd V&amp;H</t>
  </si>
  <si>
    <t>1.52</t>
  </si>
  <si>
    <t>Kantoor Administratie V&amp;H</t>
  </si>
  <si>
    <t>1.53</t>
  </si>
  <si>
    <t>1.54</t>
  </si>
  <si>
    <t>1.55</t>
  </si>
  <si>
    <t>1.56</t>
  </si>
  <si>
    <t>1.57</t>
  </si>
  <si>
    <t>1.58</t>
  </si>
  <si>
    <t>1.59</t>
  </si>
  <si>
    <t>Ext</t>
  </si>
  <si>
    <t>Extra</t>
  </si>
  <si>
    <t>Totaal werkdag</t>
  </si>
  <si>
    <t>002 - Gemeentewerf, De Hogenkamp 10, Ulft</t>
  </si>
  <si>
    <t>002</t>
  </si>
  <si>
    <t>beton</t>
  </si>
  <si>
    <t>0.01a</t>
  </si>
  <si>
    <t>schoonloopmat</t>
  </si>
  <si>
    <t>grindtegels</t>
  </si>
  <si>
    <t>0.02a</t>
  </si>
  <si>
    <t>Trap</t>
  </si>
  <si>
    <t>hout</t>
  </si>
  <si>
    <t>Kantoor werfbeheerder</t>
  </si>
  <si>
    <t>linoleum</t>
  </si>
  <si>
    <t>strizo/grind</t>
  </si>
  <si>
    <t>Keuken</t>
  </si>
  <si>
    <t>Was- en kleedruimte</t>
  </si>
  <si>
    <t>Doucheruimte</t>
  </si>
  <si>
    <t>Herentoilet</t>
  </si>
  <si>
    <t>Kantoor opzichters</t>
  </si>
  <si>
    <t>0.16a</t>
  </si>
  <si>
    <t>Wasbak</t>
  </si>
  <si>
    <t>Kantoor 1</t>
  </si>
  <si>
    <t>Kantoor 2</t>
  </si>
  <si>
    <t>Kantoor 3</t>
  </si>
  <si>
    <t>Kantoor 4</t>
  </si>
  <si>
    <t>Kleedruimte dames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</si>
  <si>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</si>
  <si>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</si>
  <si>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</si>
  <si>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</si>
  <si>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</si>
  <si>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</si>
  <si>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</si>
  <si>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</si>
  <si>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001</t>
  </si>
  <si>
    <t xml:space="preserve">     002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</si>
  <si>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</si>
  <si>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</si>
  <si>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</si>
  <si>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</si>
  <si>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</si>
  <si>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</si>
  <si>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</si>
  <si>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</si>
  <si>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</si>
  <si>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</si>
  <si>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</si>
  <si>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</si>
  <si>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</si>
  <si>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</si>
  <si>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MAAND (EURO)</t>
  </si>
  <si>
    <t>Gemeentehuis</t>
  </si>
  <si>
    <t>Staringstraat 25</t>
  </si>
  <si>
    <t>Gendringen</t>
  </si>
  <si>
    <t>Gemeentewerf</t>
  </si>
  <si>
    <t>De Hogenkamp 10</t>
  </si>
  <si>
    <t>Ulft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</si>
  <si>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</si>
  <si>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</si>
  <si>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</si>
  <si>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</si>
  <si>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</si>
  <si>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</si>
  <si>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</si>
  <si>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</si>
  <si>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</si>
  <si>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</si>
  <si>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</si>
  <si>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</si>
  <si>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</si>
  <si>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</si>
  <si>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001 - Gemeentehuis, Staringstraat 25, Gendringen</t>
  </si>
  <si>
    <t>Totaal 002 - Gemeentewerf, De Hogenkamp 10, Ulft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</si>
  <si>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</si>
  <si>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</si>
  <si>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</si>
  <si>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</si>
  <si>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</si>
  <si>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</si>
  <si>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</si>
  <si>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</si>
  <si>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</si>
  <si>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</si>
  <si>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</si>
  <si>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</si>
  <si>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</si>
  <si>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</si>
  <si>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2000A</t>
  </si>
  <si>
    <t>Systeemkast/monitor reinigen &lt; 25 stuks</t>
  </si>
  <si>
    <t>prijs per stuk</t>
  </si>
  <si>
    <t>2000B</t>
  </si>
  <si>
    <t>Systeemkast/monitor reinigen 25 tot 75 stuks</t>
  </si>
  <si>
    <t>2000C</t>
  </si>
  <si>
    <t>Systeemkast/monitor reinigen 75  tot 200 stuks</t>
  </si>
  <si>
    <t>2000D</t>
  </si>
  <si>
    <t>Systeemkast/monitor reinigen &gt;= 200 stuks</t>
  </si>
  <si>
    <t>2030A</t>
  </si>
  <si>
    <t>Toetsenbord reinigen &lt; 25 stuks</t>
  </si>
  <si>
    <t>2030B</t>
  </si>
  <si>
    <t>Toetsenbord reinigen 25 tot 100 stuks</t>
  </si>
  <si>
    <t>2030C</t>
  </si>
  <si>
    <t>Toetsenbord reinigen 100 tot 200 stuks</t>
  </si>
  <si>
    <t>2030D</t>
  </si>
  <si>
    <t>Toetsenbord reinigen &gt;= 200 stuks</t>
  </si>
  <si>
    <t>9000</t>
  </si>
  <si>
    <t>Medewerker regiewerkzaamheden</t>
  </si>
  <si>
    <t>prijs per uur</t>
  </si>
  <si>
    <t>9100</t>
  </si>
  <si>
    <t>Medewerker regiewerkzaamheden (specialistisch)</t>
  </si>
  <si>
    <t>9200</t>
  </si>
  <si>
    <t>Medewerker graffiti verwijdering (specialistisch)</t>
  </si>
  <si>
    <t>9320A</t>
  </si>
  <si>
    <t>Stoffen bekleding gehele stoel reiningen &lt; 50  stuks</t>
  </si>
  <si>
    <t>9320B</t>
  </si>
  <si>
    <t>Stoffen bekleding gehele stoel reiningen 50 &lt; 100 stuks</t>
  </si>
  <si>
    <t>9320C</t>
  </si>
  <si>
    <t>Stoffen bekleding gehele stoel reiningen 100 &lt; 175 stuks</t>
  </si>
  <si>
    <t>9320D</t>
  </si>
  <si>
    <t>Stoffen bekleding gehele stoel reiningen &gt;= 175 stuks</t>
  </si>
  <si>
    <t>9340A</t>
  </si>
  <si>
    <t>Stoffen bekleding zitting stoel reiningen &lt; 50 stuks</t>
  </si>
  <si>
    <t>9340B</t>
  </si>
  <si>
    <t>Stoffen bekleding zitting stoel reiningen 50 &lt; 100 stuks</t>
  </si>
  <si>
    <t>9360A</t>
  </si>
  <si>
    <t>Stoffen bekleding bank reiningen &lt; 5 stuks</t>
  </si>
  <si>
    <t>9360B</t>
  </si>
  <si>
    <t>Stoffen bekleding bank reiningen 5  &lt; 10 stuks</t>
  </si>
  <si>
    <t>9360C</t>
  </si>
  <si>
    <t>Stoffen bekleding bank reiningen &gt;= 10 stuks</t>
  </si>
  <si>
    <t>Totaal afroep excl. BTW</t>
  </si>
  <si>
    <t>STAFFEL</t>
  </si>
  <si>
    <t>2010A</t>
  </si>
  <si>
    <t>Printer uitwendig reinigen</t>
  </si>
  <si>
    <t>&lt; 25 stuks</t>
  </si>
  <si>
    <t>2010B</t>
  </si>
  <si>
    <t>25 tot 100 stuks</t>
  </si>
  <si>
    <t>2010C</t>
  </si>
  <si>
    <t>100 tot 500 stuks</t>
  </si>
  <si>
    <t>2010D</t>
  </si>
  <si>
    <t>&gt;= 500 stuks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</si>
  <si>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</si>
  <si>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</si>
  <si>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</si>
  <si>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</si>
  <si>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</si>
  <si>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</si>
  <si>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</si>
  <si>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</si>
  <si>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</si>
  <si>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</si>
  <si>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</si>
  <si>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</si>
  <si>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</si>
  <si>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</si>
  <si>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</si>
  <si>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</si>
  <si>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</si>
  <si>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</si>
  <si>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</si>
  <si>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</si>
  <si>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</si>
  <si>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</si>
  <si>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</si>
  <si>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</si>
  <si>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</si>
  <si>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</si>
  <si>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</si>
  <si>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</si>
  <si>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</si>
  <si>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</si>
  <si>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</si>
  <si>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</si>
  <si>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</si>
  <si>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</si>
  <si>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</si>
  <si>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</si>
  <si>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</si>
  <si>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</si>
  <si>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</si>
  <si>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</si>
  <si>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</si>
  <si>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</si>
  <si>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</si>
  <si>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</si>
  <si>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</si>
  <si>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</si>
  <si>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</si>
  <si>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</si>
  <si>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</si>
  <si>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</si>
  <si>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</si>
  <si>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</si>
  <si>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</si>
  <si>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</si>
  <si>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</si>
  <si>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</si>
  <si>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</si>
  <si>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</si>
  <si>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</si>
  <si>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</si>
  <si>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</si>
  <si>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</si>
  <si>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</si>
  <si>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</si>
  <si>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</si>
  <si>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</si>
  <si>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</si>
  <si>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</si>
  <si>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</si>
  <si>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</si>
  <si>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</si>
  <si>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</si>
  <si>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</si>
  <si>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</si>
  <si>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</si>
  <si>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</si>
  <si>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</si>
  <si>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500 &lt; 1500 m²</t>
  </si>
  <si>
    <t>4060C</t>
  </si>
  <si>
    <t>1500 &lt; 2500 m²</t>
  </si>
  <si>
    <t>4060D</t>
  </si>
  <si>
    <t>&gt;= 2500 m²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</si>
  <si>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</si>
  <si>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</si>
  <si>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</si>
  <si>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</si>
  <si>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</si>
  <si>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</si>
  <si>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</si>
  <si>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</si>
  <si>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</si>
  <si>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</si>
  <si>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</si>
  <si>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</si>
  <si>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</si>
  <si>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</si>
  <si>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</si>
  <si>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</si>
  <si>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</si>
  <si>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</si>
  <si>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</si>
  <si>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</si>
  <si>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</si>
  <si>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 xml:space="preserve">Regulier werk </t>
  </si>
  <si>
    <t xml:space="preserve">Objectleiding </t>
  </si>
  <si>
    <t>Afroepwerk (geschatte frequenties)</t>
  </si>
  <si>
    <t>Totaal generaal</t>
  </si>
  <si>
    <t>Percentage objectleiding</t>
  </si>
  <si>
    <t>VERGELIJKINGSBEDRAG AFROEP(GESCHAT) VOOR PRIJSCRITERIUM</t>
  </si>
  <si>
    <t>BEGROOT BEDRAG REGULIERE WERKZAAMHEDEN (NIET HOGER DAN BUDGET)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</si>
</sst>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6E66CBC2-D2BB-40D5-8577-9D561C407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BC91-A14D-431E-889E-C29ACDDE8947}">
  <dimension ref="A1"/>
  <sheetViews>
    <sheetView workbookViewId="0"/>
  </sheetViews>
  <sheetFormatPr defaultRowHeight="12.75" x14ac:dyDescent="0.2"/>
  <sheetData>
    <row r="1" spans="1:1" x14ac:dyDescent="0.2">
      <c r="A1" s="1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6EE4-4E11-44FA-81EE-BD7F37863D46}">
  <dimension ref="A1:L2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H1.7: ",tabeltype," afroep")</f>
        <v>Bijlage H1.7: Invultabel afroep</v>
      </c>
    </row>
    <row r="3" spans="1:12" ht="38.25" x14ac:dyDescent="0.2">
      <c r="A3" s="8" t="s">
        <v>478</v>
      </c>
      <c r="B3" s="8" t="s">
        <v>8</v>
      </c>
      <c r="C3" s="8" t="s">
        <v>479</v>
      </c>
      <c r="D3" s="8" t="s">
        <v>25</v>
      </c>
      <c r="E3" s="8" t="s">
        <v>28</v>
      </c>
      <c r="F3" s="8" t="s">
        <v>480</v>
      </c>
      <c r="G3" s="8" t="s">
        <v>481</v>
      </c>
      <c r="H3" s="8" t="s">
        <v>482</v>
      </c>
      <c r="I3" s="8" t="s">
        <v>483</v>
      </c>
      <c r="J3" s="8" t="s">
        <v>484</v>
      </c>
      <c r="K3" s="8" t="s">
        <v>119</v>
      </c>
      <c r="L3" s="8" t="s">
        <v>448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485</v>
      </c>
      <c r="B6" s="15" t="s">
        <v>21</v>
      </c>
      <c r="C6" s="16">
        <f t="shared" ref="C6:C25" si="0">IF(ISBLANK(B6),0,IF(ISERROR(VALUE(B6)),VLOOKUP(B6,dagsoorttabel1,2,FALSE)*dagenperjaar1,VALUE(B6)))</f>
        <v>1</v>
      </c>
      <c r="D6" s="15" t="s">
        <v>486</v>
      </c>
      <c r="E6" s="15" t="s">
        <v>487</v>
      </c>
      <c r="F6" s="103">
        <v>10</v>
      </c>
      <c r="G6" s="19"/>
      <c r="H6" s="104"/>
      <c r="I6" s="19"/>
      <c r="J6" s="33">
        <f t="shared" ref="J6:J25" si="1">IF(ISBLANK(F6),0,F6)*I6</f>
        <v>0</v>
      </c>
      <c r="K6" s="33">
        <f t="shared" ref="K6:K25" si="2">C6*J6</f>
        <v>0</v>
      </c>
      <c r="L6" s="33">
        <f t="shared" ref="L6:L26" si="3">K6/12</f>
        <v>0</v>
      </c>
    </row>
    <row r="7" spans="1:12" x14ac:dyDescent="0.2">
      <c r="A7" s="20" t="s">
        <v>488</v>
      </c>
      <c r="B7" s="20" t="s">
        <v>21</v>
      </c>
      <c r="C7" s="21">
        <f t="shared" si="0"/>
        <v>1</v>
      </c>
      <c r="D7" s="20" t="s">
        <v>489</v>
      </c>
      <c r="E7" s="20" t="s">
        <v>487</v>
      </c>
      <c r="F7" s="105">
        <v>40</v>
      </c>
      <c r="G7" s="24"/>
      <c r="H7" s="106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490</v>
      </c>
      <c r="B8" s="20" t="s">
        <v>21</v>
      </c>
      <c r="C8" s="21">
        <f t="shared" si="0"/>
        <v>1</v>
      </c>
      <c r="D8" s="20" t="s">
        <v>491</v>
      </c>
      <c r="E8" s="20" t="s">
        <v>487</v>
      </c>
      <c r="F8" s="105">
        <v>125</v>
      </c>
      <c r="G8" s="24"/>
      <c r="H8" s="106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492</v>
      </c>
      <c r="B9" s="20" t="s">
        <v>21</v>
      </c>
      <c r="C9" s="21">
        <f t="shared" si="0"/>
        <v>1</v>
      </c>
      <c r="D9" s="20" t="s">
        <v>493</v>
      </c>
      <c r="E9" s="20" t="s">
        <v>487</v>
      </c>
      <c r="F9" s="105">
        <v>300</v>
      </c>
      <c r="G9" s="24"/>
      <c r="H9" s="106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494</v>
      </c>
      <c r="B10" s="20" t="s">
        <v>21</v>
      </c>
      <c r="C10" s="21">
        <f t="shared" si="0"/>
        <v>1</v>
      </c>
      <c r="D10" s="20" t="s">
        <v>495</v>
      </c>
      <c r="E10" s="20" t="s">
        <v>487</v>
      </c>
      <c r="F10" s="105">
        <v>10</v>
      </c>
      <c r="G10" s="24"/>
      <c r="H10" s="106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496</v>
      </c>
      <c r="B11" s="20" t="s">
        <v>21</v>
      </c>
      <c r="C11" s="21">
        <f t="shared" si="0"/>
        <v>1</v>
      </c>
      <c r="D11" s="20" t="s">
        <v>497</v>
      </c>
      <c r="E11" s="20" t="s">
        <v>487</v>
      </c>
      <c r="F11" s="105">
        <v>40</v>
      </c>
      <c r="G11" s="24"/>
      <c r="H11" s="106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498</v>
      </c>
      <c r="B12" s="20" t="s">
        <v>21</v>
      </c>
      <c r="C12" s="21">
        <f t="shared" si="0"/>
        <v>1</v>
      </c>
      <c r="D12" s="20" t="s">
        <v>499</v>
      </c>
      <c r="E12" s="20" t="s">
        <v>487</v>
      </c>
      <c r="F12" s="105">
        <v>125</v>
      </c>
      <c r="G12" s="24"/>
      <c r="H12" s="106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0" t="s">
        <v>500</v>
      </c>
      <c r="B13" s="20" t="s">
        <v>21</v>
      </c>
      <c r="C13" s="21">
        <f t="shared" si="0"/>
        <v>1</v>
      </c>
      <c r="D13" s="20" t="s">
        <v>501</v>
      </c>
      <c r="E13" s="20" t="s">
        <v>487</v>
      </c>
      <c r="F13" s="105">
        <v>250</v>
      </c>
      <c r="G13" s="24"/>
      <c r="H13" s="106"/>
      <c r="I13" s="24"/>
      <c r="J13" s="37">
        <f t="shared" si="1"/>
        <v>0</v>
      </c>
      <c r="K13" s="37">
        <f t="shared" si="2"/>
        <v>0</v>
      </c>
      <c r="L13" s="37">
        <f t="shared" si="3"/>
        <v>0</v>
      </c>
    </row>
    <row r="14" spans="1:12" x14ac:dyDescent="0.2">
      <c r="A14" s="20" t="s">
        <v>502</v>
      </c>
      <c r="B14" s="20" t="s">
        <v>16</v>
      </c>
      <c r="C14" s="21">
        <f t="shared" si="0"/>
        <v>12</v>
      </c>
      <c r="D14" s="20" t="s">
        <v>503</v>
      </c>
      <c r="E14" s="20" t="s">
        <v>504</v>
      </c>
      <c r="F14" s="105">
        <v>20</v>
      </c>
      <c r="G14" s="24"/>
      <c r="H14" s="106"/>
      <c r="I14" s="24"/>
      <c r="J14" s="37">
        <f t="shared" si="1"/>
        <v>0</v>
      </c>
      <c r="K14" s="37">
        <f t="shared" si="2"/>
        <v>0</v>
      </c>
      <c r="L14" s="37">
        <f t="shared" si="3"/>
        <v>0</v>
      </c>
    </row>
    <row r="15" spans="1:12" x14ac:dyDescent="0.2">
      <c r="A15" s="20" t="s">
        <v>505</v>
      </c>
      <c r="B15" s="20" t="s">
        <v>16</v>
      </c>
      <c r="C15" s="21">
        <f t="shared" si="0"/>
        <v>12</v>
      </c>
      <c r="D15" s="20" t="s">
        <v>506</v>
      </c>
      <c r="E15" s="20" t="s">
        <v>504</v>
      </c>
      <c r="F15" s="105">
        <v>4</v>
      </c>
      <c r="G15" s="24"/>
      <c r="H15" s="106"/>
      <c r="I15" s="24"/>
      <c r="J15" s="37">
        <f t="shared" si="1"/>
        <v>0</v>
      </c>
      <c r="K15" s="37">
        <f t="shared" si="2"/>
        <v>0</v>
      </c>
      <c r="L15" s="37">
        <f t="shared" si="3"/>
        <v>0</v>
      </c>
    </row>
    <row r="16" spans="1:12" x14ac:dyDescent="0.2">
      <c r="A16" s="20" t="s">
        <v>507</v>
      </c>
      <c r="B16" s="20" t="s">
        <v>16</v>
      </c>
      <c r="C16" s="21">
        <f t="shared" si="0"/>
        <v>12</v>
      </c>
      <c r="D16" s="20" t="s">
        <v>508</v>
      </c>
      <c r="E16" s="20" t="s">
        <v>504</v>
      </c>
      <c r="F16" s="105">
        <v>1</v>
      </c>
      <c r="G16" s="24"/>
      <c r="H16" s="106"/>
      <c r="I16" s="24"/>
      <c r="J16" s="37">
        <f t="shared" si="1"/>
        <v>0</v>
      </c>
      <c r="K16" s="37">
        <f t="shared" si="2"/>
        <v>0</v>
      </c>
      <c r="L16" s="37">
        <f t="shared" si="3"/>
        <v>0</v>
      </c>
    </row>
    <row r="17" spans="1:12" x14ac:dyDescent="0.2">
      <c r="A17" s="20" t="s">
        <v>509</v>
      </c>
      <c r="B17" s="20" t="s">
        <v>21</v>
      </c>
      <c r="C17" s="21">
        <f t="shared" si="0"/>
        <v>1</v>
      </c>
      <c r="D17" s="20" t="s">
        <v>510</v>
      </c>
      <c r="E17" s="20" t="s">
        <v>487</v>
      </c>
      <c r="F17" s="105">
        <v>20</v>
      </c>
      <c r="G17" s="24"/>
      <c r="H17" s="106"/>
      <c r="I17" s="24"/>
      <c r="J17" s="37">
        <f t="shared" si="1"/>
        <v>0</v>
      </c>
      <c r="K17" s="37">
        <f t="shared" si="2"/>
        <v>0</v>
      </c>
      <c r="L17" s="37">
        <f t="shared" si="3"/>
        <v>0</v>
      </c>
    </row>
    <row r="18" spans="1:12" x14ac:dyDescent="0.2">
      <c r="A18" s="20" t="s">
        <v>511</v>
      </c>
      <c r="B18" s="20" t="s">
        <v>21</v>
      </c>
      <c r="C18" s="21">
        <f t="shared" si="0"/>
        <v>1</v>
      </c>
      <c r="D18" s="20" t="s">
        <v>512</v>
      </c>
      <c r="E18" s="20" t="s">
        <v>487</v>
      </c>
      <c r="F18" s="105">
        <v>30</v>
      </c>
      <c r="G18" s="24"/>
      <c r="H18" s="106"/>
      <c r="I18" s="24"/>
      <c r="J18" s="37">
        <f t="shared" si="1"/>
        <v>0</v>
      </c>
      <c r="K18" s="37">
        <f t="shared" si="2"/>
        <v>0</v>
      </c>
      <c r="L18" s="37">
        <f t="shared" si="3"/>
        <v>0</v>
      </c>
    </row>
    <row r="19" spans="1:12" x14ac:dyDescent="0.2">
      <c r="A19" s="20" t="s">
        <v>513</v>
      </c>
      <c r="B19" s="20" t="s">
        <v>21</v>
      </c>
      <c r="C19" s="21">
        <f t="shared" si="0"/>
        <v>1</v>
      </c>
      <c r="D19" s="20" t="s">
        <v>514</v>
      </c>
      <c r="E19" s="20" t="s">
        <v>487</v>
      </c>
      <c r="F19" s="105">
        <v>120</v>
      </c>
      <c r="G19" s="24"/>
      <c r="H19" s="106"/>
      <c r="I19" s="24"/>
      <c r="J19" s="37">
        <f t="shared" si="1"/>
        <v>0</v>
      </c>
      <c r="K19" s="37">
        <f t="shared" si="2"/>
        <v>0</v>
      </c>
      <c r="L19" s="37">
        <f t="shared" si="3"/>
        <v>0</v>
      </c>
    </row>
    <row r="20" spans="1:12" x14ac:dyDescent="0.2">
      <c r="A20" s="20" t="s">
        <v>515</v>
      </c>
      <c r="B20" s="20" t="s">
        <v>21</v>
      </c>
      <c r="C20" s="21">
        <f t="shared" si="0"/>
        <v>1</v>
      </c>
      <c r="D20" s="20" t="s">
        <v>516</v>
      </c>
      <c r="E20" s="20" t="s">
        <v>487</v>
      </c>
      <c r="F20" s="105">
        <v>190</v>
      </c>
      <c r="G20" s="24"/>
      <c r="H20" s="106"/>
      <c r="I20" s="24"/>
      <c r="J20" s="37">
        <f t="shared" si="1"/>
        <v>0</v>
      </c>
      <c r="K20" s="37">
        <f t="shared" si="2"/>
        <v>0</v>
      </c>
      <c r="L20" s="37">
        <f t="shared" si="3"/>
        <v>0</v>
      </c>
    </row>
    <row r="21" spans="1:12" x14ac:dyDescent="0.2">
      <c r="A21" s="20" t="s">
        <v>517</v>
      </c>
      <c r="B21" s="20" t="s">
        <v>21</v>
      </c>
      <c r="C21" s="21">
        <f t="shared" si="0"/>
        <v>1</v>
      </c>
      <c r="D21" s="20" t="s">
        <v>518</v>
      </c>
      <c r="E21" s="20" t="s">
        <v>487</v>
      </c>
      <c r="F21" s="105">
        <v>35</v>
      </c>
      <c r="G21" s="24"/>
      <c r="H21" s="106"/>
      <c r="I21" s="24"/>
      <c r="J21" s="37">
        <f t="shared" si="1"/>
        <v>0</v>
      </c>
      <c r="K21" s="37">
        <f t="shared" si="2"/>
        <v>0</v>
      </c>
      <c r="L21" s="37">
        <f t="shared" si="3"/>
        <v>0</v>
      </c>
    </row>
    <row r="22" spans="1:12" x14ac:dyDescent="0.2">
      <c r="A22" s="20" t="s">
        <v>519</v>
      </c>
      <c r="B22" s="20" t="s">
        <v>21</v>
      </c>
      <c r="C22" s="21">
        <f t="shared" si="0"/>
        <v>1</v>
      </c>
      <c r="D22" s="20" t="s">
        <v>520</v>
      </c>
      <c r="E22" s="20" t="s">
        <v>487</v>
      </c>
      <c r="F22" s="105">
        <v>75</v>
      </c>
      <c r="G22" s="24"/>
      <c r="H22" s="106"/>
      <c r="I22" s="24"/>
      <c r="J22" s="37">
        <f t="shared" si="1"/>
        <v>0</v>
      </c>
      <c r="K22" s="37">
        <f t="shared" si="2"/>
        <v>0</v>
      </c>
      <c r="L22" s="37">
        <f t="shared" si="3"/>
        <v>0</v>
      </c>
    </row>
    <row r="23" spans="1:12" x14ac:dyDescent="0.2">
      <c r="A23" s="20" t="s">
        <v>521</v>
      </c>
      <c r="B23" s="20" t="s">
        <v>21</v>
      </c>
      <c r="C23" s="21">
        <f t="shared" si="0"/>
        <v>1</v>
      </c>
      <c r="D23" s="20" t="s">
        <v>522</v>
      </c>
      <c r="E23" s="20" t="s">
        <v>487</v>
      </c>
      <c r="F23" s="105">
        <v>3</v>
      </c>
      <c r="G23" s="24"/>
      <c r="H23" s="106"/>
      <c r="I23" s="24"/>
      <c r="J23" s="37">
        <f t="shared" si="1"/>
        <v>0</v>
      </c>
      <c r="K23" s="37">
        <f t="shared" si="2"/>
        <v>0</v>
      </c>
      <c r="L23" s="37">
        <f t="shared" si="3"/>
        <v>0</v>
      </c>
    </row>
    <row r="24" spans="1:12" x14ac:dyDescent="0.2">
      <c r="A24" s="20" t="s">
        <v>523</v>
      </c>
      <c r="B24" s="20" t="s">
        <v>21</v>
      </c>
      <c r="C24" s="21">
        <f t="shared" si="0"/>
        <v>1</v>
      </c>
      <c r="D24" s="20" t="s">
        <v>524</v>
      </c>
      <c r="E24" s="20" t="s">
        <v>487</v>
      </c>
      <c r="F24" s="105">
        <v>7</v>
      </c>
      <c r="G24" s="24"/>
      <c r="H24" s="106"/>
      <c r="I24" s="24"/>
      <c r="J24" s="37">
        <f t="shared" si="1"/>
        <v>0</v>
      </c>
      <c r="K24" s="37">
        <f t="shared" si="2"/>
        <v>0</v>
      </c>
      <c r="L24" s="37">
        <f t="shared" si="3"/>
        <v>0</v>
      </c>
    </row>
    <row r="25" spans="1:12" x14ac:dyDescent="0.2">
      <c r="A25" s="25" t="s">
        <v>525</v>
      </c>
      <c r="B25" s="25" t="s">
        <v>21</v>
      </c>
      <c r="C25" s="26">
        <f t="shared" si="0"/>
        <v>1</v>
      </c>
      <c r="D25" s="25" t="s">
        <v>526</v>
      </c>
      <c r="E25" s="25" t="s">
        <v>487</v>
      </c>
      <c r="F25" s="107">
        <v>15</v>
      </c>
      <c r="G25" s="29"/>
      <c r="H25" s="108"/>
      <c r="I25" s="29"/>
      <c r="J25" s="41">
        <f t="shared" si="1"/>
        <v>0</v>
      </c>
      <c r="K25" s="41">
        <f t="shared" si="2"/>
        <v>0</v>
      </c>
      <c r="L25" s="41">
        <f t="shared" si="3"/>
        <v>0</v>
      </c>
    </row>
    <row r="26" spans="1:12" x14ac:dyDescent="0.2">
      <c r="A26" s="43" t="s">
        <v>170</v>
      </c>
      <c r="B26" s="44"/>
      <c r="C26" s="44"/>
      <c r="D26" s="44"/>
      <c r="E26" s="44"/>
      <c r="F26" s="44"/>
      <c r="G26" s="44"/>
      <c r="H26" s="44"/>
      <c r="I26" s="44"/>
      <c r="J26" s="44"/>
      <c r="K26" s="46">
        <f>SUM(K6:K25)</f>
        <v>0</v>
      </c>
      <c r="L26" s="109">
        <f t="shared" si="3"/>
        <v>0</v>
      </c>
    </row>
    <row r="28" spans="1:12" x14ac:dyDescent="0.2">
      <c r="A28" s="43" t="s">
        <v>527</v>
      </c>
      <c r="B28" s="44"/>
      <c r="C28" s="44"/>
      <c r="D28" s="44"/>
      <c r="E28" s="44"/>
      <c r="F28" s="44"/>
      <c r="G28" s="44"/>
      <c r="H28" s="44"/>
      <c r="I28" s="44"/>
      <c r="J28" s="44"/>
      <c r="K28" s="46">
        <f>prijsjaarafroep1</f>
        <v>0</v>
      </c>
      <c r="L28" s="109">
        <f>K28/12</f>
        <v>0</v>
      </c>
    </row>
  </sheetData>
  <pageMargins left="0.7" right="0.7" top="0.75" bottom="0.75" header="0.3" footer="0.3"/>
  <pageSetup paperSize="9" scale="65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E253-1308-44D7-AAA8-1B72A77D8B14}">
  <dimension ref="A1:E8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H1.8: ",tabeltype," afroep incidenteel")</f>
        <v>Bijlage H1.8: Invultabel afroep incidenteel</v>
      </c>
    </row>
    <row r="3" spans="1:5" ht="38.25" x14ac:dyDescent="0.2">
      <c r="A3" s="8" t="s">
        <v>478</v>
      </c>
      <c r="B3" s="8" t="s">
        <v>25</v>
      </c>
      <c r="C3" s="8" t="s">
        <v>28</v>
      </c>
      <c r="D3" s="8" t="s">
        <v>528</v>
      </c>
      <c r="E3" s="8" t="s">
        <v>483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30</v>
      </c>
      <c r="B5" s="13"/>
      <c r="C5" s="13"/>
      <c r="D5" s="13"/>
      <c r="E5" s="14"/>
    </row>
    <row r="6" spans="1:5" x14ac:dyDescent="0.2">
      <c r="A6" s="15" t="s">
        <v>529</v>
      </c>
      <c r="B6" s="15" t="s">
        <v>530</v>
      </c>
      <c r="C6" s="15" t="s">
        <v>487</v>
      </c>
      <c r="D6" s="15" t="s">
        <v>531</v>
      </c>
      <c r="E6" s="19"/>
    </row>
    <row r="7" spans="1:5" x14ac:dyDescent="0.2">
      <c r="A7" s="20" t="s">
        <v>532</v>
      </c>
      <c r="B7" s="20" t="s">
        <v>530</v>
      </c>
      <c r="C7" s="20" t="s">
        <v>487</v>
      </c>
      <c r="D7" s="20" t="s">
        <v>533</v>
      </c>
      <c r="E7" s="24"/>
    </row>
    <row r="8" spans="1:5" x14ac:dyDescent="0.2">
      <c r="A8" s="20" t="s">
        <v>534</v>
      </c>
      <c r="B8" s="20" t="s">
        <v>530</v>
      </c>
      <c r="C8" s="20" t="s">
        <v>487</v>
      </c>
      <c r="D8" s="20" t="s">
        <v>535</v>
      </c>
      <c r="E8" s="24"/>
    </row>
    <row r="9" spans="1:5" x14ac:dyDescent="0.2">
      <c r="A9" s="20" t="s">
        <v>536</v>
      </c>
      <c r="B9" s="20" t="s">
        <v>530</v>
      </c>
      <c r="C9" s="20" t="s">
        <v>487</v>
      </c>
      <c r="D9" s="20" t="s">
        <v>537</v>
      </c>
      <c r="E9" s="24"/>
    </row>
    <row r="10" spans="1:5" x14ac:dyDescent="0.2">
      <c r="A10" s="20" t="s">
        <v>538</v>
      </c>
      <c r="B10" s="20" t="s">
        <v>539</v>
      </c>
      <c r="C10" s="20" t="s">
        <v>540</v>
      </c>
      <c r="D10" s="20" t="s">
        <v>541</v>
      </c>
      <c r="E10" s="24"/>
    </row>
    <row r="11" spans="1:5" x14ac:dyDescent="0.2">
      <c r="A11" s="20" t="s">
        <v>542</v>
      </c>
      <c r="B11" s="20" t="s">
        <v>539</v>
      </c>
      <c r="C11" s="20" t="s">
        <v>540</v>
      </c>
      <c r="D11" s="20" t="s">
        <v>543</v>
      </c>
      <c r="E11" s="24"/>
    </row>
    <row r="12" spans="1:5" x14ac:dyDescent="0.2">
      <c r="A12" s="20" t="s">
        <v>544</v>
      </c>
      <c r="B12" s="20" t="s">
        <v>539</v>
      </c>
      <c r="C12" s="20" t="s">
        <v>540</v>
      </c>
      <c r="D12" s="20" t="s">
        <v>545</v>
      </c>
      <c r="E12" s="24"/>
    </row>
    <row r="13" spans="1:5" x14ac:dyDescent="0.2">
      <c r="A13" s="20" t="s">
        <v>546</v>
      </c>
      <c r="B13" s="20" t="s">
        <v>539</v>
      </c>
      <c r="C13" s="20" t="s">
        <v>540</v>
      </c>
      <c r="D13" s="20" t="s">
        <v>547</v>
      </c>
      <c r="E13" s="24"/>
    </row>
    <row r="14" spans="1:5" x14ac:dyDescent="0.2">
      <c r="A14" s="20" t="s">
        <v>548</v>
      </c>
      <c r="B14" s="20" t="s">
        <v>549</v>
      </c>
      <c r="C14" s="20" t="s">
        <v>540</v>
      </c>
      <c r="D14" s="20" t="s">
        <v>541</v>
      </c>
      <c r="E14" s="24"/>
    </row>
    <row r="15" spans="1:5" x14ac:dyDescent="0.2">
      <c r="A15" s="20" t="s">
        <v>550</v>
      </c>
      <c r="B15" s="20" t="s">
        <v>549</v>
      </c>
      <c r="C15" s="20" t="s">
        <v>540</v>
      </c>
      <c r="D15" s="20" t="s">
        <v>543</v>
      </c>
      <c r="E15" s="24"/>
    </row>
    <row r="16" spans="1:5" x14ac:dyDescent="0.2">
      <c r="A16" s="20" t="s">
        <v>551</v>
      </c>
      <c r="B16" s="20" t="s">
        <v>549</v>
      </c>
      <c r="C16" s="20" t="s">
        <v>540</v>
      </c>
      <c r="D16" s="20" t="s">
        <v>545</v>
      </c>
      <c r="E16" s="24"/>
    </row>
    <row r="17" spans="1:5" x14ac:dyDescent="0.2">
      <c r="A17" s="20" t="s">
        <v>552</v>
      </c>
      <c r="B17" s="20" t="s">
        <v>549</v>
      </c>
      <c r="C17" s="20" t="s">
        <v>540</v>
      </c>
      <c r="D17" s="20" t="s">
        <v>547</v>
      </c>
      <c r="E17" s="24"/>
    </row>
    <row r="18" spans="1:5" x14ac:dyDescent="0.2">
      <c r="A18" s="20" t="s">
        <v>553</v>
      </c>
      <c r="B18" s="20" t="s">
        <v>554</v>
      </c>
      <c r="C18" s="20" t="s">
        <v>540</v>
      </c>
      <c r="D18" s="20" t="s">
        <v>541</v>
      </c>
      <c r="E18" s="24"/>
    </row>
    <row r="19" spans="1:5" x14ac:dyDescent="0.2">
      <c r="A19" s="20" t="s">
        <v>555</v>
      </c>
      <c r="B19" s="20" t="s">
        <v>554</v>
      </c>
      <c r="C19" s="20" t="s">
        <v>540</v>
      </c>
      <c r="D19" s="20" t="s">
        <v>543</v>
      </c>
      <c r="E19" s="24"/>
    </row>
    <row r="20" spans="1:5" x14ac:dyDescent="0.2">
      <c r="A20" s="20" t="s">
        <v>556</v>
      </c>
      <c r="B20" s="20" t="s">
        <v>554</v>
      </c>
      <c r="C20" s="20" t="s">
        <v>540</v>
      </c>
      <c r="D20" s="20" t="s">
        <v>545</v>
      </c>
      <c r="E20" s="24"/>
    </row>
    <row r="21" spans="1:5" x14ac:dyDescent="0.2">
      <c r="A21" s="20" t="s">
        <v>557</v>
      </c>
      <c r="B21" s="20" t="s">
        <v>554</v>
      </c>
      <c r="C21" s="20" t="s">
        <v>540</v>
      </c>
      <c r="D21" s="20" t="s">
        <v>547</v>
      </c>
      <c r="E21" s="24"/>
    </row>
    <row r="22" spans="1:5" x14ac:dyDescent="0.2">
      <c r="A22" s="20" t="s">
        <v>558</v>
      </c>
      <c r="B22" s="20" t="s">
        <v>559</v>
      </c>
      <c r="C22" s="20" t="s">
        <v>540</v>
      </c>
      <c r="D22" s="20" t="s">
        <v>541</v>
      </c>
      <c r="E22" s="24"/>
    </row>
    <row r="23" spans="1:5" x14ac:dyDescent="0.2">
      <c r="A23" s="20" t="s">
        <v>560</v>
      </c>
      <c r="B23" s="20" t="s">
        <v>559</v>
      </c>
      <c r="C23" s="20" t="s">
        <v>540</v>
      </c>
      <c r="D23" s="20" t="s">
        <v>543</v>
      </c>
      <c r="E23" s="24"/>
    </row>
    <row r="24" spans="1:5" x14ac:dyDescent="0.2">
      <c r="A24" s="20" t="s">
        <v>561</v>
      </c>
      <c r="B24" s="20" t="s">
        <v>559</v>
      </c>
      <c r="C24" s="20" t="s">
        <v>540</v>
      </c>
      <c r="D24" s="20" t="s">
        <v>545</v>
      </c>
      <c r="E24" s="24"/>
    </row>
    <row r="25" spans="1:5" x14ac:dyDescent="0.2">
      <c r="A25" s="20" t="s">
        <v>562</v>
      </c>
      <c r="B25" s="20" t="s">
        <v>559</v>
      </c>
      <c r="C25" s="20" t="s">
        <v>540</v>
      </c>
      <c r="D25" s="20" t="s">
        <v>547</v>
      </c>
      <c r="E25" s="24"/>
    </row>
    <row r="26" spans="1:5" x14ac:dyDescent="0.2">
      <c r="A26" s="20" t="s">
        <v>563</v>
      </c>
      <c r="B26" s="20" t="s">
        <v>564</v>
      </c>
      <c r="C26" s="20" t="s">
        <v>540</v>
      </c>
      <c r="D26" s="20" t="s">
        <v>541</v>
      </c>
      <c r="E26" s="24"/>
    </row>
    <row r="27" spans="1:5" x14ac:dyDescent="0.2">
      <c r="A27" s="20" t="s">
        <v>565</v>
      </c>
      <c r="B27" s="20" t="s">
        <v>564</v>
      </c>
      <c r="C27" s="20" t="s">
        <v>540</v>
      </c>
      <c r="D27" s="20" t="s">
        <v>543</v>
      </c>
      <c r="E27" s="24"/>
    </row>
    <row r="28" spans="1:5" x14ac:dyDescent="0.2">
      <c r="A28" s="20" t="s">
        <v>566</v>
      </c>
      <c r="B28" s="20" t="s">
        <v>564</v>
      </c>
      <c r="C28" s="20" t="s">
        <v>540</v>
      </c>
      <c r="D28" s="20" t="s">
        <v>545</v>
      </c>
      <c r="E28" s="24"/>
    </row>
    <row r="29" spans="1:5" x14ac:dyDescent="0.2">
      <c r="A29" s="20" t="s">
        <v>567</v>
      </c>
      <c r="B29" s="20" t="s">
        <v>564</v>
      </c>
      <c r="C29" s="20" t="s">
        <v>540</v>
      </c>
      <c r="D29" s="20" t="s">
        <v>547</v>
      </c>
      <c r="E29" s="24"/>
    </row>
    <row r="30" spans="1:5" x14ac:dyDescent="0.2">
      <c r="A30" s="20" t="s">
        <v>568</v>
      </c>
      <c r="B30" s="20" t="s">
        <v>569</v>
      </c>
      <c r="C30" s="20" t="s">
        <v>540</v>
      </c>
      <c r="D30" s="20" t="s">
        <v>541</v>
      </c>
      <c r="E30" s="24"/>
    </row>
    <row r="31" spans="1:5" x14ac:dyDescent="0.2">
      <c r="A31" s="20" t="s">
        <v>570</v>
      </c>
      <c r="B31" s="20" t="s">
        <v>569</v>
      </c>
      <c r="C31" s="20" t="s">
        <v>540</v>
      </c>
      <c r="D31" s="20" t="s">
        <v>543</v>
      </c>
      <c r="E31" s="24"/>
    </row>
    <row r="32" spans="1:5" x14ac:dyDescent="0.2">
      <c r="A32" s="20" t="s">
        <v>571</v>
      </c>
      <c r="B32" s="20" t="s">
        <v>569</v>
      </c>
      <c r="C32" s="20" t="s">
        <v>540</v>
      </c>
      <c r="D32" s="20" t="s">
        <v>545</v>
      </c>
      <c r="E32" s="24"/>
    </row>
    <row r="33" spans="1:5" x14ac:dyDescent="0.2">
      <c r="A33" s="20" t="s">
        <v>572</v>
      </c>
      <c r="B33" s="20" t="s">
        <v>569</v>
      </c>
      <c r="C33" s="20" t="s">
        <v>540</v>
      </c>
      <c r="D33" s="20" t="s">
        <v>547</v>
      </c>
      <c r="E33" s="24"/>
    </row>
    <row r="34" spans="1:5" x14ac:dyDescent="0.2">
      <c r="A34" s="20" t="s">
        <v>573</v>
      </c>
      <c r="B34" s="20" t="s">
        <v>574</v>
      </c>
      <c r="C34" s="20" t="s">
        <v>540</v>
      </c>
      <c r="D34" s="20" t="s">
        <v>541</v>
      </c>
      <c r="E34" s="24"/>
    </row>
    <row r="35" spans="1:5" x14ac:dyDescent="0.2">
      <c r="A35" s="20" t="s">
        <v>575</v>
      </c>
      <c r="B35" s="20" t="s">
        <v>574</v>
      </c>
      <c r="C35" s="20" t="s">
        <v>540</v>
      </c>
      <c r="D35" s="20" t="s">
        <v>543</v>
      </c>
      <c r="E35" s="24"/>
    </row>
    <row r="36" spans="1:5" x14ac:dyDescent="0.2">
      <c r="A36" s="20" t="s">
        <v>576</v>
      </c>
      <c r="B36" s="20" t="s">
        <v>574</v>
      </c>
      <c r="C36" s="20" t="s">
        <v>540</v>
      </c>
      <c r="D36" s="20" t="s">
        <v>545</v>
      </c>
      <c r="E36" s="24"/>
    </row>
    <row r="37" spans="1:5" x14ac:dyDescent="0.2">
      <c r="A37" s="20" t="s">
        <v>577</v>
      </c>
      <c r="B37" s="20" t="s">
        <v>574</v>
      </c>
      <c r="C37" s="20" t="s">
        <v>540</v>
      </c>
      <c r="D37" s="20" t="s">
        <v>547</v>
      </c>
      <c r="E37" s="24"/>
    </row>
    <row r="38" spans="1:5" x14ac:dyDescent="0.2">
      <c r="A38" s="20" t="s">
        <v>578</v>
      </c>
      <c r="B38" s="20" t="s">
        <v>579</v>
      </c>
      <c r="C38" s="20" t="s">
        <v>540</v>
      </c>
      <c r="D38" s="20" t="s">
        <v>580</v>
      </c>
      <c r="E38" s="24"/>
    </row>
    <row r="39" spans="1:5" x14ac:dyDescent="0.2">
      <c r="A39" s="20" t="s">
        <v>581</v>
      </c>
      <c r="B39" s="20" t="s">
        <v>579</v>
      </c>
      <c r="C39" s="20" t="s">
        <v>540</v>
      </c>
      <c r="D39" s="20" t="s">
        <v>582</v>
      </c>
      <c r="E39" s="24"/>
    </row>
    <row r="40" spans="1:5" x14ac:dyDescent="0.2">
      <c r="A40" s="20" t="s">
        <v>583</v>
      </c>
      <c r="B40" s="20" t="s">
        <v>579</v>
      </c>
      <c r="C40" s="20" t="s">
        <v>540</v>
      </c>
      <c r="D40" s="20" t="s">
        <v>584</v>
      </c>
      <c r="E40" s="24"/>
    </row>
    <row r="41" spans="1:5" x14ac:dyDescent="0.2">
      <c r="A41" s="20" t="s">
        <v>585</v>
      </c>
      <c r="B41" s="20" t="s">
        <v>579</v>
      </c>
      <c r="C41" s="20" t="s">
        <v>540</v>
      </c>
      <c r="D41" s="20" t="s">
        <v>586</v>
      </c>
      <c r="E41" s="24"/>
    </row>
    <row r="42" spans="1:5" x14ac:dyDescent="0.2">
      <c r="A42" s="20" t="s">
        <v>587</v>
      </c>
      <c r="B42" s="20" t="s">
        <v>588</v>
      </c>
      <c r="C42" s="20" t="s">
        <v>540</v>
      </c>
      <c r="D42" s="20" t="s">
        <v>580</v>
      </c>
      <c r="E42" s="24"/>
    </row>
    <row r="43" spans="1:5" x14ac:dyDescent="0.2">
      <c r="A43" s="20" t="s">
        <v>589</v>
      </c>
      <c r="B43" s="20" t="s">
        <v>588</v>
      </c>
      <c r="C43" s="20" t="s">
        <v>540</v>
      </c>
      <c r="D43" s="20" t="s">
        <v>582</v>
      </c>
      <c r="E43" s="24"/>
    </row>
    <row r="44" spans="1:5" x14ac:dyDescent="0.2">
      <c r="A44" s="20" t="s">
        <v>590</v>
      </c>
      <c r="B44" s="20" t="s">
        <v>588</v>
      </c>
      <c r="C44" s="20" t="s">
        <v>540</v>
      </c>
      <c r="D44" s="20" t="s">
        <v>584</v>
      </c>
      <c r="E44" s="24"/>
    </row>
    <row r="45" spans="1:5" x14ac:dyDescent="0.2">
      <c r="A45" s="20" t="s">
        <v>591</v>
      </c>
      <c r="B45" s="20" t="s">
        <v>588</v>
      </c>
      <c r="C45" s="20" t="s">
        <v>540</v>
      </c>
      <c r="D45" s="20" t="s">
        <v>586</v>
      </c>
      <c r="E45" s="24"/>
    </row>
    <row r="46" spans="1:5" x14ac:dyDescent="0.2">
      <c r="A46" s="20" t="s">
        <v>592</v>
      </c>
      <c r="B46" s="20" t="s">
        <v>593</v>
      </c>
      <c r="C46" s="20" t="s">
        <v>540</v>
      </c>
      <c r="D46" s="20" t="s">
        <v>580</v>
      </c>
      <c r="E46" s="24"/>
    </row>
    <row r="47" spans="1:5" x14ac:dyDescent="0.2">
      <c r="A47" s="20" t="s">
        <v>594</v>
      </c>
      <c r="B47" s="20" t="s">
        <v>593</v>
      </c>
      <c r="C47" s="20" t="s">
        <v>540</v>
      </c>
      <c r="D47" s="20" t="s">
        <v>582</v>
      </c>
      <c r="E47" s="24"/>
    </row>
    <row r="48" spans="1:5" x14ac:dyDescent="0.2">
      <c r="A48" s="20" t="s">
        <v>595</v>
      </c>
      <c r="B48" s="20" t="s">
        <v>593</v>
      </c>
      <c r="C48" s="20" t="s">
        <v>540</v>
      </c>
      <c r="D48" s="20" t="s">
        <v>584</v>
      </c>
      <c r="E48" s="24"/>
    </row>
    <row r="49" spans="1:5" x14ac:dyDescent="0.2">
      <c r="A49" s="20" t="s">
        <v>596</v>
      </c>
      <c r="B49" s="20" t="s">
        <v>593</v>
      </c>
      <c r="C49" s="20" t="s">
        <v>540</v>
      </c>
      <c r="D49" s="20" t="s">
        <v>586</v>
      </c>
      <c r="E49" s="24"/>
    </row>
    <row r="50" spans="1:5" x14ac:dyDescent="0.2">
      <c r="A50" s="20" t="s">
        <v>597</v>
      </c>
      <c r="B50" s="20" t="s">
        <v>598</v>
      </c>
      <c r="C50" s="20" t="s">
        <v>540</v>
      </c>
      <c r="D50" s="20" t="s">
        <v>580</v>
      </c>
      <c r="E50" s="24"/>
    </row>
    <row r="51" spans="1:5" x14ac:dyDescent="0.2">
      <c r="A51" s="20" t="s">
        <v>599</v>
      </c>
      <c r="B51" s="20" t="s">
        <v>598</v>
      </c>
      <c r="C51" s="20" t="s">
        <v>540</v>
      </c>
      <c r="D51" s="20" t="s">
        <v>582</v>
      </c>
      <c r="E51" s="24"/>
    </row>
    <row r="52" spans="1:5" x14ac:dyDescent="0.2">
      <c r="A52" s="20" t="s">
        <v>600</v>
      </c>
      <c r="B52" s="20" t="s">
        <v>598</v>
      </c>
      <c r="C52" s="20" t="s">
        <v>540</v>
      </c>
      <c r="D52" s="20" t="s">
        <v>584</v>
      </c>
      <c r="E52" s="24"/>
    </row>
    <row r="53" spans="1:5" x14ac:dyDescent="0.2">
      <c r="A53" s="20" t="s">
        <v>601</v>
      </c>
      <c r="B53" s="20" t="s">
        <v>598</v>
      </c>
      <c r="C53" s="20" t="s">
        <v>540</v>
      </c>
      <c r="D53" s="20" t="s">
        <v>586</v>
      </c>
      <c r="E53" s="24"/>
    </row>
    <row r="54" spans="1:5" x14ac:dyDescent="0.2">
      <c r="A54" s="20" t="s">
        <v>602</v>
      </c>
      <c r="B54" s="20" t="s">
        <v>603</v>
      </c>
      <c r="C54" s="20" t="s">
        <v>540</v>
      </c>
      <c r="D54" s="20" t="s">
        <v>580</v>
      </c>
      <c r="E54" s="24"/>
    </row>
    <row r="55" spans="1:5" x14ac:dyDescent="0.2">
      <c r="A55" s="20" t="s">
        <v>604</v>
      </c>
      <c r="B55" s="20" t="s">
        <v>603</v>
      </c>
      <c r="C55" s="20" t="s">
        <v>540</v>
      </c>
      <c r="D55" s="20" t="s">
        <v>582</v>
      </c>
      <c r="E55" s="24"/>
    </row>
    <row r="56" spans="1:5" x14ac:dyDescent="0.2">
      <c r="A56" s="20" t="s">
        <v>605</v>
      </c>
      <c r="B56" s="20" t="s">
        <v>603</v>
      </c>
      <c r="C56" s="20" t="s">
        <v>540</v>
      </c>
      <c r="D56" s="20" t="s">
        <v>584</v>
      </c>
      <c r="E56" s="24"/>
    </row>
    <row r="57" spans="1:5" x14ac:dyDescent="0.2">
      <c r="A57" s="20" t="s">
        <v>606</v>
      </c>
      <c r="B57" s="20" t="s">
        <v>603</v>
      </c>
      <c r="C57" s="20" t="s">
        <v>540</v>
      </c>
      <c r="D57" s="20" t="s">
        <v>586</v>
      </c>
      <c r="E57" s="24"/>
    </row>
    <row r="58" spans="1:5" x14ac:dyDescent="0.2">
      <c r="A58" s="20" t="s">
        <v>607</v>
      </c>
      <c r="B58" s="20" t="s">
        <v>608</v>
      </c>
      <c r="C58" s="20" t="s">
        <v>540</v>
      </c>
      <c r="D58" s="20" t="s">
        <v>580</v>
      </c>
      <c r="E58" s="24"/>
    </row>
    <row r="59" spans="1:5" x14ac:dyDescent="0.2">
      <c r="A59" s="20" t="s">
        <v>609</v>
      </c>
      <c r="B59" s="20" t="s">
        <v>608</v>
      </c>
      <c r="C59" s="20" t="s">
        <v>540</v>
      </c>
      <c r="D59" s="20" t="s">
        <v>582</v>
      </c>
      <c r="E59" s="24"/>
    </row>
    <row r="60" spans="1:5" x14ac:dyDescent="0.2">
      <c r="A60" s="20" t="s">
        <v>610</v>
      </c>
      <c r="B60" s="20" t="s">
        <v>608</v>
      </c>
      <c r="C60" s="20" t="s">
        <v>540</v>
      </c>
      <c r="D60" s="20" t="s">
        <v>584</v>
      </c>
      <c r="E60" s="24"/>
    </row>
    <row r="61" spans="1:5" x14ac:dyDescent="0.2">
      <c r="A61" s="20" t="s">
        <v>611</v>
      </c>
      <c r="B61" s="20" t="s">
        <v>608</v>
      </c>
      <c r="C61" s="20" t="s">
        <v>540</v>
      </c>
      <c r="D61" s="20" t="s">
        <v>586</v>
      </c>
      <c r="E61" s="24"/>
    </row>
    <row r="62" spans="1:5" x14ac:dyDescent="0.2">
      <c r="A62" s="20" t="s">
        <v>612</v>
      </c>
      <c r="B62" s="20" t="s">
        <v>613</v>
      </c>
      <c r="C62" s="20" t="s">
        <v>540</v>
      </c>
      <c r="D62" s="20" t="s">
        <v>580</v>
      </c>
      <c r="E62" s="24"/>
    </row>
    <row r="63" spans="1:5" x14ac:dyDescent="0.2">
      <c r="A63" s="20" t="s">
        <v>614</v>
      </c>
      <c r="B63" s="20" t="s">
        <v>613</v>
      </c>
      <c r="C63" s="20" t="s">
        <v>540</v>
      </c>
      <c r="D63" s="20" t="s">
        <v>615</v>
      </c>
      <c r="E63" s="24"/>
    </row>
    <row r="64" spans="1:5" x14ac:dyDescent="0.2">
      <c r="A64" s="20" t="s">
        <v>616</v>
      </c>
      <c r="B64" s="20" t="s">
        <v>613</v>
      </c>
      <c r="C64" s="20" t="s">
        <v>540</v>
      </c>
      <c r="D64" s="20" t="s">
        <v>617</v>
      </c>
      <c r="E64" s="24"/>
    </row>
    <row r="65" spans="1:5" x14ac:dyDescent="0.2">
      <c r="A65" s="20" t="s">
        <v>618</v>
      </c>
      <c r="B65" s="20" t="s">
        <v>613</v>
      </c>
      <c r="C65" s="20" t="s">
        <v>540</v>
      </c>
      <c r="D65" s="20" t="s">
        <v>619</v>
      </c>
      <c r="E65" s="24"/>
    </row>
    <row r="66" spans="1:5" x14ac:dyDescent="0.2">
      <c r="A66" s="20" t="s">
        <v>620</v>
      </c>
      <c r="B66" s="20" t="s">
        <v>621</v>
      </c>
      <c r="C66" s="20" t="s">
        <v>540</v>
      </c>
      <c r="D66" s="20" t="s">
        <v>580</v>
      </c>
      <c r="E66" s="24"/>
    </row>
    <row r="67" spans="1:5" x14ac:dyDescent="0.2">
      <c r="A67" s="20" t="s">
        <v>622</v>
      </c>
      <c r="B67" s="20" t="s">
        <v>621</v>
      </c>
      <c r="C67" s="20" t="s">
        <v>540</v>
      </c>
      <c r="D67" s="20" t="s">
        <v>582</v>
      </c>
      <c r="E67" s="24"/>
    </row>
    <row r="68" spans="1:5" x14ac:dyDescent="0.2">
      <c r="A68" s="20" t="s">
        <v>623</v>
      </c>
      <c r="B68" s="20" t="s">
        <v>621</v>
      </c>
      <c r="C68" s="20" t="s">
        <v>540</v>
      </c>
      <c r="D68" s="20" t="s">
        <v>584</v>
      </c>
      <c r="E68" s="24"/>
    </row>
    <row r="69" spans="1:5" x14ac:dyDescent="0.2">
      <c r="A69" s="20" t="s">
        <v>624</v>
      </c>
      <c r="B69" s="20" t="s">
        <v>621</v>
      </c>
      <c r="C69" s="20" t="s">
        <v>540</v>
      </c>
      <c r="D69" s="20" t="s">
        <v>586</v>
      </c>
      <c r="E69" s="24"/>
    </row>
    <row r="70" spans="1:5" x14ac:dyDescent="0.2">
      <c r="A70" s="20" t="s">
        <v>625</v>
      </c>
      <c r="B70" s="20" t="s">
        <v>626</v>
      </c>
      <c r="C70" s="20" t="s">
        <v>540</v>
      </c>
      <c r="D70" s="20" t="s">
        <v>580</v>
      </c>
      <c r="E70" s="24"/>
    </row>
    <row r="71" spans="1:5" x14ac:dyDescent="0.2">
      <c r="A71" s="20" t="s">
        <v>627</v>
      </c>
      <c r="B71" s="20" t="s">
        <v>626</v>
      </c>
      <c r="C71" s="20" t="s">
        <v>540</v>
      </c>
      <c r="D71" s="20" t="s">
        <v>582</v>
      </c>
      <c r="E71" s="24"/>
    </row>
    <row r="72" spans="1:5" x14ac:dyDescent="0.2">
      <c r="A72" s="20" t="s">
        <v>628</v>
      </c>
      <c r="B72" s="20" t="s">
        <v>626</v>
      </c>
      <c r="C72" s="20" t="s">
        <v>540</v>
      </c>
      <c r="D72" s="20" t="s">
        <v>584</v>
      </c>
      <c r="E72" s="24"/>
    </row>
    <row r="73" spans="1:5" x14ac:dyDescent="0.2">
      <c r="A73" s="20" t="s">
        <v>629</v>
      </c>
      <c r="B73" s="20" t="s">
        <v>626</v>
      </c>
      <c r="C73" s="20" t="s">
        <v>540</v>
      </c>
      <c r="D73" s="20" t="s">
        <v>586</v>
      </c>
      <c r="E73" s="24"/>
    </row>
    <row r="74" spans="1:5" x14ac:dyDescent="0.2">
      <c r="A74" s="20" t="s">
        <v>630</v>
      </c>
      <c r="B74" s="20" t="s">
        <v>631</v>
      </c>
      <c r="C74" s="20" t="s">
        <v>487</v>
      </c>
      <c r="D74" s="20" t="s">
        <v>531</v>
      </c>
      <c r="E74" s="24"/>
    </row>
    <row r="75" spans="1:5" x14ac:dyDescent="0.2">
      <c r="A75" s="20" t="s">
        <v>632</v>
      </c>
      <c r="B75" s="20" t="s">
        <v>631</v>
      </c>
      <c r="C75" s="20" t="s">
        <v>487</v>
      </c>
      <c r="D75" s="20" t="s">
        <v>533</v>
      </c>
      <c r="E75" s="24"/>
    </row>
    <row r="76" spans="1:5" x14ac:dyDescent="0.2">
      <c r="A76" s="20" t="s">
        <v>633</v>
      </c>
      <c r="B76" s="20" t="s">
        <v>631</v>
      </c>
      <c r="C76" s="20" t="s">
        <v>487</v>
      </c>
      <c r="D76" s="20" t="s">
        <v>535</v>
      </c>
      <c r="E76" s="24"/>
    </row>
    <row r="77" spans="1:5" x14ac:dyDescent="0.2">
      <c r="A77" s="25" t="s">
        <v>634</v>
      </c>
      <c r="B77" s="25" t="s">
        <v>631</v>
      </c>
      <c r="C77" s="25" t="s">
        <v>487</v>
      </c>
      <c r="D77" s="25" t="s">
        <v>537</v>
      </c>
      <c r="E77" s="29"/>
    </row>
    <row r="78" spans="1:5" x14ac:dyDescent="0.2">
      <c r="A78" s="43" t="s">
        <v>170</v>
      </c>
      <c r="B78" s="44"/>
      <c r="C78" s="44"/>
      <c r="D78" s="44"/>
      <c r="E78" s="110"/>
    </row>
    <row r="80" spans="1:5" x14ac:dyDescent="0.2">
      <c r="A80" s="43" t="s">
        <v>635</v>
      </c>
      <c r="B80" s="44"/>
      <c r="C80" s="44"/>
      <c r="D80" s="44"/>
      <c r="E80" s="110"/>
    </row>
  </sheetData>
  <pageMargins left="0.7" right="0.7" top="0.75" bottom="0.75" header="0.3" footer="0.3"/>
  <pageSetup paperSize="9" scale="65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A6FB-46AB-441D-B218-6AFE85DC35CB}">
  <dimension ref="A1:E19"/>
  <sheetViews>
    <sheetView tabSelected="1" workbookViewId="0">
      <selection activeCell="C10" sqref="C10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H1.9: ",tabeltype," totaalblad schoonmaakwerk")</f>
        <v>Bijlage H1.9: Invultabel totaalblad schoonmaakwerk</v>
      </c>
    </row>
    <row r="3" spans="1:5" ht="25.5" x14ac:dyDescent="0.2">
      <c r="A3" s="8" t="s">
        <v>636</v>
      </c>
      <c r="B3" s="8" t="s">
        <v>637</v>
      </c>
      <c r="C3" s="8" t="s">
        <v>638</v>
      </c>
      <c r="D3" s="8" t="s">
        <v>639</v>
      </c>
      <c r="E3" s="8" t="s">
        <v>640</v>
      </c>
    </row>
    <row r="4" spans="1:5" x14ac:dyDescent="0.2">
      <c r="A4" s="111" t="s">
        <v>641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</row>
    <row r="5" spans="1:5" x14ac:dyDescent="0.2">
      <c r="A5" s="112" t="s">
        <v>642</v>
      </c>
      <c r="B5" s="97"/>
      <c r="C5" s="97"/>
      <c r="D5" s="34">
        <f>urenjaarnietmeewerkend</f>
        <v>0</v>
      </c>
      <c r="E5" s="37">
        <f>prijsjaarnietmeewerkend</f>
        <v>0</v>
      </c>
    </row>
    <row r="6" spans="1:5" ht="25.5" x14ac:dyDescent="0.2">
      <c r="A6" s="113" t="s">
        <v>643</v>
      </c>
      <c r="B6" s="114"/>
      <c r="C6" s="114"/>
      <c r="D6" s="114"/>
      <c r="E6" s="41">
        <f>prijsjaarafroep</f>
        <v>0</v>
      </c>
    </row>
    <row r="8" spans="1:5" x14ac:dyDescent="0.2">
      <c r="A8" s="8" t="s">
        <v>644</v>
      </c>
      <c r="B8" s="45">
        <f>SUM(B4:B6)</f>
        <v>0</v>
      </c>
      <c r="C8" s="45">
        <f>SUM(C4:C6)</f>
        <v>0</v>
      </c>
      <c r="D8" s="45">
        <f>SUM(D4:D6)</f>
        <v>0</v>
      </c>
      <c r="E8" s="46">
        <f>SUM(E4:E6)</f>
        <v>0</v>
      </c>
    </row>
    <row r="10" spans="1:5" x14ac:dyDescent="0.2">
      <c r="A10" s="8" t="s">
        <v>645</v>
      </c>
      <c r="B10" s="115">
        <f>IF(B8&gt;0,D8/B8,0)</f>
        <v>0</v>
      </c>
    </row>
    <row r="17" spans="1:5" ht="15" x14ac:dyDescent="0.25">
      <c r="A17" s="116" t="s">
        <v>647</v>
      </c>
      <c r="B17" s="117"/>
      <c r="C17" s="117"/>
      <c r="D17" s="117"/>
      <c r="E17" s="118">
        <f>E4+E5</f>
        <v>0</v>
      </c>
    </row>
    <row r="18" spans="1:5" ht="15" x14ac:dyDescent="0.25">
      <c r="A18" s="117"/>
      <c r="B18" s="117"/>
      <c r="C18" s="117"/>
      <c r="D18" s="117"/>
      <c r="E18" s="117"/>
    </row>
    <row r="19" spans="1:5" ht="15" x14ac:dyDescent="0.25">
      <c r="A19" s="116" t="s">
        <v>646</v>
      </c>
      <c r="B19" s="117"/>
      <c r="C19" s="117"/>
      <c r="D19" s="117"/>
      <c r="E19" s="118">
        <f>E6</f>
        <v>0</v>
      </c>
    </row>
  </sheetData>
  <pageMargins left="0.7" right="0.7" top="0.75" bottom="0.75" header="0.3" footer="0.3"/>
  <pageSetup paperSize="9" scale="70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724F-0416-4A9D-940F-0F3C97F804C4}">
  <dimension ref="A1:B24"/>
  <sheetViews>
    <sheetView workbookViewId="0"/>
  </sheetViews>
  <sheetFormatPr defaultRowHeight="12.75" x14ac:dyDescent="0.2"/>
  <sheetData>
    <row r="1" spans="1:2" x14ac:dyDescent="0.2">
      <c r="A1" s="1" t="s">
        <v>1</v>
      </c>
    </row>
    <row r="3" spans="1:2" x14ac:dyDescent="0.2">
      <c r="A3" t="s">
        <v>2</v>
      </c>
    </row>
    <row r="5" spans="1:2" x14ac:dyDescent="0.2">
      <c r="A5" t="s">
        <v>3</v>
      </c>
      <c r="B5" t="s">
        <v>4</v>
      </c>
    </row>
    <row r="7" spans="1:2" x14ac:dyDescent="0.2">
      <c r="A7" s="4" t="s">
        <v>5</v>
      </c>
      <c r="B7" s="5"/>
    </row>
    <row r="8" spans="1:2" x14ac:dyDescent="0.2">
      <c r="A8" s="2"/>
      <c r="B8" s="3"/>
    </row>
    <row r="9" spans="1:2" x14ac:dyDescent="0.2">
      <c r="A9" s="2" t="s">
        <v>6</v>
      </c>
      <c r="B9" s="3">
        <v>255</v>
      </c>
    </row>
    <row r="10" spans="1:2" x14ac:dyDescent="0.2">
      <c r="A10" s="2" t="s">
        <v>7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8</v>
      </c>
      <c r="B12" s="3" t="s">
        <v>9</v>
      </c>
    </row>
    <row r="13" spans="1:2" x14ac:dyDescent="0.2">
      <c r="A13" s="2" t="s">
        <v>10</v>
      </c>
      <c r="B13" s="3">
        <f t="shared" ref="B13:B24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11</v>
      </c>
      <c r="B14" s="3">
        <f t="shared" si="0"/>
        <v>0.8</v>
      </c>
    </row>
    <row r="15" spans="1:2" x14ac:dyDescent="0.2">
      <c r="A15" s="2" t="s">
        <v>12</v>
      </c>
      <c r="B15" s="3">
        <f t="shared" si="0"/>
        <v>0.6</v>
      </c>
    </row>
    <row r="16" spans="1:2" x14ac:dyDescent="0.2">
      <c r="A16" s="2" t="s">
        <v>13</v>
      </c>
      <c r="B16" s="3">
        <f t="shared" si="0"/>
        <v>0.4</v>
      </c>
    </row>
    <row r="17" spans="1:2" x14ac:dyDescent="0.2">
      <c r="A17" s="2" t="s">
        <v>14</v>
      </c>
      <c r="B17" s="3">
        <f t="shared" si="0"/>
        <v>0.2</v>
      </c>
    </row>
    <row r="18" spans="1:2" x14ac:dyDescent="0.2">
      <c r="A18" s="2" t="s">
        <v>15</v>
      </c>
      <c r="B18" s="3">
        <f t="shared" si="0"/>
        <v>0.10196078431372549</v>
      </c>
    </row>
    <row r="19" spans="1:2" x14ac:dyDescent="0.2">
      <c r="A19" s="2" t="s">
        <v>16</v>
      </c>
      <c r="B19" s="3">
        <f t="shared" si="0"/>
        <v>4.7058823529411764E-2</v>
      </c>
    </row>
    <row r="20" spans="1:2" x14ac:dyDescent="0.2">
      <c r="A20" s="2" t="s">
        <v>17</v>
      </c>
      <c r="B20" s="3">
        <f t="shared" si="0"/>
        <v>2.3529411764705882E-2</v>
      </c>
    </row>
    <row r="21" spans="1:2" x14ac:dyDescent="0.2">
      <c r="A21" s="2" t="s">
        <v>18</v>
      </c>
      <c r="B21" s="3">
        <f t="shared" si="0"/>
        <v>1.5686274509803921E-2</v>
      </c>
    </row>
    <row r="22" spans="1:2" x14ac:dyDescent="0.2">
      <c r="A22" s="2" t="s">
        <v>19</v>
      </c>
      <c r="B22" s="3">
        <f t="shared" si="0"/>
        <v>1.1764705882352941E-2</v>
      </c>
    </row>
    <row r="23" spans="1:2" x14ac:dyDescent="0.2">
      <c r="A23" s="2" t="s">
        <v>20</v>
      </c>
      <c r="B23" s="3">
        <f t="shared" si="0"/>
        <v>7.8431372549019607E-3</v>
      </c>
    </row>
    <row r="24" spans="1:2" x14ac:dyDescent="0.2">
      <c r="A24" s="6" t="s">
        <v>21</v>
      </c>
      <c r="B24" s="7">
        <f t="shared" si="0"/>
        <v>3.9215686274509803E-3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A52E-2B59-479F-B051-8C3D75839CAD}">
  <dimension ref="A1:H4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H1.1: ",tabeltype," categorienormen")</f>
        <v>Bijlage H1.1: Invultabel categorienormen</v>
      </c>
    </row>
    <row r="3" spans="1:8" ht="38.25" x14ac:dyDescent="0.2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31</v>
      </c>
      <c r="B6" s="16" t="s">
        <v>32</v>
      </c>
      <c r="C6" s="15">
        <v>1</v>
      </c>
      <c r="D6" s="15" t="s">
        <v>33</v>
      </c>
      <c r="E6" s="17"/>
      <c r="F6" s="18"/>
      <c r="G6" s="15" t="s">
        <v>34</v>
      </c>
      <c r="H6" s="19"/>
    </row>
    <row r="7" spans="1:8" x14ac:dyDescent="0.2">
      <c r="A7" s="20" t="s">
        <v>35</v>
      </c>
      <c r="B7" s="21" t="s">
        <v>32</v>
      </c>
      <c r="C7" s="20">
        <v>51</v>
      </c>
      <c r="D7" s="20" t="s">
        <v>36</v>
      </c>
      <c r="E7" s="22"/>
      <c r="F7" s="23"/>
      <c r="G7" s="20" t="s">
        <v>34</v>
      </c>
      <c r="H7" s="24"/>
    </row>
    <row r="8" spans="1:8" x14ac:dyDescent="0.2">
      <c r="A8" s="20" t="s">
        <v>37</v>
      </c>
      <c r="B8" s="21" t="s">
        <v>32</v>
      </c>
      <c r="C8" s="20">
        <v>1</v>
      </c>
      <c r="D8" s="20" t="s">
        <v>38</v>
      </c>
      <c r="E8" s="22"/>
      <c r="F8" s="23"/>
      <c r="G8" s="20" t="s">
        <v>34</v>
      </c>
      <c r="H8" s="24"/>
    </row>
    <row r="9" spans="1:8" x14ac:dyDescent="0.2">
      <c r="A9" s="20" t="s">
        <v>39</v>
      </c>
      <c r="B9" s="21" t="s">
        <v>32</v>
      </c>
      <c r="C9" s="20">
        <v>51</v>
      </c>
      <c r="D9" s="20" t="s">
        <v>40</v>
      </c>
      <c r="E9" s="22"/>
      <c r="F9" s="23"/>
      <c r="G9" s="20" t="s">
        <v>34</v>
      </c>
      <c r="H9" s="24"/>
    </row>
    <row r="10" spans="1:8" x14ac:dyDescent="0.2">
      <c r="A10" s="20" t="s">
        <v>41</v>
      </c>
      <c r="B10" s="21" t="s">
        <v>32</v>
      </c>
      <c r="C10" s="20">
        <v>1</v>
      </c>
      <c r="D10" s="20" t="s">
        <v>42</v>
      </c>
      <c r="E10" s="22"/>
      <c r="F10" s="23"/>
      <c r="G10" s="20" t="s">
        <v>34</v>
      </c>
      <c r="H10" s="24"/>
    </row>
    <row r="11" spans="1:8" x14ac:dyDescent="0.2">
      <c r="A11" s="20" t="s">
        <v>43</v>
      </c>
      <c r="B11" s="21" t="s">
        <v>32</v>
      </c>
      <c r="C11" s="20">
        <v>51</v>
      </c>
      <c r="D11" s="20" t="s">
        <v>44</v>
      </c>
      <c r="E11" s="22"/>
      <c r="F11" s="23"/>
      <c r="G11" s="20" t="s">
        <v>34</v>
      </c>
      <c r="H11" s="24"/>
    </row>
    <row r="12" spans="1:8" x14ac:dyDescent="0.2">
      <c r="A12" s="20" t="s">
        <v>45</v>
      </c>
      <c r="B12" s="21" t="s">
        <v>32</v>
      </c>
      <c r="C12" s="20">
        <v>1</v>
      </c>
      <c r="D12" s="20" t="s">
        <v>46</v>
      </c>
      <c r="E12" s="22"/>
      <c r="F12" s="23"/>
      <c r="G12" s="20" t="s">
        <v>34</v>
      </c>
      <c r="H12" s="24"/>
    </row>
    <row r="13" spans="1:8" x14ac:dyDescent="0.2">
      <c r="A13" s="20" t="s">
        <v>47</v>
      </c>
      <c r="B13" s="21" t="s">
        <v>32</v>
      </c>
      <c r="C13" s="20">
        <v>51</v>
      </c>
      <c r="D13" s="20" t="s">
        <v>48</v>
      </c>
      <c r="E13" s="22"/>
      <c r="F13" s="23"/>
      <c r="G13" s="20" t="s">
        <v>34</v>
      </c>
      <c r="H13" s="24"/>
    </row>
    <row r="14" spans="1:8" x14ac:dyDescent="0.2">
      <c r="A14" s="20" t="s">
        <v>49</v>
      </c>
      <c r="B14" s="21" t="s">
        <v>50</v>
      </c>
      <c r="C14" s="20">
        <v>1</v>
      </c>
      <c r="D14" s="20" t="s">
        <v>51</v>
      </c>
      <c r="E14" s="22"/>
      <c r="F14" s="23"/>
      <c r="G14" s="20" t="s">
        <v>34</v>
      </c>
      <c r="H14" s="24"/>
    </row>
    <row r="15" spans="1:8" x14ac:dyDescent="0.2">
      <c r="A15" s="20" t="s">
        <v>52</v>
      </c>
      <c r="B15" s="21" t="s">
        <v>50</v>
      </c>
      <c r="C15" s="20">
        <v>51</v>
      </c>
      <c r="D15" s="20" t="s">
        <v>53</v>
      </c>
      <c r="E15" s="22"/>
      <c r="F15" s="23"/>
      <c r="G15" s="20" t="s">
        <v>34</v>
      </c>
      <c r="H15" s="24"/>
    </row>
    <row r="16" spans="1:8" x14ac:dyDescent="0.2">
      <c r="A16" s="20" t="s">
        <v>54</v>
      </c>
      <c r="B16" s="21" t="s">
        <v>50</v>
      </c>
      <c r="C16" s="20">
        <v>1</v>
      </c>
      <c r="D16" s="20" t="s">
        <v>55</v>
      </c>
      <c r="E16" s="22"/>
      <c r="F16" s="23"/>
      <c r="G16" s="20" t="s">
        <v>34</v>
      </c>
      <c r="H16" s="24"/>
    </row>
    <row r="17" spans="1:8" x14ac:dyDescent="0.2">
      <c r="A17" s="20" t="s">
        <v>56</v>
      </c>
      <c r="B17" s="21" t="s">
        <v>50</v>
      </c>
      <c r="C17" s="20">
        <v>51</v>
      </c>
      <c r="D17" s="20" t="s">
        <v>57</v>
      </c>
      <c r="E17" s="22"/>
      <c r="F17" s="23"/>
      <c r="G17" s="20" t="s">
        <v>34</v>
      </c>
      <c r="H17" s="24"/>
    </row>
    <row r="18" spans="1:8" x14ac:dyDescent="0.2">
      <c r="A18" s="20" t="s">
        <v>58</v>
      </c>
      <c r="B18" s="21" t="s">
        <v>50</v>
      </c>
      <c r="C18" s="20">
        <v>1</v>
      </c>
      <c r="D18" s="20" t="s">
        <v>59</v>
      </c>
      <c r="E18" s="22"/>
      <c r="F18" s="23"/>
      <c r="G18" s="20" t="s">
        <v>34</v>
      </c>
      <c r="H18" s="24"/>
    </row>
    <row r="19" spans="1:8" x14ac:dyDescent="0.2">
      <c r="A19" s="20" t="s">
        <v>60</v>
      </c>
      <c r="B19" s="21" t="s">
        <v>50</v>
      </c>
      <c r="C19" s="20">
        <v>51</v>
      </c>
      <c r="D19" s="20" t="s">
        <v>61</v>
      </c>
      <c r="E19" s="22"/>
      <c r="F19" s="23"/>
      <c r="G19" s="20" t="s">
        <v>34</v>
      </c>
      <c r="H19" s="24"/>
    </row>
    <row r="20" spans="1:8" x14ac:dyDescent="0.2">
      <c r="A20" s="20" t="s">
        <v>62</v>
      </c>
      <c r="B20" s="21" t="s">
        <v>63</v>
      </c>
      <c r="C20" s="20">
        <v>12</v>
      </c>
      <c r="D20" s="20" t="s">
        <v>64</v>
      </c>
      <c r="E20" s="22"/>
      <c r="F20" s="23"/>
      <c r="G20" s="20" t="s">
        <v>34</v>
      </c>
      <c r="H20" s="24"/>
    </row>
    <row r="21" spans="1:8" x14ac:dyDescent="0.2">
      <c r="A21" s="20" t="s">
        <v>65</v>
      </c>
      <c r="B21" s="21" t="s">
        <v>63</v>
      </c>
      <c r="C21" s="20">
        <v>1</v>
      </c>
      <c r="D21" s="20" t="s">
        <v>66</v>
      </c>
      <c r="E21" s="22"/>
      <c r="F21" s="23"/>
      <c r="G21" s="20" t="s">
        <v>34</v>
      </c>
      <c r="H21" s="24"/>
    </row>
    <row r="22" spans="1:8" x14ac:dyDescent="0.2">
      <c r="A22" s="20" t="s">
        <v>65</v>
      </c>
      <c r="B22" s="21" t="s">
        <v>63</v>
      </c>
      <c r="C22" s="20">
        <v>12</v>
      </c>
      <c r="D22" s="20" t="s">
        <v>66</v>
      </c>
      <c r="E22" s="22"/>
      <c r="F22" s="23"/>
      <c r="G22" s="20" t="s">
        <v>34</v>
      </c>
      <c r="H22" s="24"/>
    </row>
    <row r="23" spans="1:8" x14ac:dyDescent="0.2">
      <c r="A23" s="20" t="s">
        <v>67</v>
      </c>
      <c r="B23" s="21" t="s">
        <v>63</v>
      </c>
      <c r="C23" s="20">
        <v>1</v>
      </c>
      <c r="D23" s="20" t="s">
        <v>68</v>
      </c>
      <c r="E23" s="22"/>
      <c r="F23" s="23"/>
      <c r="G23" s="20" t="s">
        <v>34</v>
      </c>
      <c r="H23" s="24"/>
    </row>
    <row r="24" spans="1:8" x14ac:dyDescent="0.2">
      <c r="A24" s="20" t="s">
        <v>69</v>
      </c>
      <c r="B24" s="21" t="s">
        <v>63</v>
      </c>
      <c r="C24" s="20">
        <v>1</v>
      </c>
      <c r="D24" s="20" t="s">
        <v>70</v>
      </c>
      <c r="E24" s="22"/>
      <c r="F24" s="23"/>
      <c r="G24" s="20" t="s">
        <v>34</v>
      </c>
      <c r="H24" s="24"/>
    </row>
    <row r="25" spans="1:8" x14ac:dyDescent="0.2">
      <c r="A25" s="20" t="s">
        <v>71</v>
      </c>
      <c r="B25" s="21" t="s">
        <v>63</v>
      </c>
      <c r="C25" s="20">
        <v>51</v>
      </c>
      <c r="D25" s="20" t="s">
        <v>72</v>
      </c>
      <c r="E25" s="22"/>
      <c r="F25" s="23"/>
      <c r="G25" s="20" t="s">
        <v>34</v>
      </c>
      <c r="H25" s="24"/>
    </row>
    <row r="26" spans="1:8" x14ac:dyDescent="0.2">
      <c r="A26" s="20" t="s">
        <v>73</v>
      </c>
      <c r="B26" s="21" t="s">
        <v>63</v>
      </c>
      <c r="C26" s="20">
        <v>1</v>
      </c>
      <c r="D26" s="20" t="s">
        <v>74</v>
      </c>
      <c r="E26" s="22"/>
      <c r="F26" s="23"/>
      <c r="G26" s="20" t="s">
        <v>34</v>
      </c>
      <c r="H26" s="24"/>
    </row>
    <row r="27" spans="1:8" x14ac:dyDescent="0.2">
      <c r="A27" s="20" t="s">
        <v>75</v>
      </c>
      <c r="B27" s="21" t="s">
        <v>63</v>
      </c>
      <c r="C27" s="20">
        <v>51</v>
      </c>
      <c r="D27" s="20" t="s">
        <v>76</v>
      </c>
      <c r="E27" s="22"/>
      <c r="F27" s="23"/>
      <c r="G27" s="20" t="s">
        <v>34</v>
      </c>
      <c r="H27" s="24"/>
    </row>
    <row r="28" spans="1:8" x14ac:dyDescent="0.2">
      <c r="A28" s="20" t="s">
        <v>77</v>
      </c>
      <c r="B28" s="21" t="s">
        <v>63</v>
      </c>
      <c r="C28" s="20">
        <v>1</v>
      </c>
      <c r="D28" s="20" t="s">
        <v>78</v>
      </c>
      <c r="E28" s="22"/>
      <c r="F28" s="23"/>
      <c r="G28" s="20" t="s">
        <v>34</v>
      </c>
      <c r="H28" s="24"/>
    </row>
    <row r="29" spans="1:8" x14ac:dyDescent="0.2">
      <c r="A29" s="20" t="s">
        <v>79</v>
      </c>
      <c r="B29" s="21" t="s">
        <v>63</v>
      </c>
      <c r="C29" s="20">
        <v>51</v>
      </c>
      <c r="D29" s="20" t="s">
        <v>80</v>
      </c>
      <c r="E29" s="22"/>
      <c r="F29" s="23"/>
      <c r="G29" s="20" t="s">
        <v>34</v>
      </c>
      <c r="H29" s="24"/>
    </row>
    <row r="30" spans="1:8" x14ac:dyDescent="0.2">
      <c r="A30" s="20" t="s">
        <v>81</v>
      </c>
      <c r="B30" s="21" t="s">
        <v>63</v>
      </c>
      <c r="C30" s="20">
        <v>1</v>
      </c>
      <c r="D30" s="20" t="s">
        <v>82</v>
      </c>
      <c r="E30" s="22"/>
      <c r="F30" s="23"/>
      <c r="G30" s="20" t="s">
        <v>34</v>
      </c>
      <c r="H30" s="24"/>
    </row>
    <row r="31" spans="1:8" x14ac:dyDescent="0.2">
      <c r="A31" s="20" t="s">
        <v>83</v>
      </c>
      <c r="B31" s="21" t="s">
        <v>63</v>
      </c>
      <c r="C31" s="20">
        <v>51</v>
      </c>
      <c r="D31" s="20" t="s">
        <v>84</v>
      </c>
      <c r="E31" s="22"/>
      <c r="F31" s="23"/>
      <c r="G31" s="20" t="s">
        <v>34</v>
      </c>
      <c r="H31" s="24"/>
    </row>
    <row r="32" spans="1:8" x14ac:dyDescent="0.2">
      <c r="A32" s="20" t="s">
        <v>85</v>
      </c>
      <c r="B32" s="21" t="s">
        <v>63</v>
      </c>
      <c r="C32" s="20">
        <v>1</v>
      </c>
      <c r="D32" s="20" t="s">
        <v>86</v>
      </c>
      <c r="E32" s="22"/>
      <c r="F32" s="23"/>
      <c r="G32" s="20" t="s">
        <v>34</v>
      </c>
      <c r="H32" s="24"/>
    </row>
    <row r="33" spans="1:8" x14ac:dyDescent="0.2">
      <c r="A33" s="20" t="s">
        <v>87</v>
      </c>
      <c r="B33" s="21" t="s">
        <v>63</v>
      </c>
      <c r="C33" s="20">
        <v>51</v>
      </c>
      <c r="D33" s="20" t="s">
        <v>88</v>
      </c>
      <c r="E33" s="22"/>
      <c r="F33" s="23"/>
      <c r="G33" s="20" t="s">
        <v>34</v>
      </c>
      <c r="H33" s="24"/>
    </row>
    <row r="34" spans="1:8" x14ac:dyDescent="0.2">
      <c r="A34" s="20" t="s">
        <v>89</v>
      </c>
      <c r="B34" s="21" t="s">
        <v>63</v>
      </c>
      <c r="C34" s="20">
        <v>1</v>
      </c>
      <c r="D34" s="20" t="s">
        <v>90</v>
      </c>
      <c r="E34" s="22"/>
      <c r="F34" s="23"/>
      <c r="G34" s="20" t="s">
        <v>34</v>
      </c>
      <c r="H34" s="24"/>
    </row>
    <row r="35" spans="1:8" x14ac:dyDescent="0.2">
      <c r="A35" s="20" t="s">
        <v>91</v>
      </c>
      <c r="B35" s="21" t="s">
        <v>63</v>
      </c>
      <c r="C35" s="20">
        <v>51</v>
      </c>
      <c r="D35" s="20" t="s">
        <v>92</v>
      </c>
      <c r="E35" s="22"/>
      <c r="F35" s="23"/>
      <c r="G35" s="20" t="s">
        <v>34</v>
      </c>
      <c r="H35" s="24"/>
    </row>
    <row r="36" spans="1:8" x14ac:dyDescent="0.2">
      <c r="A36" s="20" t="s">
        <v>93</v>
      </c>
      <c r="B36" s="21" t="s">
        <v>63</v>
      </c>
      <c r="C36" s="20">
        <v>1</v>
      </c>
      <c r="D36" s="20" t="s">
        <v>94</v>
      </c>
      <c r="E36" s="22"/>
      <c r="F36" s="23"/>
      <c r="G36" s="20" t="s">
        <v>34</v>
      </c>
      <c r="H36" s="24"/>
    </row>
    <row r="37" spans="1:8" x14ac:dyDescent="0.2">
      <c r="A37" s="20" t="s">
        <v>95</v>
      </c>
      <c r="B37" s="21" t="s">
        <v>63</v>
      </c>
      <c r="C37" s="20">
        <v>51</v>
      </c>
      <c r="D37" s="20" t="s">
        <v>96</v>
      </c>
      <c r="E37" s="22"/>
      <c r="F37" s="23"/>
      <c r="G37" s="20" t="s">
        <v>34</v>
      </c>
      <c r="H37" s="24"/>
    </row>
    <row r="38" spans="1:8" x14ac:dyDescent="0.2">
      <c r="A38" s="20" t="s">
        <v>97</v>
      </c>
      <c r="B38" s="21" t="s">
        <v>63</v>
      </c>
      <c r="C38" s="20">
        <v>1</v>
      </c>
      <c r="D38" s="20" t="s">
        <v>98</v>
      </c>
      <c r="E38" s="22"/>
      <c r="F38" s="23"/>
      <c r="G38" s="20" t="s">
        <v>34</v>
      </c>
      <c r="H38" s="24"/>
    </row>
    <row r="39" spans="1:8" x14ac:dyDescent="0.2">
      <c r="A39" s="20" t="s">
        <v>99</v>
      </c>
      <c r="B39" s="21" t="s">
        <v>63</v>
      </c>
      <c r="C39" s="20">
        <v>51</v>
      </c>
      <c r="D39" s="20" t="s">
        <v>100</v>
      </c>
      <c r="E39" s="22"/>
      <c r="F39" s="23"/>
      <c r="G39" s="20" t="s">
        <v>34</v>
      </c>
      <c r="H39" s="24"/>
    </row>
    <row r="40" spans="1:8" x14ac:dyDescent="0.2">
      <c r="A40" s="20" t="s">
        <v>101</v>
      </c>
      <c r="B40" s="21" t="s">
        <v>63</v>
      </c>
      <c r="C40" s="20">
        <v>1</v>
      </c>
      <c r="D40" s="20" t="s">
        <v>102</v>
      </c>
      <c r="E40" s="22"/>
      <c r="F40" s="23"/>
      <c r="G40" s="20" t="s">
        <v>34</v>
      </c>
      <c r="H40" s="24"/>
    </row>
    <row r="41" spans="1:8" x14ac:dyDescent="0.2">
      <c r="A41" s="20" t="s">
        <v>103</v>
      </c>
      <c r="B41" s="21" t="s">
        <v>63</v>
      </c>
      <c r="C41" s="20">
        <v>51</v>
      </c>
      <c r="D41" s="20" t="s">
        <v>104</v>
      </c>
      <c r="E41" s="22"/>
      <c r="F41" s="23"/>
      <c r="G41" s="20" t="s">
        <v>34</v>
      </c>
      <c r="H41" s="24"/>
    </row>
    <row r="42" spans="1:8" x14ac:dyDescent="0.2">
      <c r="A42" s="20" t="s">
        <v>105</v>
      </c>
      <c r="B42" s="21" t="s">
        <v>63</v>
      </c>
      <c r="C42" s="20">
        <v>1</v>
      </c>
      <c r="D42" s="20" t="s">
        <v>106</v>
      </c>
      <c r="E42" s="22"/>
      <c r="F42" s="23"/>
      <c r="G42" s="20" t="s">
        <v>34</v>
      </c>
      <c r="H42" s="24"/>
    </row>
    <row r="43" spans="1:8" x14ac:dyDescent="0.2">
      <c r="A43" s="20" t="s">
        <v>107</v>
      </c>
      <c r="B43" s="21" t="s">
        <v>63</v>
      </c>
      <c r="C43" s="20">
        <v>51</v>
      </c>
      <c r="D43" s="20" t="s">
        <v>108</v>
      </c>
      <c r="E43" s="22"/>
      <c r="F43" s="23"/>
      <c r="G43" s="20" t="s">
        <v>34</v>
      </c>
      <c r="H43" s="24"/>
    </row>
    <row r="44" spans="1:8" x14ac:dyDescent="0.2">
      <c r="A44" s="25" t="s">
        <v>109</v>
      </c>
      <c r="B44" s="26" t="s">
        <v>110</v>
      </c>
      <c r="C44" s="25">
        <v>1</v>
      </c>
      <c r="D44" s="25" t="s">
        <v>111</v>
      </c>
      <c r="E44" s="27"/>
      <c r="F44" s="28"/>
      <c r="G44" s="25" t="s">
        <v>34</v>
      </c>
      <c r="H44" s="29"/>
    </row>
  </sheetData>
  <pageMargins left="0.7" right="0.7" top="0.75" bottom="0.75" header="0.3" footer="0.3"/>
  <pageSetup paperSize="9" scale="70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D919-5431-4901-887B-933AB72D33E1}">
  <dimension ref="A1:N3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H1.2: ",tabeltype," regulier werk")</f>
        <v>Bijlage H1.2: Invultabel regulier werk</v>
      </c>
    </row>
    <row r="3" spans="1:14" ht="38.25" x14ac:dyDescent="0.2">
      <c r="A3" s="8" t="s">
        <v>112</v>
      </c>
      <c r="B3" s="8" t="s">
        <v>8</v>
      </c>
      <c r="C3" s="8" t="s">
        <v>113</v>
      </c>
      <c r="D3" s="8" t="s">
        <v>25</v>
      </c>
      <c r="E3" s="8" t="s">
        <v>114</v>
      </c>
      <c r="F3" s="8" t="s">
        <v>115</v>
      </c>
      <c r="G3" s="8" t="s">
        <v>26</v>
      </c>
      <c r="H3" s="8" t="s">
        <v>27</v>
      </c>
      <c r="I3" s="8" t="s">
        <v>28</v>
      </c>
      <c r="J3" s="8" t="s">
        <v>29</v>
      </c>
      <c r="K3" s="8" t="s">
        <v>116</v>
      </c>
      <c r="L3" s="8" t="s">
        <v>117</v>
      </c>
      <c r="M3" s="8" t="s">
        <v>118</v>
      </c>
      <c r="N3" s="8" t="s">
        <v>119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120</v>
      </c>
      <c r="B6" s="15" t="s">
        <v>16</v>
      </c>
      <c r="C6" s="15" t="s">
        <v>121</v>
      </c>
      <c r="D6" s="15" t="s">
        <v>122</v>
      </c>
      <c r="E6" s="30">
        <v>17.8</v>
      </c>
      <c r="F6" s="30">
        <f t="shared" ref="F6:F32" si="0">E6*VLOOKUP(B6,dagsoorttabel1,2,FALSE)</f>
        <v>0.83764705882352941</v>
      </c>
      <c r="G6" s="31">
        <f>catpn_1_AHV_12</f>
        <v>0</v>
      </c>
      <c r="H6" s="32">
        <f>catdw_1_AHV_12</f>
        <v>0</v>
      </c>
      <c r="I6" s="15" t="s">
        <v>34</v>
      </c>
      <c r="J6" s="33">
        <f>cattf_1_AHV_12</f>
        <v>0</v>
      </c>
      <c r="K6" s="30">
        <f t="shared" ref="K6:K31" si="1">IF(OR(ISBLANK(G6),G6=0),0,F6/ROUND(G6,4))</f>
        <v>0</v>
      </c>
      <c r="L6" s="33">
        <f t="shared" ref="L6:L32" si="2">ROUND(J6,2)*K6</f>
        <v>0</v>
      </c>
      <c r="M6" s="30">
        <f t="shared" ref="M6:M32" si="3">K6*dagenperjaar1</f>
        <v>0</v>
      </c>
      <c r="N6" s="33">
        <f t="shared" ref="N6:N32" si="4">M6*ROUND(J6,2)</f>
        <v>0</v>
      </c>
    </row>
    <row r="7" spans="1:14" x14ac:dyDescent="0.2">
      <c r="A7" s="20" t="s">
        <v>123</v>
      </c>
      <c r="B7" s="20" t="s">
        <v>16</v>
      </c>
      <c r="C7" s="20" t="s">
        <v>121</v>
      </c>
      <c r="D7" s="20" t="s">
        <v>124</v>
      </c>
      <c r="E7" s="34">
        <v>9.4</v>
      </c>
      <c r="F7" s="34">
        <f t="shared" si="0"/>
        <v>0.44235294117647062</v>
      </c>
      <c r="G7" s="35">
        <f>catpn_1_AZV_12</f>
        <v>0</v>
      </c>
      <c r="H7" s="36">
        <f>catdw_1_AZV_12</f>
        <v>0</v>
      </c>
      <c r="I7" s="20" t="s">
        <v>34</v>
      </c>
      <c r="J7" s="37">
        <f>cattf_1_AZV_12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123</v>
      </c>
      <c r="B8" s="20" t="s">
        <v>21</v>
      </c>
      <c r="C8" s="20" t="s">
        <v>121</v>
      </c>
      <c r="D8" s="20" t="s">
        <v>124</v>
      </c>
      <c r="E8" s="34">
        <v>98.800000000000011</v>
      </c>
      <c r="F8" s="34">
        <f t="shared" si="0"/>
        <v>0.38745098039215692</v>
      </c>
      <c r="G8" s="35">
        <f>catpn_1_AZV_1</f>
        <v>0</v>
      </c>
      <c r="H8" s="36">
        <f>catdw_1_AZV_1</f>
        <v>0</v>
      </c>
      <c r="I8" s="20" t="s">
        <v>34</v>
      </c>
      <c r="J8" s="37">
        <f>cattf_1_AZV_1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125</v>
      </c>
      <c r="B9" s="20" t="s">
        <v>13</v>
      </c>
      <c r="C9" s="20" t="s">
        <v>121</v>
      </c>
      <c r="D9" s="20" t="s">
        <v>126</v>
      </c>
      <c r="E9" s="34">
        <v>132.5</v>
      </c>
      <c r="F9" s="34">
        <f t="shared" si="0"/>
        <v>53</v>
      </c>
      <c r="G9" s="35">
        <f>IF(AND(catpn_1_BHB_1&gt;0,catpn_1_BHV_51&gt;0),(dagenperjaar1*VLOOKUP(B9,dagsoorttabel1,2,FALSE))/(((dagenperjaar1*VLOOKUP(B9,dagsoorttabel1,2,FALSE))-catfd_1_BHV_51)/catpn_1_BHB_1+catfd_1_BHV_51/catpn_1_BHV_51),0)</f>
        <v>0</v>
      </c>
      <c r="H9" s="36">
        <f>IF(AND(catpn_1_BHB_1&gt;0,catpn_1_BHV_51&gt;0),(catdw_1_BHB_1*((dagenperjaar1*VLOOKUP(B9,dagsoorttabel1,2,FALSE))-catfd_1_BHV_51)/catpn_1_BHB_1+catdw_1_BHV_51*catfd_1_BHV_51/catpn_1_BHV_51)/(((dagenperjaar1*VLOOKUP(B9,dagsoorttabel1,2,FALSE))-catfd_1_BHV_51)/catpn_1_BHB_1+catfd_1_BHV_51/catpn_1_BHV_51),0)</f>
        <v>0</v>
      </c>
      <c r="I9" s="20" t="s">
        <v>34</v>
      </c>
      <c r="J9" s="37">
        <f>IF(AND(catpn_1_BHB_1&gt;0,catpn_1_BHV_51&gt;0),(cattf_1_BHB_1*((dagenperjaar1*VLOOKUP(B9,dagsoorttabel1,2,FALSE))-catfd_1_BHV_51)/catpn_1_BHB_1+cattf_1_BHV_51*catfd_1_BHV_51/catpn_1_BHV_51)/(((dagenperjaar1*VLOOKUP(B9,dagsoorttabel1,2,FALSE))-catfd_1_BHV_51)/catpn_1_BHB_1+catfd_1_BHV_51/catpn_1_BHV_51)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125</v>
      </c>
      <c r="B10" s="20" t="s">
        <v>10</v>
      </c>
      <c r="C10" s="20" t="s">
        <v>121</v>
      </c>
      <c r="D10" s="20" t="s">
        <v>126</v>
      </c>
      <c r="E10" s="34">
        <v>77.3</v>
      </c>
      <c r="F10" s="34">
        <f t="shared" si="0"/>
        <v>77.3</v>
      </c>
      <c r="G10" s="35">
        <f>IF(AND(catpn_1_BHB_1&gt;0,catpn_1_BHV_51&gt;0),(dagenperjaar1*VLOOKUP(B10,dagsoorttabel1,2,FALSE))/(((dagenperjaar1*VLOOKUP(B10,dagsoorttabel1,2,FALSE))-catfd_1_BHV_51)/catpn_1_BHB_1+catfd_1_BHV_51/catpn_1_BHV_51),0)</f>
        <v>0</v>
      </c>
      <c r="H10" s="36">
        <f>IF(AND(catpn_1_BHB_1&gt;0,catpn_1_BHV_51&gt;0),(catdw_1_BHB_1*((dagenperjaar1*VLOOKUP(B10,dagsoorttabel1,2,FALSE))-catfd_1_BHV_51)/catpn_1_BHB_1+catdw_1_BHV_51*catfd_1_BHV_51/catpn_1_BHV_51)/(((dagenperjaar1*VLOOKUP(B10,dagsoorttabel1,2,FALSE))-catfd_1_BHV_51)/catpn_1_BHB_1+catfd_1_BHV_51/catpn_1_BHV_51),0)</f>
        <v>0</v>
      </c>
      <c r="I10" s="20" t="s">
        <v>34</v>
      </c>
      <c r="J10" s="37">
        <f>IF(AND(catpn_1_BHB_1&gt;0,catpn_1_BHV_51&gt;0),(cattf_1_BHB_1*((dagenperjaar1*VLOOKUP(B10,dagsoorttabel1,2,FALSE))-catfd_1_BHV_51)/catpn_1_BHB_1+cattf_1_BHV_51*catfd_1_BHV_51/catpn_1_BHV_51)/(((dagenperjaar1*VLOOKUP(B10,dagsoorttabel1,2,FALSE))-catfd_1_BHV_51)/catpn_1_BHB_1+catfd_1_BHV_51/catpn_1_BHV_51)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127</v>
      </c>
      <c r="B11" s="20" t="s">
        <v>13</v>
      </c>
      <c r="C11" s="20" t="s">
        <v>121</v>
      </c>
      <c r="D11" s="20" t="s">
        <v>128</v>
      </c>
      <c r="E11" s="34">
        <v>2198</v>
      </c>
      <c r="F11" s="34">
        <f t="shared" si="0"/>
        <v>879.2</v>
      </c>
      <c r="G11" s="35">
        <f>IF(AND(catpn_1_BZB_1&gt;0,catpn_1_BZV_51&gt;0),(dagenperjaar1*VLOOKUP(B11,dagsoorttabel1,2,FALSE))/(((dagenperjaar1*VLOOKUP(B11,dagsoorttabel1,2,FALSE))-catfd_1_BZV_51)/catpn_1_BZB_1+catfd_1_BZV_51/catpn_1_BZV_51),0)</f>
        <v>0</v>
      </c>
      <c r="H11" s="36">
        <f>IF(AND(catpn_1_BZB_1&gt;0,catpn_1_BZV_51&gt;0),(catdw_1_BZB_1*((dagenperjaar1*VLOOKUP(B11,dagsoorttabel1,2,FALSE))-catfd_1_BZV_51)/catpn_1_BZB_1+catdw_1_BZV_51*catfd_1_BZV_51/catpn_1_BZV_51)/(((dagenperjaar1*VLOOKUP(B11,dagsoorttabel1,2,FALSE))-catfd_1_BZV_51)/catpn_1_BZB_1+catfd_1_BZV_51/catpn_1_BZV_51),0)</f>
        <v>0</v>
      </c>
      <c r="I11" s="20" t="s">
        <v>34</v>
      </c>
      <c r="J11" s="37">
        <f>IF(AND(catpn_1_BZB_1&gt;0,catpn_1_BZV_51&gt;0),(cattf_1_BZB_1*((dagenperjaar1*VLOOKUP(B11,dagsoorttabel1,2,FALSE))-catfd_1_BZV_51)/catpn_1_BZB_1+cattf_1_BZV_51*catfd_1_BZV_51/catpn_1_BZV_51)/(((dagenperjaar1*VLOOKUP(B11,dagsoorttabel1,2,FALSE))-catfd_1_BZV_51)/catpn_1_BZB_1+catfd_1_BZV_51/catpn_1_BZV_51)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127</v>
      </c>
      <c r="B12" s="20" t="s">
        <v>10</v>
      </c>
      <c r="C12" s="20" t="s">
        <v>121</v>
      </c>
      <c r="D12" s="20" t="s">
        <v>128</v>
      </c>
      <c r="E12" s="34">
        <v>136.64000000000001</v>
      </c>
      <c r="F12" s="34">
        <f t="shared" si="0"/>
        <v>136.64000000000001</v>
      </c>
      <c r="G12" s="35">
        <f>IF(AND(catpn_1_BZB_1&gt;0,catpn_1_BZV_51&gt;0),(dagenperjaar1*VLOOKUP(B12,dagsoorttabel1,2,FALSE))/(((dagenperjaar1*VLOOKUP(B12,dagsoorttabel1,2,FALSE))-catfd_1_BZV_51)/catpn_1_BZB_1+catfd_1_BZV_51/catpn_1_BZV_51),0)</f>
        <v>0</v>
      </c>
      <c r="H12" s="36">
        <f>IF(AND(catpn_1_BZB_1&gt;0,catpn_1_BZV_51&gt;0),(catdw_1_BZB_1*((dagenperjaar1*VLOOKUP(B12,dagsoorttabel1,2,FALSE))-catfd_1_BZV_51)/catpn_1_BZB_1+catdw_1_BZV_51*catfd_1_BZV_51/catpn_1_BZV_51)/(((dagenperjaar1*VLOOKUP(B12,dagsoorttabel1,2,FALSE))-catfd_1_BZV_51)/catpn_1_BZB_1+catfd_1_BZV_51/catpn_1_BZV_51),0)</f>
        <v>0</v>
      </c>
      <c r="I12" s="20" t="s">
        <v>34</v>
      </c>
      <c r="J12" s="37">
        <f>IF(AND(catpn_1_BZB_1&gt;0,catpn_1_BZV_51&gt;0),(cattf_1_BZB_1*((dagenperjaar1*VLOOKUP(B12,dagsoorttabel1,2,FALSE))-catfd_1_BZV_51)/catpn_1_BZB_1+cattf_1_BZV_51*catfd_1_BZV_51/catpn_1_BZV_51)/(((dagenperjaar1*VLOOKUP(B12,dagsoorttabel1,2,FALSE))-catfd_1_BZV_51)/catpn_1_BZB_1+catfd_1_BZV_51/catpn_1_BZV_51)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129</v>
      </c>
      <c r="B13" s="20" t="s">
        <v>21</v>
      </c>
      <c r="C13" s="20" t="s">
        <v>121</v>
      </c>
      <c r="D13" s="20" t="s">
        <v>130</v>
      </c>
      <c r="E13" s="34">
        <v>16</v>
      </c>
      <c r="F13" s="34">
        <f t="shared" si="0"/>
        <v>6.2745098039215685E-2</v>
      </c>
      <c r="G13" s="35">
        <f>catpn_1_CHV_1</f>
        <v>0</v>
      </c>
      <c r="H13" s="36">
        <f>catdw_1_CHV_1</f>
        <v>0</v>
      </c>
      <c r="I13" s="20" t="s">
        <v>34</v>
      </c>
      <c r="J13" s="37">
        <f>cattf_1_CHV_1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131</v>
      </c>
      <c r="B14" s="20" t="s">
        <v>10</v>
      </c>
      <c r="C14" s="20" t="s">
        <v>121</v>
      </c>
      <c r="D14" s="20" t="s">
        <v>132</v>
      </c>
      <c r="E14" s="34">
        <v>79.5</v>
      </c>
      <c r="F14" s="34">
        <f t="shared" si="0"/>
        <v>79.5</v>
      </c>
      <c r="G14" s="35">
        <f>IF(AND(catpn_1_DHB_1&gt;0,catpn_1_DHV_51&gt;0),(dagenperjaar1*VLOOKUP(B14,dagsoorttabel1,2,FALSE))/(((dagenperjaar1*VLOOKUP(B14,dagsoorttabel1,2,FALSE))-catfd_1_DHV_51)/catpn_1_DHB_1+catfd_1_DHV_51/catpn_1_DHV_51),0)</f>
        <v>0</v>
      </c>
      <c r="H14" s="36">
        <f>IF(AND(catpn_1_DHB_1&gt;0,catpn_1_DHV_51&gt;0),(catdw_1_DHB_1*((dagenperjaar1*VLOOKUP(B14,dagsoorttabel1,2,FALSE))-catfd_1_DHV_51)/catpn_1_DHB_1+catdw_1_DHV_51*catfd_1_DHV_51/catpn_1_DHV_51)/(((dagenperjaar1*VLOOKUP(B14,dagsoorttabel1,2,FALSE))-catfd_1_DHV_51)/catpn_1_DHB_1+catfd_1_DHV_51/catpn_1_DHV_51),0)</f>
        <v>0</v>
      </c>
      <c r="I14" s="20" t="s">
        <v>34</v>
      </c>
      <c r="J14" s="37">
        <f>IF(AND(catpn_1_DHB_1&gt;0,catpn_1_DHV_51&gt;0),(cattf_1_DHB_1*((dagenperjaar1*VLOOKUP(B14,dagsoorttabel1,2,FALSE))-catfd_1_DHV_51)/catpn_1_DHB_1+cattf_1_DHV_51*catfd_1_DHV_51/catpn_1_DHV_51)/(((dagenperjaar1*VLOOKUP(B14,dagsoorttabel1,2,FALSE))-catfd_1_DHV_51)/catpn_1_DHB_1+catfd_1_DHV_51/catpn_1_DHV_51)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133</v>
      </c>
      <c r="B15" s="20" t="s">
        <v>10</v>
      </c>
      <c r="C15" s="20" t="s">
        <v>121</v>
      </c>
      <c r="D15" s="20" t="s">
        <v>134</v>
      </c>
      <c r="E15" s="34">
        <v>3.7</v>
      </c>
      <c r="F15" s="34">
        <f t="shared" si="0"/>
        <v>3.7</v>
      </c>
      <c r="G15" s="35">
        <f>IF(AND(catpn_1_EHB_1&gt;0,catpn_1_EHV_51&gt;0),(dagenperjaar1*VLOOKUP(B15,dagsoorttabel1,2,FALSE))/(((dagenperjaar1*VLOOKUP(B15,dagsoorttabel1,2,FALSE))-catfd_1_EHV_51)/catpn_1_EHB_1+catfd_1_EHV_51/catpn_1_EHV_51),0)</f>
        <v>0</v>
      </c>
      <c r="H15" s="36">
        <f>IF(AND(catpn_1_EHB_1&gt;0,catpn_1_EHV_51&gt;0),(catdw_1_EHB_1*((dagenperjaar1*VLOOKUP(B15,dagsoorttabel1,2,FALSE))-catfd_1_EHV_51)/catpn_1_EHB_1+catdw_1_EHV_51*catfd_1_EHV_51/catpn_1_EHV_51)/(((dagenperjaar1*VLOOKUP(B15,dagsoorttabel1,2,FALSE))-catfd_1_EHV_51)/catpn_1_EHB_1+catfd_1_EHV_51/catpn_1_EHV_51),0)</f>
        <v>0</v>
      </c>
      <c r="I15" s="20" t="s">
        <v>34</v>
      </c>
      <c r="J15" s="37">
        <f>IF(AND(catpn_1_EHB_1&gt;0,catpn_1_EHV_51&gt;0),(cattf_1_EHB_1*((dagenperjaar1*VLOOKUP(B15,dagsoorttabel1,2,FALSE))-catfd_1_EHV_51)/catpn_1_EHB_1+cattf_1_EHV_51*catfd_1_EHV_51/catpn_1_EHV_51)/(((dagenperjaar1*VLOOKUP(B15,dagsoorttabel1,2,FALSE))-catfd_1_EHV_51)/catpn_1_EHB_1+catfd_1_EHV_51/catpn_1_EHV_51)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135</v>
      </c>
      <c r="B16" s="20" t="s">
        <v>10</v>
      </c>
      <c r="C16" s="20" t="s">
        <v>121</v>
      </c>
      <c r="D16" s="20" t="s">
        <v>136</v>
      </c>
      <c r="E16" s="34">
        <v>16.8</v>
      </c>
      <c r="F16" s="34">
        <f t="shared" si="0"/>
        <v>16.8</v>
      </c>
      <c r="G16" s="35">
        <f>IF(AND(catpn_1_EZB_1&gt;0,catpn_1_EZV_51&gt;0),(dagenperjaar1*VLOOKUP(B16,dagsoorttabel1,2,FALSE))/(((dagenperjaar1*VLOOKUP(B16,dagsoorttabel1,2,FALSE))-catfd_1_EZV_51)/catpn_1_EZB_1+catfd_1_EZV_51/catpn_1_EZV_51),0)</f>
        <v>0</v>
      </c>
      <c r="H16" s="36">
        <f>IF(AND(catpn_1_EZB_1&gt;0,catpn_1_EZV_51&gt;0),(catdw_1_EZB_1*((dagenperjaar1*VLOOKUP(B16,dagsoorttabel1,2,FALSE))-catfd_1_EZV_51)/catpn_1_EZB_1+catdw_1_EZV_51*catfd_1_EZV_51/catpn_1_EZV_51)/(((dagenperjaar1*VLOOKUP(B16,dagsoorttabel1,2,FALSE))-catfd_1_EZV_51)/catpn_1_EZB_1+catfd_1_EZV_51/catpn_1_EZV_51),0)</f>
        <v>0</v>
      </c>
      <c r="I16" s="20" t="s">
        <v>34</v>
      </c>
      <c r="J16" s="37">
        <f>IF(AND(catpn_1_EZB_1&gt;0,catpn_1_EZV_51&gt;0),(cattf_1_EZB_1*((dagenperjaar1*VLOOKUP(B16,dagsoorttabel1,2,FALSE))-catfd_1_EZV_51)/catpn_1_EZB_1+cattf_1_EZV_51*catfd_1_EZV_51/catpn_1_EZV_51)/(((dagenperjaar1*VLOOKUP(B16,dagsoorttabel1,2,FALSE))-catfd_1_EZV_51)/catpn_1_EZB_1+catfd_1_EZV_51/catpn_1_EZV_51)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137</v>
      </c>
      <c r="B17" s="20" t="s">
        <v>10</v>
      </c>
      <c r="C17" s="20" t="s">
        <v>121</v>
      </c>
      <c r="D17" s="20" t="s">
        <v>138</v>
      </c>
      <c r="E17" s="34">
        <v>4</v>
      </c>
      <c r="F17" s="34">
        <f t="shared" si="0"/>
        <v>4</v>
      </c>
      <c r="G17" s="35">
        <f>IF(AND(catpn_1_IHB_1&gt;0,catpn_1_IHV_51&gt;0),(dagenperjaar1*VLOOKUP(B17,dagsoorttabel1,2,FALSE))/(((dagenperjaar1*VLOOKUP(B17,dagsoorttabel1,2,FALSE))-catfd_1_IHV_51)/catpn_1_IHB_1+catfd_1_IHV_51/catpn_1_IHV_51),0)</f>
        <v>0</v>
      </c>
      <c r="H17" s="36">
        <f>IF(AND(catpn_1_IHB_1&gt;0,catpn_1_IHV_51&gt;0),(catdw_1_IHB_1*((dagenperjaar1*VLOOKUP(B17,dagsoorttabel1,2,FALSE))-catfd_1_IHV_51)/catpn_1_IHB_1+catdw_1_IHV_51*catfd_1_IHV_51/catpn_1_IHV_51)/(((dagenperjaar1*VLOOKUP(B17,dagsoorttabel1,2,FALSE))-catfd_1_IHV_51)/catpn_1_IHB_1+catfd_1_IHV_51/catpn_1_IHV_51),0)</f>
        <v>0</v>
      </c>
      <c r="I17" s="20" t="s">
        <v>34</v>
      </c>
      <c r="J17" s="37">
        <f>IF(AND(catpn_1_IHB_1&gt;0,catpn_1_IHV_51&gt;0),(cattf_1_IHB_1*((dagenperjaar1*VLOOKUP(B17,dagsoorttabel1,2,FALSE))-catfd_1_IHV_51)/catpn_1_IHB_1+cattf_1_IHV_51*catfd_1_IHV_51/catpn_1_IHV_51)/(((dagenperjaar1*VLOOKUP(B17,dagsoorttabel1,2,FALSE))-catfd_1_IHV_51)/catpn_1_IHB_1+catfd_1_IHV_51/catpn_1_IHV_51)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139</v>
      </c>
      <c r="B18" s="20" t="s">
        <v>10</v>
      </c>
      <c r="C18" s="20" t="s">
        <v>121</v>
      </c>
      <c r="D18" s="20" t="s">
        <v>140</v>
      </c>
      <c r="E18" s="34">
        <v>11.8</v>
      </c>
      <c r="F18" s="34">
        <f t="shared" si="0"/>
        <v>11.8</v>
      </c>
      <c r="G18" s="35">
        <f>IF(AND(catpn_1_KHB_1&gt;0,catpn_1_KHV_51&gt;0),(dagenperjaar1*VLOOKUP(B18,dagsoorttabel1,2,FALSE))/(((dagenperjaar1*VLOOKUP(B18,dagsoorttabel1,2,FALSE))-catfd_1_KHV_51)/catpn_1_KHB_1+catfd_1_KHV_51/catpn_1_KHV_51),0)</f>
        <v>0</v>
      </c>
      <c r="H18" s="36">
        <f>IF(AND(catpn_1_KHB_1&gt;0,catpn_1_KHV_51&gt;0),(catdw_1_KHB_1*((dagenperjaar1*VLOOKUP(B18,dagsoorttabel1,2,FALSE))-catfd_1_KHV_51)/catpn_1_KHB_1+catdw_1_KHV_51*catfd_1_KHV_51/catpn_1_KHV_51)/(((dagenperjaar1*VLOOKUP(B18,dagsoorttabel1,2,FALSE))-catfd_1_KHV_51)/catpn_1_KHB_1+catfd_1_KHV_51/catpn_1_KHV_51),0)</f>
        <v>0</v>
      </c>
      <c r="I18" s="20" t="s">
        <v>34</v>
      </c>
      <c r="J18" s="37">
        <f>IF(AND(catpn_1_KHB_1&gt;0,catpn_1_KHV_51&gt;0),(cattf_1_KHB_1*((dagenperjaar1*VLOOKUP(B18,dagsoorttabel1,2,FALSE))-catfd_1_KHV_51)/catpn_1_KHB_1+cattf_1_KHV_51*catfd_1_KHV_51/catpn_1_KHV_51)/(((dagenperjaar1*VLOOKUP(B18,dagsoorttabel1,2,FALSE))-catfd_1_KHV_51)/catpn_1_KHB_1+catfd_1_KHV_51/catpn_1_KHV_51)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141</v>
      </c>
      <c r="B19" s="20" t="s">
        <v>11</v>
      </c>
      <c r="C19" s="20" t="s">
        <v>121</v>
      </c>
      <c r="D19" s="20" t="s">
        <v>142</v>
      </c>
      <c r="E19" s="34">
        <v>9.9</v>
      </c>
      <c r="F19" s="34">
        <f t="shared" si="0"/>
        <v>7.9200000000000008</v>
      </c>
      <c r="G19" s="35">
        <f>IF(AND(catpn_1_OHB_1&gt;0,catpn_1_OHV_51&gt;0),(dagenperjaar1*VLOOKUP(B19,dagsoorttabel1,2,FALSE))/(((dagenperjaar1*VLOOKUP(B19,dagsoorttabel1,2,FALSE))-catfd_1_OHV_51)/catpn_1_OHB_1+catfd_1_OHV_51/catpn_1_OHV_51),0)</f>
        <v>0</v>
      </c>
      <c r="H19" s="36">
        <f>IF(AND(catpn_1_OHB_1&gt;0,catpn_1_OHV_51&gt;0),(catdw_1_OHB_1*((dagenperjaar1*VLOOKUP(B19,dagsoorttabel1,2,FALSE))-catfd_1_OHV_51)/catpn_1_OHB_1+catdw_1_OHV_51*catfd_1_OHV_51/catpn_1_OHV_51)/(((dagenperjaar1*VLOOKUP(B19,dagsoorttabel1,2,FALSE))-catfd_1_OHV_51)/catpn_1_OHB_1+catfd_1_OHV_51/catpn_1_OHV_51),0)</f>
        <v>0</v>
      </c>
      <c r="I19" s="20" t="s">
        <v>34</v>
      </c>
      <c r="J19" s="37">
        <f>IF(AND(catpn_1_OHB_1&gt;0,catpn_1_OHV_51&gt;0),(cattf_1_OHB_1*((dagenperjaar1*VLOOKUP(B19,dagsoorttabel1,2,FALSE))-catfd_1_OHV_51)/catpn_1_OHB_1+cattf_1_OHV_51*catfd_1_OHV_51/catpn_1_OHV_51)/(((dagenperjaar1*VLOOKUP(B19,dagsoorttabel1,2,FALSE))-catfd_1_OHV_51)/catpn_1_OHB_1+catfd_1_OHV_51/catpn_1_OHV_51)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141</v>
      </c>
      <c r="B20" s="20" t="s">
        <v>10</v>
      </c>
      <c r="C20" s="20" t="s">
        <v>121</v>
      </c>
      <c r="D20" s="20" t="s">
        <v>142</v>
      </c>
      <c r="E20" s="34">
        <v>35.799999999999997</v>
      </c>
      <c r="F20" s="34">
        <f t="shared" si="0"/>
        <v>35.799999999999997</v>
      </c>
      <c r="G20" s="35">
        <f>IF(AND(catpn_1_OHB_1&gt;0,catpn_1_OHV_51&gt;0),(dagenperjaar1*VLOOKUP(B20,dagsoorttabel1,2,FALSE))/(((dagenperjaar1*VLOOKUP(B20,dagsoorttabel1,2,FALSE))-catfd_1_OHV_51)/catpn_1_OHB_1+catfd_1_OHV_51/catpn_1_OHV_51),0)</f>
        <v>0</v>
      </c>
      <c r="H20" s="36">
        <f>IF(AND(catpn_1_OHB_1&gt;0,catpn_1_OHV_51&gt;0),(catdw_1_OHB_1*((dagenperjaar1*VLOOKUP(B20,dagsoorttabel1,2,FALSE))-catfd_1_OHV_51)/catpn_1_OHB_1+catdw_1_OHV_51*catfd_1_OHV_51/catpn_1_OHV_51)/(((dagenperjaar1*VLOOKUP(B20,dagsoorttabel1,2,FALSE))-catfd_1_OHV_51)/catpn_1_OHB_1+catfd_1_OHV_51/catpn_1_OHV_51),0)</f>
        <v>0</v>
      </c>
      <c r="I20" s="20" t="s">
        <v>34</v>
      </c>
      <c r="J20" s="37">
        <f>IF(AND(catpn_1_OHB_1&gt;0,catpn_1_OHV_51&gt;0),(cattf_1_OHB_1*((dagenperjaar1*VLOOKUP(B20,dagsoorttabel1,2,FALSE))-catfd_1_OHV_51)/catpn_1_OHB_1+cattf_1_OHV_51*catfd_1_OHV_51/catpn_1_OHV_51)/(((dagenperjaar1*VLOOKUP(B20,dagsoorttabel1,2,FALSE))-catfd_1_OHV_51)/catpn_1_OHB_1+catfd_1_OHV_51/catpn_1_OHV_51)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143</v>
      </c>
      <c r="B21" s="20" t="s">
        <v>11</v>
      </c>
      <c r="C21" s="20" t="s">
        <v>121</v>
      </c>
      <c r="D21" s="20" t="s">
        <v>144</v>
      </c>
      <c r="E21" s="34">
        <v>259.8</v>
      </c>
      <c r="F21" s="34">
        <f t="shared" si="0"/>
        <v>207.84000000000003</v>
      </c>
      <c r="G21" s="35">
        <f>IF(AND(catpn_1_OZB_1&gt;0,catpn_1_OZV_51&gt;0),(dagenperjaar1*VLOOKUP(B21,dagsoorttabel1,2,FALSE))/(((dagenperjaar1*VLOOKUP(B21,dagsoorttabel1,2,FALSE))-catfd_1_OZV_51)/catpn_1_OZB_1+catfd_1_OZV_51/catpn_1_OZV_51),0)</f>
        <v>0</v>
      </c>
      <c r="H21" s="36">
        <f>IF(AND(catpn_1_OZB_1&gt;0,catpn_1_OZV_51&gt;0),(catdw_1_OZB_1*((dagenperjaar1*VLOOKUP(B21,dagsoorttabel1,2,FALSE))-catfd_1_OZV_51)/catpn_1_OZB_1+catdw_1_OZV_51*catfd_1_OZV_51/catpn_1_OZV_51)/(((dagenperjaar1*VLOOKUP(B21,dagsoorttabel1,2,FALSE))-catfd_1_OZV_51)/catpn_1_OZB_1+catfd_1_OZV_51/catpn_1_OZV_51),0)</f>
        <v>0</v>
      </c>
      <c r="I21" s="20" t="s">
        <v>34</v>
      </c>
      <c r="J21" s="37">
        <f>IF(AND(catpn_1_OZB_1&gt;0,catpn_1_OZV_51&gt;0),(cattf_1_OZB_1*((dagenperjaar1*VLOOKUP(B21,dagsoorttabel1,2,FALSE))-catfd_1_OZV_51)/catpn_1_OZB_1+cattf_1_OZV_51*catfd_1_OZV_51/catpn_1_OZV_51)/(((dagenperjaar1*VLOOKUP(B21,dagsoorttabel1,2,FALSE))-catfd_1_OZV_51)/catpn_1_OZB_1+catfd_1_OZV_51/catpn_1_OZV_51)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145</v>
      </c>
      <c r="B22" s="20" t="s">
        <v>10</v>
      </c>
      <c r="C22" s="20" t="s">
        <v>121</v>
      </c>
      <c r="D22" s="20" t="s">
        <v>146</v>
      </c>
      <c r="E22" s="34">
        <v>19.25</v>
      </c>
      <c r="F22" s="34">
        <f t="shared" si="0"/>
        <v>19.25</v>
      </c>
      <c r="G22" s="35">
        <f>IF(AND(catpn_1_PHB_1&gt;0,catpn_1_PHV_51&gt;0),(dagenperjaar1*VLOOKUP(B22,dagsoorttabel1,2,FALSE))/(((dagenperjaar1*VLOOKUP(B22,dagsoorttabel1,2,FALSE))-catfd_1_PHV_51)/catpn_1_PHB_1+catfd_1_PHV_51/catpn_1_PHV_51),0)</f>
        <v>0</v>
      </c>
      <c r="H22" s="36">
        <f>IF(AND(catpn_1_PHB_1&gt;0,catpn_1_PHV_51&gt;0),(catdw_1_PHB_1*((dagenperjaar1*VLOOKUP(B22,dagsoorttabel1,2,FALSE))-catfd_1_PHV_51)/catpn_1_PHB_1+catdw_1_PHV_51*catfd_1_PHV_51/catpn_1_PHV_51)/(((dagenperjaar1*VLOOKUP(B22,dagsoorttabel1,2,FALSE))-catfd_1_PHV_51)/catpn_1_PHB_1+catfd_1_PHV_51/catpn_1_PHV_51),0)</f>
        <v>0</v>
      </c>
      <c r="I22" s="20" t="s">
        <v>34</v>
      </c>
      <c r="J22" s="37">
        <f>IF(AND(catpn_1_PHB_1&gt;0,catpn_1_PHV_51&gt;0),(cattf_1_PHB_1*((dagenperjaar1*VLOOKUP(B22,dagsoorttabel1,2,FALSE))-catfd_1_PHV_51)/catpn_1_PHB_1+cattf_1_PHV_51*catfd_1_PHV_51/catpn_1_PHV_51)/(((dagenperjaar1*VLOOKUP(B22,dagsoorttabel1,2,FALSE))-catfd_1_PHV_51)/catpn_1_PHB_1+catfd_1_PHV_51/catpn_1_PHV_51)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147</v>
      </c>
      <c r="B23" s="20" t="s">
        <v>10</v>
      </c>
      <c r="C23" s="20" t="s">
        <v>121</v>
      </c>
      <c r="D23" s="20" t="s">
        <v>148</v>
      </c>
      <c r="E23" s="34">
        <v>20</v>
      </c>
      <c r="F23" s="34">
        <f t="shared" si="0"/>
        <v>20</v>
      </c>
      <c r="G23" s="35">
        <f>IF(AND(catpn_1_PZB_1&gt;0,catpn_1_PZV_51&gt;0),(dagenperjaar1*VLOOKUP(B23,dagsoorttabel1,2,FALSE))/(((dagenperjaar1*VLOOKUP(B23,dagsoorttabel1,2,FALSE))-catfd_1_PZV_51)/catpn_1_PZB_1+catfd_1_PZV_51/catpn_1_PZV_51),0)</f>
        <v>0</v>
      </c>
      <c r="H23" s="36">
        <f>IF(AND(catpn_1_PZB_1&gt;0,catpn_1_PZV_51&gt;0),(catdw_1_PZB_1*((dagenperjaar1*VLOOKUP(B23,dagsoorttabel1,2,FALSE))-catfd_1_PZV_51)/catpn_1_PZB_1+catdw_1_PZV_51*catfd_1_PZV_51/catpn_1_PZV_51)/(((dagenperjaar1*VLOOKUP(B23,dagsoorttabel1,2,FALSE))-catfd_1_PZV_51)/catpn_1_PZB_1+catfd_1_PZV_51/catpn_1_PZV_51),0)</f>
        <v>0</v>
      </c>
      <c r="I23" s="20" t="s">
        <v>34</v>
      </c>
      <c r="J23" s="37">
        <f>IF(AND(catpn_1_PZB_1&gt;0,catpn_1_PZV_51&gt;0),(cattf_1_PZB_1*((dagenperjaar1*VLOOKUP(B23,dagsoorttabel1,2,FALSE))-catfd_1_PZV_51)/catpn_1_PZB_1+cattf_1_PZV_51*catfd_1_PZV_51/catpn_1_PZV_51)/(((dagenperjaar1*VLOOKUP(B23,dagsoorttabel1,2,FALSE))-catfd_1_PZV_51)/catpn_1_PZB_1+catfd_1_PZV_51/catpn_1_PZV_51)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149</v>
      </c>
      <c r="B24" s="20" t="s">
        <v>10</v>
      </c>
      <c r="C24" s="20" t="s">
        <v>121</v>
      </c>
      <c r="D24" s="20" t="s">
        <v>150</v>
      </c>
      <c r="E24" s="34">
        <v>59.6</v>
      </c>
      <c r="F24" s="34">
        <f t="shared" si="0"/>
        <v>59.6</v>
      </c>
      <c r="G24" s="35">
        <f>IF(AND(catpn_1_RHB_1&gt;0,catpn_1_RHV_51&gt;0),(dagenperjaar1*VLOOKUP(B24,dagsoorttabel1,2,FALSE))/(((dagenperjaar1*VLOOKUP(B24,dagsoorttabel1,2,FALSE))-catfd_1_RHV_51)/catpn_1_RHB_1+catfd_1_RHV_51/catpn_1_RHV_51),0)</f>
        <v>0</v>
      </c>
      <c r="H24" s="36">
        <f>IF(AND(catpn_1_RHB_1&gt;0,catpn_1_RHV_51&gt;0),(catdw_1_RHB_1*((dagenperjaar1*VLOOKUP(B24,dagsoorttabel1,2,FALSE))-catfd_1_RHV_51)/catpn_1_RHB_1+catdw_1_RHV_51*catfd_1_RHV_51/catpn_1_RHV_51)/(((dagenperjaar1*VLOOKUP(B24,dagsoorttabel1,2,FALSE))-catfd_1_RHV_51)/catpn_1_RHB_1+catfd_1_RHV_51/catpn_1_RHV_51),0)</f>
        <v>0</v>
      </c>
      <c r="I24" s="20" t="s">
        <v>34</v>
      </c>
      <c r="J24" s="37">
        <f>IF(AND(catpn_1_RHB_1&gt;0,catpn_1_RHV_51&gt;0),(cattf_1_RHB_1*((dagenperjaar1*VLOOKUP(B24,dagsoorttabel1,2,FALSE))-catfd_1_RHV_51)/catpn_1_RHB_1+cattf_1_RHV_51*catfd_1_RHV_51/catpn_1_RHV_51)/(((dagenperjaar1*VLOOKUP(B24,dagsoorttabel1,2,FALSE))-catfd_1_RHV_51)/catpn_1_RHB_1+catfd_1_RHV_51/catpn_1_RHV_51)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151</v>
      </c>
      <c r="B25" s="20" t="s">
        <v>10</v>
      </c>
      <c r="C25" s="20" t="s">
        <v>121</v>
      </c>
      <c r="D25" s="20" t="s">
        <v>152</v>
      </c>
      <c r="E25" s="34">
        <v>81</v>
      </c>
      <c r="F25" s="34">
        <f t="shared" si="0"/>
        <v>81</v>
      </c>
      <c r="G25" s="35">
        <f>IF(AND(catpn_1_RZB_1&gt;0,catpn_1_RZV_51&gt;0),(dagenperjaar1*VLOOKUP(B25,dagsoorttabel1,2,FALSE))/(((dagenperjaar1*VLOOKUP(B25,dagsoorttabel1,2,FALSE))-catfd_1_RZV_51)/catpn_1_RZB_1+catfd_1_RZV_51/catpn_1_RZV_51),0)</f>
        <v>0</v>
      </c>
      <c r="H25" s="36">
        <f>IF(AND(catpn_1_RZB_1&gt;0,catpn_1_RZV_51&gt;0),(catdw_1_RZB_1*((dagenperjaar1*VLOOKUP(B25,dagsoorttabel1,2,FALSE))-catfd_1_RZV_51)/catpn_1_RZB_1+catdw_1_RZV_51*catfd_1_RZV_51/catpn_1_RZV_51)/(((dagenperjaar1*VLOOKUP(B25,dagsoorttabel1,2,FALSE))-catfd_1_RZV_51)/catpn_1_RZB_1+catfd_1_RZV_51/catpn_1_RZV_51),0)</f>
        <v>0</v>
      </c>
      <c r="I25" s="20" t="s">
        <v>34</v>
      </c>
      <c r="J25" s="37">
        <f>IF(AND(catpn_1_RZB_1&gt;0,catpn_1_RZV_51&gt;0),(cattf_1_RZB_1*((dagenperjaar1*VLOOKUP(B25,dagsoorttabel1,2,FALSE))-catfd_1_RZV_51)/catpn_1_RZB_1+cattf_1_RZV_51*catfd_1_RZV_51/catpn_1_RZV_51)/(((dagenperjaar1*VLOOKUP(B25,dagsoorttabel1,2,FALSE))-catfd_1_RZV_51)/catpn_1_RZB_1+catfd_1_RZV_51/catpn_1_RZV_51)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153</v>
      </c>
      <c r="B26" s="20" t="s">
        <v>10</v>
      </c>
      <c r="C26" s="20" t="s">
        <v>121</v>
      </c>
      <c r="D26" s="20" t="s">
        <v>154</v>
      </c>
      <c r="E26" s="34">
        <v>103.9</v>
      </c>
      <c r="F26" s="34">
        <f t="shared" si="0"/>
        <v>103.9</v>
      </c>
      <c r="G26" s="35">
        <f>IF(AND(catpn_1_SHB_1&gt;0,catpn_1_SHV_51&gt;0),(dagenperjaar1*VLOOKUP(B26,dagsoorttabel1,2,FALSE))/(((dagenperjaar1*VLOOKUP(B26,dagsoorttabel1,2,FALSE))-catfd_1_SHV_51)/catpn_1_SHB_1+catfd_1_SHV_51/catpn_1_SHV_51),0)</f>
        <v>0</v>
      </c>
      <c r="H26" s="36">
        <f>IF(AND(catpn_1_SHB_1&gt;0,catpn_1_SHV_51&gt;0),(catdw_1_SHB_1*((dagenperjaar1*VLOOKUP(B26,dagsoorttabel1,2,FALSE))-catfd_1_SHV_51)/catpn_1_SHB_1+catdw_1_SHV_51*catfd_1_SHV_51/catpn_1_SHV_51)/(((dagenperjaar1*VLOOKUP(B26,dagsoorttabel1,2,FALSE))-catfd_1_SHV_51)/catpn_1_SHB_1+catfd_1_SHV_51/catpn_1_SHV_51),0)</f>
        <v>0</v>
      </c>
      <c r="I26" s="20" t="s">
        <v>34</v>
      </c>
      <c r="J26" s="37">
        <f>IF(AND(catpn_1_SHB_1&gt;0,catpn_1_SHV_51&gt;0),(cattf_1_SHB_1*((dagenperjaar1*VLOOKUP(B26,dagsoorttabel1,2,FALSE))-catfd_1_SHV_51)/catpn_1_SHB_1+cattf_1_SHV_51*catfd_1_SHV_51/catpn_1_SHV_51)/(((dagenperjaar1*VLOOKUP(B26,dagsoorttabel1,2,FALSE))-catfd_1_SHV_51)/catpn_1_SHB_1+catfd_1_SHV_51/catpn_1_SHV_51)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155</v>
      </c>
      <c r="B27" s="20" t="s">
        <v>10</v>
      </c>
      <c r="C27" s="20" t="s">
        <v>121</v>
      </c>
      <c r="D27" s="20" t="s">
        <v>156</v>
      </c>
      <c r="E27" s="34">
        <v>124.3</v>
      </c>
      <c r="F27" s="34">
        <f t="shared" si="0"/>
        <v>124.3</v>
      </c>
      <c r="G27" s="35">
        <f>IF(AND(catpn_1_THB_1&gt;0,catpn_1_THV_51&gt;0),(dagenperjaar1*VLOOKUP(B27,dagsoorttabel1,2,FALSE))/(((dagenperjaar1*VLOOKUP(B27,dagsoorttabel1,2,FALSE))-catfd_1_THV_51)/catpn_1_THB_1+catfd_1_THV_51/catpn_1_THV_51),0)</f>
        <v>0</v>
      </c>
      <c r="H27" s="36">
        <f>IF(AND(catpn_1_THB_1&gt;0,catpn_1_THV_51&gt;0),(catdw_1_THB_1*((dagenperjaar1*VLOOKUP(B27,dagsoorttabel1,2,FALSE))-catfd_1_THV_51)/catpn_1_THB_1+catdw_1_THV_51*catfd_1_THV_51/catpn_1_THV_51)/(((dagenperjaar1*VLOOKUP(B27,dagsoorttabel1,2,FALSE))-catfd_1_THV_51)/catpn_1_THB_1+catfd_1_THV_51/catpn_1_THV_51),0)</f>
        <v>0</v>
      </c>
      <c r="I27" s="20" t="s">
        <v>34</v>
      </c>
      <c r="J27" s="37">
        <f>IF(AND(catpn_1_THB_1&gt;0,catpn_1_THV_51&gt;0),(cattf_1_THB_1*((dagenperjaar1*VLOOKUP(B27,dagsoorttabel1,2,FALSE))-catfd_1_THV_51)/catpn_1_THB_1+cattf_1_THV_51*catfd_1_THV_51/catpn_1_THV_51)/(((dagenperjaar1*VLOOKUP(B27,dagsoorttabel1,2,FALSE))-catfd_1_THV_51)/catpn_1_THB_1+catfd_1_THV_51/catpn_1_THV_51)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157</v>
      </c>
      <c r="B28" s="20" t="s">
        <v>10</v>
      </c>
      <c r="C28" s="20" t="s">
        <v>121</v>
      </c>
      <c r="D28" s="20" t="s">
        <v>158</v>
      </c>
      <c r="E28" s="34">
        <v>460.49999999999994</v>
      </c>
      <c r="F28" s="34">
        <f t="shared" si="0"/>
        <v>460.49999999999994</v>
      </c>
      <c r="G28" s="35">
        <f>IF(AND(catpn_1_VHB_1&gt;0,catpn_1_VHV_51&gt;0),(dagenperjaar1*VLOOKUP(B28,dagsoorttabel1,2,FALSE))/(((dagenperjaar1*VLOOKUP(B28,dagsoorttabel1,2,FALSE))-catfd_1_VHV_51)/catpn_1_VHB_1+catfd_1_VHV_51/catpn_1_VHV_51),0)</f>
        <v>0</v>
      </c>
      <c r="H28" s="36">
        <f>IF(AND(catpn_1_VHB_1&gt;0,catpn_1_VHV_51&gt;0),(catdw_1_VHB_1*((dagenperjaar1*VLOOKUP(B28,dagsoorttabel1,2,FALSE))-catfd_1_VHV_51)/catpn_1_VHB_1+catdw_1_VHV_51*catfd_1_VHV_51/catpn_1_VHV_51)/(((dagenperjaar1*VLOOKUP(B28,dagsoorttabel1,2,FALSE))-catfd_1_VHV_51)/catpn_1_VHB_1+catfd_1_VHV_51/catpn_1_VHV_51),0)</f>
        <v>0</v>
      </c>
      <c r="I28" s="20" t="s">
        <v>34</v>
      </c>
      <c r="J28" s="37">
        <f>IF(AND(catpn_1_VHB_1&gt;0,catpn_1_VHV_51&gt;0),(cattf_1_VHB_1*((dagenperjaar1*VLOOKUP(B28,dagsoorttabel1,2,FALSE))-catfd_1_VHV_51)/catpn_1_VHB_1+cattf_1_VHV_51*catfd_1_VHV_51/catpn_1_VHV_51)/(((dagenperjaar1*VLOOKUP(B28,dagsoorttabel1,2,FALSE))-catfd_1_VHV_51)/catpn_1_VHB_1+catfd_1_VHV_51/catpn_1_VHV_51)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159</v>
      </c>
      <c r="B29" s="20" t="s">
        <v>10</v>
      </c>
      <c r="C29" s="20" t="s">
        <v>121</v>
      </c>
      <c r="D29" s="20" t="s">
        <v>160</v>
      </c>
      <c r="E29" s="34">
        <v>570</v>
      </c>
      <c r="F29" s="34">
        <f t="shared" si="0"/>
        <v>570</v>
      </c>
      <c r="G29" s="35">
        <f>IF(AND(catpn_1_VZB_1&gt;0,catpn_1_VZV_51&gt;0),(dagenperjaar1*VLOOKUP(B29,dagsoorttabel1,2,FALSE))/(((dagenperjaar1*VLOOKUP(B29,dagsoorttabel1,2,FALSE))-catfd_1_VZV_51)/catpn_1_VZB_1+catfd_1_VZV_51/catpn_1_VZV_51),0)</f>
        <v>0</v>
      </c>
      <c r="H29" s="36">
        <f>IF(AND(catpn_1_VZB_1&gt;0,catpn_1_VZV_51&gt;0),(catdw_1_VZB_1*((dagenperjaar1*VLOOKUP(B29,dagsoorttabel1,2,FALSE))-catfd_1_VZV_51)/catpn_1_VZB_1+catdw_1_VZV_51*catfd_1_VZV_51/catpn_1_VZV_51)/(((dagenperjaar1*VLOOKUP(B29,dagsoorttabel1,2,FALSE))-catfd_1_VZV_51)/catpn_1_VZB_1+catfd_1_VZV_51/catpn_1_VZV_51),0)</f>
        <v>0</v>
      </c>
      <c r="I29" s="20" t="s">
        <v>34</v>
      </c>
      <c r="J29" s="37">
        <f>IF(AND(catpn_1_VZB_1&gt;0,catpn_1_VZV_51&gt;0),(cattf_1_VZB_1*((dagenperjaar1*VLOOKUP(B29,dagsoorttabel1,2,FALSE))-catfd_1_VZV_51)/catpn_1_VZB_1+cattf_1_VZV_51*catfd_1_VZV_51/catpn_1_VZV_51)/(((dagenperjaar1*VLOOKUP(B29,dagsoorttabel1,2,FALSE))-catfd_1_VZV_51)/catpn_1_VZB_1+catfd_1_VZV_51/catpn_1_VZV_51)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161</v>
      </c>
      <c r="B30" s="20" t="s">
        <v>21</v>
      </c>
      <c r="C30" s="20" t="s">
        <v>162</v>
      </c>
      <c r="D30" s="20" t="s">
        <v>163</v>
      </c>
      <c r="E30" s="34">
        <v>77.3</v>
      </c>
      <c r="F30" s="34">
        <f t="shared" si="0"/>
        <v>0.30313725490196075</v>
      </c>
      <c r="G30" s="35">
        <f>catpn_1_XBB_1</f>
        <v>0</v>
      </c>
      <c r="H30" s="36">
        <f>catdw_1_XBB_1</f>
        <v>0</v>
      </c>
      <c r="I30" s="20" t="s">
        <v>34</v>
      </c>
      <c r="J30" s="37">
        <f>cattf_1_XBB_1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164</v>
      </c>
      <c r="B31" s="20" t="s">
        <v>20</v>
      </c>
      <c r="C31" s="20" t="s">
        <v>162</v>
      </c>
      <c r="D31" s="20" t="s">
        <v>165</v>
      </c>
      <c r="E31" s="34">
        <v>80.7</v>
      </c>
      <c r="F31" s="34">
        <f t="shared" si="0"/>
        <v>0.63294117647058823</v>
      </c>
      <c r="G31" s="38"/>
      <c r="H31" s="23"/>
      <c r="I31" s="20" t="s">
        <v>34</v>
      </c>
      <c r="J31" s="24"/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5" t="s">
        <v>166</v>
      </c>
      <c r="B32" s="25" t="s">
        <v>14</v>
      </c>
      <c r="C32" s="25" t="s">
        <v>167</v>
      </c>
      <c r="D32" s="25" t="s">
        <v>168</v>
      </c>
      <c r="E32" s="39">
        <v>4</v>
      </c>
      <c r="F32" s="39">
        <f t="shared" si="0"/>
        <v>0.8</v>
      </c>
      <c r="G32" s="40"/>
      <c r="H32" s="28"/>
      <c r="I32" s="25" t="s">
        <v>169</v>
      </c>
      <c r="J32" s="29"/>
      <c r="K32" s="39">
        <f>F32*ROUND(G32,4)/60</f>
        <v>0</v>
      </c>
      <c r="L32" s="41">
        <f t="shared" si="2"/>
        <v>0</v>
      </c>
      <c r="M32" s="39">
        <f t="shared" si="3"/>
        <v>0</v>
      </c>
      <c r="N32" s="41">
        <f t="shared" si="4"/>
        <v>0</v>
      </c>
    </row>
    <row r="33" spans="1:14" x14ac:dyDescent="0.2">
      <c r="A33" s="43" t="s">
        <v>170</v>
      </c>
      <c r="B33" s="44"/>
      <c r="C33" s="44"/>
      <c r="D33" s="44"/>
      <c r="E33" s="44"/>
      <c r="F33" s="44"/>
      <c r="G33" s="44"/>
      <c r="H33" s="44"/>
      <c r="I33" s="44"/>
      <c r="J33" s="44"/>
      <c r="K33" s="45">
        <f>SUM(K6:K32)</f>
        <v>0</v>
      </c>
      <c r="L33" s="46">
        <f>SUM(L6:L32)</f>
        <v>0</v>
      </c>
      <c r="M33" s="45">
        <f>SUM(M6:M32)</f>
        <v>0</v>
      </c>
      <c r="N33" s="47">
        <f>SUM(N6:N32)</f>
        <v>0</v>
      </c>
    </row>
    <row r="34" spans="1:14" x14ac:dyDescent="0.2">
      <c r="A34" s="48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9"/>
    </row>
    <row r="35" spans="1:14" x14ac:dyDescent="0.2">
      <c r="A35" s="43" t="s">
        <v>171</v>
      </c>
      <c r="B35" s="44"/>
      <c r="C35" s="44"/>
      <c r="D35" s="44"/>
      <c r="E35" s="44"/>
      <c r="F35" s="44"/>
      <c r="G35" s="44"/>
      <c r="H35" s="44"/>
      <c r="I35" s="44"/>
      <c r="J35" s="46">
        <f>IF(urenjaar1&gt;0,SUMIF(M6:M32,"&gt;0",N6:N32)/urenjaar1,0)</f>
        <v>0</v>
      </c>
      <c r="K35" s="44"/>
      <c r="L35" s="44"/>
      <c r="M35" s="44"/>
      <c r="N35" s="49"/>
    </row>
    <row r="36" spans="1:14" x14ac:dyDescent="0.2">
      <c r="A36" s="48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9"/>
    </row>
    <row r="38" spans="1:14" x14ac:dyDescent="0.2">
      <c r="A38" s="43" t="s">
        <v>172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>
        <f>urenjaar1</f>
        <v>0</v>
      </c>
      <c r="N38" s="46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26FE-0C77-431C-97A7-048890C2224E}">
  <dimension ref="A1:U17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H1.3: ",tabeltype," ruimten werkdag")</f>
        <v>Bijlage H1.3: Invultabel ruimten werkdag</v>
      </c>
    </row>
    <row r="3" spans="1:21" ht="38.25" x14ac:dyDescent="0.2">
      <c r="A3" s="50" t="s">
        <v>173</v>
      </c>
      <c r="B3" s="8" t="s">
        <v>174</v>
      </c>
      <c r="C3" s="8" t="s">
        <v>175</v>
      </c>
      <c r="D3" s="8" t="s">
        <v>176</v>
      </c>
      <c r="E3" s="8" t="s">
        <v>177</v>
      </c>
      <c r="F3" s="8" t="s">
        <v>178</v>
      </c>
      <c r="G3" s="8" t="s">
        <v>112</v>
      </c>
      <c r="H3" s="8" t="s">
        <v>8</v>
      </c>
      <c r="I3" s="8" t="s">
        <v>179</v>
      </c>
      <c r="J3" s="8" t="s">
        <v>180</v>
      </c>
      <c r="K3" s="8" t="s">
        <v>114</v>
      </c>
      <c r="L3" s="8" t="s">
        <v>115</v>
      </c>
      <c r="M3" s="8" t="s">
        <v>26</v>
      </c>
      <c r="N3" s="8" t="s">
        <v>27</v>
      </c>
      <c r="O3" s="8" t="s">
        <v>28</v>
      </c>
      <c r="P3" s="8" t="s">
        <v>29</v>
      </c>
      <c r="Q3" s="8" t="s">
        <v>116</v>
      </c>
      <c r="R3" s="8" t="s">
        <v>181</v>
      </c>
      <c r="S3" s="8" t="s">
        <v>117</v>
      </c>
      <c r="T3" s="8" t="s">
        <v>118</v>
      </c>
      <c r="U3" s="51" t="s">
        <v>119</v>
      </c>
    </row>
    <row r="4" spans="1:21" x14ac:dyDescent="0.2">
      <c r="A4" s="52" t="s">
        <v>182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183</v>
      </c>
      <c r="B5" s="54" t="s">
        <v>184</v>
      </c>
      <c r="C5" s="54" t="s">
        <v>185</v>
      </c>
      <c r="D5" s="54" t="s">
        <v>186</v>
      </c>
      <c r="E5" s="55" t="s">
        <v>187</v>
      </c>
      <c r="F5" s="54" t="s">
        <v>188</v>
      </c>
      <c r="G5" s="54" t="s">
        <v>127</v>
      </c>
      <c r="H5" s="54" t="s">
        <v>13</v>
      </c>
      <c r="I5" s="54" t="s">
        <v>121</v>
      </c>
      <c r="J5" s="54"/>
      <c r="K5" s="56">
        <v>39.700000000000003</v>
      </c>
      <c r="L5" s="56">
        <f t="shared" ref="L5:L36" si="0">K5*VLOOKUP(H5,dagsoorttabel1,2,FALSE)</f>
        <v>15.880000000000003</v>
      </c>
      <c r="M5" s="57">
        <f>prodnorm12</f>
        <v>0</v>
      </c>
      <c r="N5" s="58">
        <f>dagwerk12</f>
        <v>0</v>
      </c>
      <c r="O5" s="54" t="s">
        <v>34</v>
      </c>
      <c r="P5" s="59">
        <f>uurtarief12</f>
        <v>0</v>
      </c>
      <c r="Q5" s="56" t="e">
        <f t="shared" ref="Q5:Q36" si="1">IF(ISBLANK(M5),0,L5/ROUND(M5,4))</f>
        <v>#DIV/0!</v>
      </c>
      <c r="R5" s="56" t="e">
        <f t="shared" ref="R5:R36" si="2">IF(ISBLANK(M5),0,Q5*ROUND(N5,2))</f>
        <v>#DIV/0!</v>
      </c>
      <c r="S5" s="59" t="e">
        <f t="shared" ref="S5:S36" si="3">ROUND(P5,2)*Q5</f>
        <v>#DIV/0!</v>
      </c>
      <c r="T5" s="56" t="e">
        <f t="shared" ref="T5:T36" si="4">Q5*dagenperjaar1</f>
        <v>#DIV/0!</v>
      </c>
      <c r="U5" s="60" t="e">
        <f t="shared" ref="U5:U36" si="5">T5*ROUND(P5,2)</f>
        <v>#DIV/0!</v>
      </c>
    </row>
    <row r="6" spans="1:21" x14ac:dyDescent="0.2">
      <c r="A6" s="61" t="s">
        <v>183</v>
      </c>
      <c r="B6" s="62" t="s">
        <v>184</v>
      </c>
      <c r="C6" s="62" t="s">
        <v>185</v>
      </c>
      <c r="D6" s="62" t="s">
        <v>189</v>
      </c>
      <c r="E6" s="63" t="s">
        <v>190</v>
      </c>
      <c r="F6" s="62" t="s">
        <v>188</v>
      </c>
      <c r="G6" s="62" t="s">
        <v>127</v>
      </c>
      <c r="H6" s="62" t="s">
        <v>13</v>
      </c>
      <c r="I6" s="62" t="s">
        <v>121</v>
      </c>
      <c r="J6" s="62"/>
      <c r="K6" s="64">
        <v>23.3</v>
      </c>
      <c r="L6" s="64">
        <f t="shared" si="0"/>
        <v>9.32</v>
      </c>
      <c r="M6" s="65">
        <f>prodnorm12</f>
        <v>0</v>
      </c>
      <c r="N6" s="66">
        <f>dagwerk12</f>
        <v>0</v>
      </c>
      <c r="O6" s="62" t="s">
        <v>34</v>
      </c>
      <c r="P6" s="67">
        <f>uurtarief12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183</v>
      </c>
      <c r="B7" s="62" t="s">
        <v>184</v>
      </c>
      <c r="C7" s="62" t="s">
        <v>185</v>
      </c>
      <c r="D7" s="62" t="s">
        <v>191</v>
      </c>
      <c r="E7" s="63" t="s">
        <v>192</v>
      </c>
      <c r="F7" s="62" t="s">
        <v>188</v>
      </c>
      <c r="G7" s="62" t="s">
        <v>127</v>
      </c>
      <c r="H7" s="62" t="s">
        <v>13</v>
      </c>
      <c r="I7" s="62" t="s">
        <v>121</v>
      </c>
      <c r="J7" s="62"/>
      <c r="K7" s="64">
        <v>70.8</v>
      </c>
      <c r="L7" s="64">
        <f t="shared" si="0"/>
        <v>28.32</v>
      </c>
      <c r="M7" s="65">
        <f>prodnorm12</f>
        <v>0</v>
      </c>
      <c r="N7" s="66">
        <f>dagwerk12</f>
        <v>0</v>
      </c>
      <c r="O7" s="62" t="s">
        <v>34</v>
      </c>
      <c r="P7" s="67">
        <f>uurtarief12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183</v>
      </c>
      <c r="B8" s="62" t="s">
        <v>184</v>
      </c>
      <c r="C8" s="62" t="s">
        <v>185</v>
      </c>
      <c r="D8" s="62" t="s">
        <v>193</v>
      </c>
      <c r="E8" s="63" t="s">
        <v>194</v>
      </c>
      <c r="F8" s="62" t="s">
        <v>188</v>
      </c>
      <c r="G8" s="62" t="s">
        <v>123</v>
      </c>
      <c r="H8" s="62" t="s">
        <v>21</v>
      </c>
      <c r="I8" s="62" t="s">
        <v>121</v>
      </c>
      <c r="J8" s="62"/>
      <c r="K8" s="64">
        <v>62.2</v>
      </c>
      <c r="L8" s="64">
        <f t="shared" si="0"/>
        <v>0.24392156862745099</v>
      </c>
      <c r="M8" s="65">
        <f>prodnorm9</f>
        <v>0</v>
      </c>
      <c r="N8" s="66">
        <f>dagwerk9</f>
        <v>0</v>
      </c>
      <c r="O8" s="62" t="s">
        <v>34</v>
      </c>
      <c r="P8" s="67">
        <f>uurtarief9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183</v>
      </c>
      <c r="B9" s="62" t="s">
        <v>184</v>
      </c>
      <c r="C9" s="62" t="s">
        <v>185</v>
      </c>
      <c r="D9" s="62" t="s">
        <v>195</v>
      </c>
      <c r="E9" s="63" t="s">
        <v>192</v>
      </c>
      <c r="F9" s="62" t="s">
        <v>188</v>
      </c>
      <c r="G9" s="62" t="s">
        <v>127</v>
      </c>
      <c r="H9" s="62" t="s">
        <v>13</v>
      </c>
      <c r="I9" s="62" t="s">
        <v>121</v>
      </c>
      <c r="J9" s="62"/>
      <c r="K9" s="64">
        <v>50.4</v>
      </c>
      <c r="L9" s="64">
        <f t="shared" si="0"/>
        <v>20.16</v>
      </c>
      <c r="M9" s="65">
        <f>prodnorm12</f>
        <v>0</v>
      </c>
      <c r="N9" s="66">
        <f>dagwerk12</f>
        <v>0</v>
      </c>
      <c r="O9" s="62" t="s">
        <v>34</v>
      </c>
      <c r="P9" s="67">
        <f>uurtarief12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183</v>
      </c>
      <c r="B10" s="62" t="s">
        <v>184</v>
      </c>
      <c r="C10" s="62" t="s">
        <v>185</v>
      </c>
      <c r="D10" s="62" t="s">
        <v>196</v>
      </c>
      <c r="E10" s="63" t="s">
        <v>197</v>
      </c>
      <c r="F10" s="62" t="s">
        <v>198</v>
      </c>
      <c r="G10" s="62" t="s">
        <v>131</v>
      </c>
      <c r="H10" s="62" t="s">
        <v>10</v>
      </c>
      <c r="I10" s="62" t="s">
        <v>121</v>
      </c>
      <c r="J10" s="62"/>
      <c r="K10" s="64">
        <v>3.6</v>
      </c>
      <c r="L10" s="64">
        <f t="shared" si="0"/>
        <v>3.6</v>
      </c>
      <c r="M10" s="65">
        <f>prodnorm15</f>
        <v>0</v>
      </c>
      <c r="N10" s="66">
        <f>dagwerk15</f>
        <v>0</v>
      </c>
      <c r="O10" s="62" t="s">
        <v>34</v>
      </c>
      <c r="P10" s="67">
        <f>uurtarief15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183</v>
      </c>
      <c r="B11" s="62" t="s">
        <v>184</v>
      </c>
      <c r="C11" s="62" t="s">
        <v>185</v>
      </c>
      <c r="D11" s="62" t="s">
        <v>199</v>
      </c>
      <c r="E11" s="63" t="s">
        <v>200</v>
      </c>
      <c r="F11" s="62" t="s">
        <v>198</v>
      </c>
      <c r="G11" s="62" t="s">
        <v>131</v>
      </c>
      <c r="H11" s="62" t="s">
        <v>10</v>
      </c>
      <c r="I11" s="62" t="s">
        <v>121</v>
      </c>
      <c r="J11" s="62"/>
      <c r="K11" s="64">
        <v>3.6</v>
      </c>
      <c r="L11" s="64">
        <f t="shared" si="0"/>
        <v>3.6</v>
      </c>
      <c r="M11" s="65">
        <f>prodnorm15</f>
        <v>0</v>
      </c>
      <c r="N11" s="66">
        <f>dagwerk15</f>
        <v>0</v>
      </c>
      <c r="O11" s="62" t="s">
        <v>34</v>
      </c>
      <c r="P11" s="67">
        <f>uurtarief15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183</v>
      </c>
      <c r="B12" s="62" t="s">
        <v>184</v>
      </c>
      <c r="C12" s="62" t="s">
        <v>185</v>
      </c>
      <c r="D12" s="62" t="s">
        <v>201</v>
      </c>
      <c r="E12" s="63" t="s">
        <v>202</v>
      </c>
      <c r="F12" s="62" t="s">
        <v>188</v>
      </c>
      <c r="G12" s="62" t="s">
        <v>135</v>
      </c>
      <c r="H12" s="62" t="s">
        <v>10</v>
      </c>
      <c r="I12" s="62" t="s">
        <v>121</v>
      </c>
      <c r="J12" s="62"/>
      <c r="K12" s="64">
        <v>5.8</v>
      </c>
      <c r="L12" s="64">
        <f t="shared" si="0"/>
        <v>5.8</v>
      </c>
      <c r="M12" s="65">
        <f>prodnorm17</f>
        <v>0</v>
      </c>
      <c r="N12" s="66">
        <f>dagwerk17</f>
        <v>0</v>
      </c>
      <c r="O12" s="62" t="s">
        <v>34</v>
      </c>
      <c r="P12" s="67">
        <f>uurtarief17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183</v>
      </c>
      <c r="B13" s="62" t="s">
        <v>184</v>
      </c>
      <c r="C13" s="62" t="s">
        <v>185</v>
      </c>
      <c r="D13" s="62" t="s">
        <v>203</v>
      </c>
      <c r="E13" s="63" t="s">
        <v>202</v>
      </c>
      <c r="F13" s="62" t="s">
        <v>204</v>
      </c>
      <c r="G13" s="62" t="s">
        <v>135</v>
      </c>
      <c r="H13" s="62" t="s">
        <v>10</v>
      </c>
      <c r="I13" s="62" t="s">
        <v>121</v>
      </c>
      <c r="J13" s="62"/>
      <c r="K13" s="64">
        <v>2</v>
      </c>
      <c r="L13" s="64">
        <f t="shared" si="0"/>
        <v>2</v>
      </c>
      <c r="M13" s="65">
        <f>prodnorm17</f>
        <v>0</v>
      </c>
      <c r="N13" s="66">
        <f>dagwerk17</f>
        <v>0</v>
      </c>
      <c r="O13" s="62" t="s">
        <v>34</v>
      </c>
      <c r="P13" s="67">
        <f>uurtarief17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183</v>
      </c>
      <c r="B14" s="62" t="s">
        <v>184</v>
      </c>
      <c r="C14" s="62" t="s">
        <v>185</v>
      </c>
      <c r="D14" s="62" t="s">
        <v>205</v>
      </c>
      <c r="E14" s="63" t="s">
        <v>206</v>
      </c>
      <c r="F14" s="62" t="s">
        <v>188</v>
      </c>
      <c r="G14" s="62" t="s">
        <v>159</v>
      </c>
      <c r="H14" s="62" t="s">
        <v>10</v>
      </c>
      <c r="I14" s="62" t="s">
        <v>121</v>
      </c>
      <c r="J14" s="62"/>
      <c r="K14" s="64">
        <v>7.8</v>
      </c>
      <c r="L14" s="64">
        <f t="shared" si="0"/>
        <v>7.8</v>
      </c>
      <c r="M14" s="65">
        <f>prodnorm30</f>
        <v>0</v>
      </c>
      <c r="N14" s="66">
        <f>dagwerk30</f>
        <v>0</v>
      </c>
      <c r="O14" s="62" t="s">
        <v>34</v>
      </c>
      <c r="P14" s="67">
        <f>uurtarief30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183</v>
      </c>
      <c r="B15" s="62" t="s">
        <v>184</v>
      </c>
      <c r="C15" s="62" t="s">
        <v>185</v>
      </c>
      <c r="D15" s="62" t="s">
        <v>207</v>
      </c>
      <c r="E15" s="63" t="s">
        <v>190</v>
      </c>
      <c r="F15" s="62" t="s">
        <v>188</v>
      </c>
      <c r="G15" s="62" t="s">
        <v>127</v>
      </c>
      <c r="H15" s="62" t="s">
        <v>13</v>
      </c>
      <c r="I15" s="62" t="s">
        <v>121</v>
      </c>
      <c r="J15" s="62"/>
      <c r="K15" s="64">
        <v>18.7</v>
      </c>
      <c r="L15" s="64">
        <f t="shared" si="0"/>
        <v>7.48</v>
      </c>
      <c r="M15" s="65">
        <f>prodnorm12</f>
        <v>0</v>
      </c>
      <c r="N15" s="66">
        <f>dagwerk12</f>
        <v>0</v>
      </c>
      <c r="O15" s="62" t="s">
        <v>34</v>
      </c>
      <c r="P15" s="67">
        <f>uurtarief12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183</v>
      </c>
      <c r="B16" s="62" t="s">
        <v>184</v>
      </c>
      <c r="C16" s="62" t="s">
        <v>185</v>
      </c>
      <c r="D16" s="62" t="s">
        <v>208</v>
      </c>
      <c r="E16" s="63" t="s">
        <v>209</v>
      </c>
      <c r="F16" s="62" t="s">
        <v>188</v>
      </c>
      <c r="G16" s="62" t="s">
        <v>159</v>
      </c>
      <c r="H16" s="62" t="s">
        <v>10</v>
      </c>
      <c r="I16" s="62" t="s">
        <v>121</v>
      </c>
      <c r="J16" s="62"/>
      <c r="K16" s="64">
        <v>21.2</v>
      </c>
      <c r="L16" s="64">
        <f t="shared" si="0"/>
        <v>21.2</v>
      </c>
      <c r="M16" s="65">
        <f>prodnorm30</f>
        <v>0</v>
      </c>
      <c r="N16" s="66">
        <f>dagwerk30</f>
        <v>0</v>
      </c>
      <c r="O16" s="62" t="s">
        <v>34</v>
      </c>
      <c r="P16" s="67">
        <f>uurtarief30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183</v>
      </c>
      <c r="B17" s="62" t="s">
        <v>184</v>
      </c>
      <c r="C17" s="62" t="s">
        <v>185</v>
      </c>
      <c r="D17" s="62" t="s">
        <v>210</v>
      </c>
      <c r="E17" s="63" t="s">
        <v>211</v>
      </c>
      <c r="F17" s="62" t="s">
        <v>188</v>
      </c>
      <c r="G17" s="62" t="s">
        <v>127</v>
      </c>
      <c r="H17" s="62" t="s">
        <v>13</v>
      </c>
      <c r="I17" s="62" t="s">
        <v>121</v>
      </c>
      <c r="J17" s="62"/>
      <c r="K17" s="64">
        <v>26.3</v>
      </c>
      <c r="L17" s="64">
        <f t="shared" si="0"/>
        <v>10.520000000000001</v>
      </c>
      <c r="M17" s="65">
        <f>prodnorm12</f>
        <v>0</v>
      </c>
      <c r="N17" s="66">
        <f>dagwerk12</f>
        <v>0</v>
      </c>
      <c r="O17" s="62" t="s">
        <v>34</v>
      </c>
      <c r="P17" s="67">
        <f>uurtarief12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183</v>
      </c>
      <c r="B18" s="62" t="s">
        <v>184</v>
      </c>
      <c r="C18" s="62" t="s">
        <v>185</v>
      </c>
      <c r="D18" s="62" t="s">
        <v>212</v>
      </c>
      <c r="E18" s="63" t="s">
        <v>213</v>
      </c>
      <c r="F18" s="62" t="s">
        <v>188</v>
      </c>
      <c r="G18" s="62" t="s">
        <v>123</v>
      </c>
      <c r="H18" s="62" t="s">
        <v>16</v>
      </c>
      <c r="I18" s="62" t="s">
        <v>121</v>
      </c>
      <c r="J18" s="62"/>
      <c r="K18" s="64">
        <v>9.4</v>
      </c>
      <c r="L18" s="64">
        <f t="shared" si="0"/>
        <v>0.44235294117647062</v>
      </c>
      <c r="M18" s="65">
        <f>prodnorm8</f>
        <v>0</v>
      </c>
      <c r="N18" s="66">
        <f>dagwerk8</f>
        <v>0</v>
      </c>
      <c r="O18" s="62" t="s">
        <v>34</v>
      </c>
      <c r="P18" s="67">
        <f>uurtarief8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183</v>
      </c>
      <c r="B19" s="62" t="s">
        <v>184</v>
      </c>
      <c r="C19" s="62" t="s">
        <v>185</v>
      </c>
      <c r="D19" s="62" t="s">
        <v>214</v>
      </c>
      <c r="E19" s="63" t="s">
        <v>215</v>
      </c>
      <c r="F19" s="62" t="s">
        <v>188</v>
      </c>
      <c r="G19" s="62" t="s">
        <v>145</v>
      </c>
      <c r="H19" s="62" t="s">
        <v>10</v>
      </c>
      <c r="I19" s="62" t="s">
        <v>121</v>
      </c>
      <c r="J19" s="62"/>
      <c r="K19" s="64">
        <v>7.5</v>
      </c>
      <c r="L19" s="64">
        <f t="shared" si="0"/>
        <v>7.5</v>
      </c>
      <c r="M19" s="65">
        <f>prodnorm23</f>
        <v>0</v>
      </c>
      <c r="N19" s="66">
        <f>dagwerk23</f>
        <v>0</v>
      </c>
      <c r="O19" s="62" t="s">
        <v>34</v>
      </c>
      <c r="P19" s="67">
        <f>uurtarief23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183</v>
      </c>
      <c r="B20" s="62" t="s">
        <v>184</v>
      </c>
      <c r="C20" s="62" t="s">
        <v>185</v>
      </c>
      <c r="D20" s="62" t="s">
        <v>216</v>
      </c>
      <c r="E20" s="63" t="s">
        <v>211</v>
      </c>
      <c r="F20" s="62" t="s">
        <v>188</v>
      </c>
      <c r="G20" s="62" t="s">
        <v>127</v>
      </c>
      <c r="H20" s="62" t="s">
        <v>13</v>
      </c>
      <c r="I20" s="62" t="s">
        <v>121</v>
      </c>
      <c r="J20" s="62"/>
      <c r="K20" s="64">
        <v>54</v>
      </c>
      <c r="L20" s="64">
        <f t="shared" si="0"/>
        <v>21.6</v>
      </c>
      <c r="M20" s="65">
        <f>prodnorm12</f>
        <v>0</v>
      </c>
      <c r="N20" s="66">
        <f>dagwerk12</f>
        <v>0</v>
      </c>
      <c r="O20" s="62" t="s">
        <v>34</v>
      </c>
      <c r="P20" s="67">
        <f>uurtarief12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183</v>
      </c>
      <c r="B21" s="62" t="s">
        <v>184</v>
      </c>
      <c r="C21" s="62" t="s">
        <v>185</v>
      </c>
      <c r="D21" s="62" t="s">
        <v>217</v>
      </c>
      <c r="E21" s="63" t="s">
        <v>211</v>
      </c>
      <c r="F21" s="62" t="s">
        <v>188</v>
      </c>
      <c r="G21" s="62" t="s">
        <v>127</v>
      </c>
      <c r="H21" s="62" t="s">
        <v>13</v>
      </c>
      <c r="I21" s="62" t="s">
        <v>121</v>
      </c>
      <c r="J21" s="62"/>
      <c r="K21" s="64">
        <v>60.6</v>
      </c>
      <c r="L21" s="64">
        <f t="shared" si="0"/>
        <v>24.240000000000002</v>
      </c>
      <c r="M21" s="65">
        <f>prodnorm12</f>
        <v>0</v>
      </c>
      <c r="N21" s="66">
        <f>dagwerk12</f>
        <v>0</v>
      </c>
      <c r="O21" s="62" t="s">
        <v>34</v>
      </c>
      <c r="P21" s="67">
        <f>uurtarief12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183</v>
      </c>
      <c r="B22" s="62" t="s">
        <v>184</v>
      </c>
      <c r="C22" s="62" t="s">
        <v>185</v>
      </c>
      <c r="D22" s="62" t="s">
        <v>218</v>
      </c>
      <c r="E22" s="63" t="s">
        <v>219</v>
      </c>
      <c r="F22" s="62" t="s">
        <v>198</v>
      </c>
      <c r="G22" s="62" t="s">
        <v>125</v>
      </c>
      <c r="H22" s="62" t="s">
        <v>13</v>
      </c>
      <c r="I22" s="62" t="s">
        <v>121</v>
      </c>
      <c r="J22" s="62"/>
      <c r="K22" s="64">
        <v>3.2</v>
      </c>
      <c r="L22" s="64">
        <f t="shared" si="0"/>
        <v>1.2800000000000002</v>
      </c>
      <c r="M22" s="65">
        <f>prodnorm10</f>
        <v>0</v>
      </c>
      <c r="N22" s="66">
        <f>dagwerk10</f>
        <v>0</v>
      </c>
      <c r="O22" s="62" t="s">
        <v>34</v>
      </c>
      <c r="P22" s="67">
        <f>uurtarief10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183</v>
      </c>
      <c r="B23" s="62" t="s">
        <v>184</v>
      </c>
      <c r="C23" s="62" t="s">
        <v>185</v>
      </c>
      <c r="D23" s="62" t="s">
        <v>220</v>
      </c>
      <c r="E23" s="63" t="s">
        <v>221</v>
      </c>
      <c r="F23" s="62" t="s">
        <v>198</v>
      </c>
      <c r="G23" s="62" t="s">
        <v>137</v>
      </c>
      <c r="H23" s="62" t="s">
        <v>10</v>
      </c>
      <c r="I23" s="62" t="s">
        <v>121</v>
      </c>
      <c r="J23" s="62"/>
      <c r="K23" s="64">
        <v>4</v>
      </c>
      <c r="L23" s="64">
        <f t="shared" si="0"/>
        <v>4</v>
      </c>
      <c r="M23" s="65">
        <f>prodnorm18</f>
        <v>0</v>
      </c>
      <c r="N23" s="66">
        <f>dagwerk18</f>
        <v>0</v>
      </c>
      <c r="O23" s="62" t="s">
        <v>34</v>
      </c>
      <c r="P23" s="67">
        <f>uurtarief18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183</v>
      </c>
      <c r="B24" s="62" t="s">
        <v>184</v>
      </c>
      <c r="C24" s="62" t="s">
        <v>185</v>
      </c>
      <c r="D24" s="62" t="s">
        <v>222</v>
      </c>
      <c r="E24" s="63" t="s">
        <v>223</v>
      </c>
      <c r="F24" s="62" t="s">
        <v>188</v>
      </c>
      <c r="G24" s="62" t="s">
        <v>141</v>
      </c>
      <c r="H24" s="62" t="s">
        <v>11</v>
      </c>
      <c r="I24" s="62" t="s">
        <v>121</v>
      </c>
      <c r="J24" s="62"/>
      <c r="K24" s="64">
        <v>9.9</v>
      </c>
      <c r="L24" s="64">
        <f t="shared" si="0"/>
        <v>7.9200000000000008</v>
      </c>
      <c r="M24" s="65">
        <f>prodnorm20</f>
        <v>0</v>
      </c>
      <c r="N24" s="66">
        <f>dagwerk20</f>
        <v>0</v>
      </c>
      <c r="O24" s="62" t="s">
        <v>34</v>
      </c>
      <c r="P24" s="67">
        <f>uurtarief20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183</v>
      </c>
      <c r="B25" s="62" t="s">
        <v>184</v>
      </c>
      <c r="C25" s="62" t="s">
        <v>185</v>
      </c>
      <c r="D25" s="62" t="s">
        <v>224</v>
      </c>
      <c r="E25" s="63" t="s">
        <v>223</v>
      </c>
      <c r="F25" s="62" t="s">
        <v>188</v>
      </c>
      <c r="G25" s="62" t="s">
        <v>143</v>
      </c>
      <c r="H25" s="62" t="s">
        <v>11</v>
      </c>
      <c r="I25" s="62" t="s">
        <v>121</v>
      </c>
      <c r="J25" s="62"/>
      <c r="K25" s="64">
        <v>9.9</v>
      </c>
      <c r="L25" s="64">
        <f t="shared" si="0"/>
        <v>7.9200000000000008</v>
      </c>
      <c r="M25" s="65">
        <f>prodnorm22</f>
        <v>0</v>
      </c>
      <c r="N25" s="66">
        <f>dagwerk22</f>
        <v>0</v>
      </c>
      <c r="O25" s="62" t="s">
        <v>34</v>
      </c>
      <c r="P25" s="67">
        <f>uurtarief22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183</v>
      </c>
      <c r="B26" s="62" t="s">
        <v>184</v>
      </c>
      <c r="C26" s="62" t="s">
        <v>185</v>
      </c>
      <c r="D26" s="62" t="s">
        <v>225</v>
      </c>
      <c r="E26" s="63" t="s">
        <v>223</v>
      </c>
      <c r="F26" s="62" t="s">
        <v>188</v>
      </c>
      <c r="G26" s="62" t="s">
        <v>143</v>
      </c>
      <c r="H26" s="62" t="s">
        <v>11</v>
      </c>
      <c r="I26" s="62" t="s">
        <v>121</v>
      </c>
      <c r="J26" s="62"/>
      <c r="K26" s="64">
        <v>9.9</v>
      </c>
      <c r="L26" s="64">
        <f t="shared" si="0"/>
        <v>7.9200000000000008</v>
      </c>
      <c r="M26" s="65">
        <f>prodnorm22</f>
        <v>0</v>
      </c>
      <c r="N26" s="66">
        <f>dagwerk22</f>
        <v>0</v>
      </c>
      <c r="O26" s="62" t="s">
        <v>34</v>
      </c>
      <c r="P26" s="67">
        <f>uurtarief22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183</v>
      </c>
      <c r="B27" s="62" t="s">
        <v>184</v>
      </c>
      <c r="C27" s="62" t="s">
        <v>185</v>
      </c>
      <c r="D27" s="62" t="s">
        <v>226</v>
      </c>
      <c r="E27" s="63" t="s">
        <v>227</v>
      </c>
      <c r="F27" s="62" t="s">
        <v>188</v>
      </c>
      <c r="G27" s="62" t="s">
        <v>159</v>
      </c>
      <c r="H27" s="62" t="s">
        <v>10</v>
      </c>
      <c r="I27" s="62" t="s">
        <v>121</v>
      </c>
      <c r="J27" s="62"/>
      <c r="K27" s="64">
        <v>62</v>
      </c>
      <c r="L27" s="64">
        <f t="shared" si="0"/>
        <v>62</v>
      </c>
      <c r="M27" s="65">
        <f>prodnorm30</f>
        <v>0</v>
      </c>
      <c r="N27" s="66">
        <f>dagwerk30</f>
        <v>0</v>
      </c>
      <c r="O27" s="62" t="s">
        <v>34</v>
      </c>
      <c r="P27" s="67">
        <f>uurtarief30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183</v>
      </c>
      <c r="B28" s="62" t="s">
        <v>184</v>
      </c>
      <c r="C28" s="62" t="s">
        <v>185</v>
      </c>
      <c r="D28" s="62" t="s">
        <v>228</v>
      </c>
      <c r="E28" s="63" t="s">
        <v>229</v>
      </c>
      <c r="F28" s="62" t="s">
        <v>198</v>
      </c>
      <c r="G28" s="62" t="s">
        <v>153</v>
      </c>
      <c r="H28" s="62" t="s">
        <v>10</v>
      </c>
      <c r="I28" s="62" t="s">
        <v>121</v>
      </c>
      <c r="J28" s="62"/>
      <c r="K28" s="64">
        <v>3.2</v>
      </c>
      <c r="L28" s="64">
        <f t="shared" si="0"/>
        <v>3.2</v>
      </c>
      <c r="M28" s="65">
        <f>prodnorm27</f>
        <v>0</v>
      </c>
      <c r="N28" s="66">
        <f>dagwerk27</f>
        <v>0</v>
      </c>
      <c r="O28" s="62" t="s">
        <v>34</v>
      </c>
      <c r="P28" s="67">
        <f>uurtarief27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183</v>
      </c>
      <c r="B29" s="62" t="s">
        <v>184</v>
      </c>
      <c r="C29" s="62" t="s">
        <v>185</v>
      </c>
      <c r="D29" s="62" t="s">
        <v>230</v>
      </c>
      <c r="E29" s="63" t="s">
        <v>231</v>
      </c>
      <c r="F29" s="62" t="s">
        <v>198</v>
      </c>
      <c r="G29" s="62" t="s">
        <v>153</v>
      </c>
      <c r="H29" s="62" t="s">
        <v>10</v>
      </c>
      <c r="I29" s="62" t="s">
        <v>121</v>
      </c>
      <c r="J29" s="62"/>
      <c r="K29" s="64">
        <v>6.9</v>
      </c>
      <c r="L29" s="64">
        <f t="shared" si="0"/>
        <v>6.9</v>
      </c>
      <c r="M29" s="65">
        <f>prodnorm27</f>
        <v>0</v>
      </c>
      <c r="N29" s="66">
        <f>dagwerk27</f>
        <v>0</v>
      </c>
      <c r="O29" s="62" t="s">
        <v>34</v>
      </c>
      <c r="P29" s="67">
        <f>uurtarief27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183</v>
      </c>
      <c r="B30" s="62" t="s">
        <v>184</v>
      </c>
      <c r="C30" s="62" t="s">
        <v>185</v>
      </c>
      <c r="D30" s="62" t="s">
        <v>232</v>
      </c>
      <c r="E30" s="63" t="s">
        <v>231</v>
      </c>
      <c r="F30" s="62" t="s">
        <v>198</v>
      </c>
      <c r="G30" s="62" t="s">
        <v>153</v>
      </c>
      <c r="H30" s="62" t="s">
        <v>10</v>
      </c>
      <c r="I30" s="62" t="s">
        <v>121</v>
      </c>
      <c r="J30" s="62"/>
      <c r="K30" s="64">
        <v>6.9</v>
      </c>
      <c r="L30" s="64">
        <f t="shared" si="0"/>
        <v>6.9</v>
      </c>
      <c r="M30" s="65">
        <f>prodnorm27</f>
        <v>0</v>
      </c>
      <c r="N30" s="66">
        <f>dagwerk27</f>
        <v>0</v>
      </c>
      <c r="O30" s="62" t="s">
        <v>34</v>
      </c>
      <c r="P30" s="67">
        <f>uurtarief27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183</v>
      </c>
      <c r="B31" s="62" t="s">
        <v>184</v>
      </c>
      <c r="C31" s="62" t="s">
        <v>185</v>
      </c>
      <c r="D31" s="62" t="s">
        <v>233</v>
      </c>
      <c r="E31" s="63" t="s">
        <v>234</v>
      </c>
      <c r="F31" s="62" t="s">
        <v>188</v>
      </c>
      <c r="G31" s="62" t="s">
        <v>151</v>
      </c>
      <c r="H31" s="62" t="s">
        <v>10</v>
      </c>
      <c r="I31" s="62" t="s">
        <v>121</v>
      </c>
      <c r="J31" s="62"/>
      <c r="K31" s="64">
        <v>81</v>
      </c>
      <c r="L31" s="64">
        <f t="shared" si="0"/>
        <v>81</v>
      </c>
      <c r="M31" s="65">
        <f>prodnorm26</f>
        <v>0</v>
      </c>
      <c r="N31" s="66">
        <f>dagwerk26</f>
        <v>0</v>
      </c>
      <c r="O31" s="62" t="s">
        <v>34</v>
      </c>
      <c r="P31" s="67">
        <f>uurtarief26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183</v>
      </c>
      <c r="B32" s="62" t="s">
        <v>184</v>
      </c>
      <c r="C32" s="62" t="s">
        <v>185</v>
      </c>
      <c r="D32" s="62" t="s">
        <v>235</v>
      </c>
      <c r="E32" s="63" t="s">
        <v>236</v>
      </c>
      <c r="F32" s="62" t="s">
        <v>188</v>
      </c>
      <c r="G32" s="62" t="s">
        <v>143</v>
      </c>
      <c r="H32" s="62" t="s">
        <v>11</v>
      </c>
      <c r="I32" s="62" t="s">
        <v>121</v>
      </c>
      <c r="J32" s="62"/>
      <c r="K32" s="64">
        <v>26.5</v>
      </c>
      <c r="L32" s="64">
        <f t="shared" si="0"/>
        <v>21.200000000000003</v>
      </c>
      <c r="M32" s="65">
        <f>prodnorm22</f>
        <v>0</v>
      </c>
      <c r="N32" s="66">
        <f>dagwerk22</f>
        <v>0</v>
      </c>
      <c r="O32" s="62" t="s">
        <v>34</v>
      </c>
      <c r="P32" s="67">
        <f>uurtarief22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183</v>
      </c>
      <c r="B33" s="62" t="s">
        <v>184</v>
      </c>
      <c r="C33" s="62" t="s">
        <v>185</v>
      </c>
      <c r="D33" s="62" t="s">
        <v>237</v>
      </c>
      <c r="E33" s="63" t="s">
        <v>238</v>
      </c>
      <c r="F33" s="62" t="s">
        <v>188</v>
      </c>
      <c r="G33" s="62" t="s">
        <v>127</v>
      </c>
      <c r="H33" s="62" t="s">
        <v>13</v>
      </c>
      <c r="I33" s="62" t="s">
        <v>121</v>
      </c>
      <c r="J33" s="62"/>
      <c r="K33" s="64">
        <v>32.5</v>
      </c>
      <c r="L33" s="64">
        <f t="shared" si="0"/>
        <v>13</v>
      </c>
      <c r="M33" s="65">
        <f>prodnorm12</f>
        <v>0</v>
      </c>
      <c r="N33" s="66">
        <f>dagwerk12</f>
        <v>0</v>
      </c>
      <c r="O33" s="62" t="s">
        <v>34</v>
      </c>
      <c r="P33" s="67">
        <f>uurtarief12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183</v>
      </c>
      <c r="B34" s="62" t="s">
        <v>184</v>
      </c>
      <c r="C34" s="62" t="s">
        <v>185</v>
      </c>
      <c r="D34" s="62" t="s">
        <v>239</v>
      </c>
      <c r="E34" s="63" t="s">
        <v>240</v>
      </c>
      <c r="F34" s="62" t="s">
        <v>198</v>
      </c>
      <c r="G34" s="62" t="s">
        <v>157</v>
      </c>
      <c r="H34" s="62" t="s">
        <v>10</v>
      </c>
      <c r="I34" s="62" t="s">
        <v>121</v>
      </c>
      <c r="J34" s="62"/>
      <c r="K34" s="64">
        <v>21.6</v>
      </c>
      <c r="L34" s="64">
        <f t="shared" si="0"/>
        <v>21.6</v>
      </c>
      <c r="M34" s="65">
        <f>prodnorm29</f>
        <v>0</v>
      </c>
      <c r="N34" s="66">
        <f>dagwerk29</f>
        <v>0</v>
      </c>
      <c r="O34" s="62" t="s">
        <v>34</v>
      </c>
      <c r="P34" s="67">
        <f>uurtarief29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183</v>
      </c>
      <c r="B35" s="62" t="s">
        <v>184</v>
      </c>
      <c r="C35" s="62" t="s">
        <v>185</v>
      </c>
      <c r="D35" s="62" t="s">
        <v>241</v>
      </c>
      <c r="E35" s="63" t="s">
        <v>242</v>
      </c>
      <c r="F35" s="62" t="s">
        <v>198</v>
      </c>
      <c r="G35" s="62" t="s">
        <v>120</v>
      </c>
      <c r="H35" s="62" t="s">
        <v>16</v>
      </c>
      <c r="I35" s="62" t="s">
        <v>121</v>
      </c>
      <c r="J35" s="62"/>
      <c r="K35" s="64">
        <v>17.8</v>
      </c>
      <c r="L35" s="64">
        <f t="shared" si="0"/>
        <v>0.83764705882352941</v>
      </c>
      <c r="M35" s="65">
        <f>prodnorm7</f>
        <v>0</v>
      </c>
      <c r="N35" s="66">
        <f>dagwerk7</f>
        <v>0</v>
      </c>
      <c r="O35" s="62" t="s">
        <v>34</v>
      </c>
      <c r="P35" s="67">
        <f>uurtarief7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183</v>
      </c>
      <c r="B36" s="62" t="s">
        <v>184</v>
      </c>
      <c r="C36" s="62" t="s">
        <v>185</v>
      </c>
      <c r="D36" s="62" t="s">
        <v>243</v>
      </c>
      <c r="E36" s="63" t="s">
        <v>244</v>
      </c>
      <c r="F36" s="62" t="s">
        <v>188</v>
      </c>
      <c r="G36" s="62" t="s">
        <v>127</v>
      </c>
      <c r="H36" s="62" t="s">
        <v>13</v>
      </c>
      <c r="I36" s="62" t="s">
        <v>121</v>
      </c>
      <c r="J36" s="62"/>
      <c r="K36" s="64">
        <v>77.2</v>
      </c>
      <c r="L36" s="64">
        <f t="shared" si="0"/>
        <v>30.880000000000003</v>
      </c>
      <c r="M36" s="65">
        <f>prodnorm12</f>
        <v>0</v>
      </c>
      <c r="N36" s="66">
        <f>dagwerk12</f>
        <v>0</v>
      </c>
      <c r="O36" s="62" t="s">
        <v>34</v>
      </c>
      <c r="P36" s="67">
        <f>uurtarief12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183</v>
      </c>
      <c r="B37" s="62" t="s">
        <v>184</v>
      </c>
      <c r="C37" s="62" t="s">
        <v>185</v>
      </c>
      <c r="D37" s="62" t="s">
        <v>245</v>
      </c>
      <c r="E37" s="63" t="s">
        <v>246</v>
      </c>
      <c r="F37" s="62" t="s">
        <v>188</v>
      </c>
      <c r="G37" s="62" t="s">
        <v>123</v>
      </c>
      <c r="H37" s="62" t="s">
        <v>21</v>
      </c>
      <c r="I37" s="62" t="s">
        <v>121</v>
      </c>
      <c r="J37" s="62"/>
      <c r="K37" s="64">
        <v>36.6</v>
      </c>
      <c r="L37" s="64">
        <f t="shared" ref="L37:L68" si="6">K37*VLOOKUP(H37,dagsoorttabel1,2,FALSE)</f>
        <v>0.14352941176470588</v>
      </c>
      <c r="M37" s="65">
        <f>prodnorm9</f>
        <v>0</v>
      </c>
      <c r="N37" s="66">
        <f>dagwerk9</f>
        <v>0</v>
      </c>
      <c r="O37" s="62" t="s">
        <v>34</v>
      </c>
      <c r="P37" s="67">
        <f>uurtarief9</f>
        <v>0</v>
      </c>
      <c r="Q37" s="64" t="e">
        <f t="shared" ref="Q37:Q68" si="7">IF(ISBLANK(M37),0,L37/ROUND(M37,4))</f>
        <v>#DIV/0!</v>
      </c>
      <c r="R37" s="64" t="e">
        <f t="shared" ref="R37:R68" si="8">IF(ISBLANK(M37),0,Q37*ROUND(N37,2))</f>
        <v>#DIV/0!</v>
      </c>
      <c r="S37" s="67" t="e">
        <f t="shared" ref="S37:S68" si="9">ROUND(P37,2)*Q37</f>
        <v>#DIV/0!</v>
      </c>
      <c r="T37" s="64" t="e">
        <f t="shared" ref="T37:T68" si="10">Q37*dagenperjaar1</f>
        <v>#DIV/0!</v>
      </c>
      <c r="U37" s="68" t="e">
        <f t="shared" ref="U37:U68" si="11">T37*ROUND(P37,2)</f>
        <v>#DIV/0!</v>
      </c>
    </row>
    <row r="38" spans="1:21" x14ac:dyDescent="0.2">
      <c r="A38" s="61" t="s">
        <v>183</v>
      </c>
      <c r="B38" s="62" t="s">
        <v>184</v>
      </c>
      <c r="C38" s="62" t="s">
        <v>185</v>
      </c>
      <c r="D38" s="62" t="s">
        <v>247</v>
      </c>
      <c r="E38" s="63" t="s">
        <v>248</v>
      </c>
      <c r="F38" s="62" t="s">
        <v>188</v>
      </c>
      <c r="G38" s="62" t="s">
        <v>127</v>
      </c>
      <c r="H38" s="62" t="s">
        <v>13</v>
      </c>
      <c r="I38" s="62" t="s">
        <v>121</v>
      </c>
      <c r="J38" s="62"/>
      <c r="K38" s="64">
        <v>28</v>
      </c>
      <c r="L38" s="64">
        <f t="shared" si="6"/>
        <v>11.200000000000001</v>
      </c>
      <c r="M38" s="65">
        <f t="shared" ref="M38:M45" si="12">prodnorm12</f>
        <v>0</v>
      </c>
      <c r="N38" s="66">
        <f t="shared" ref="N38:N45" si="13">dagwerk12</f>
        <v>0</v>
      </c>
      <c r="O38" s="62" t="s">
        <v>34</v>
      </c>
      <c r="P38" s="67">
        <f t="shared" ref="P38:P45" si="14">uurtarief12</f>
        <v>0</v>
      </c>
      <c r="Q38" s="64" t="e">
        <f t="shared" si="7"/>
        <v>#DIV/0!</v>
      </c>
      <c r="R38" s="64" t="e">
        <f t="shared" si="8"/>
        <v>#DIV/0!</v>
      </c>
      <c r="S38" s="67" t="e">
        <f t="shared" si="9"/>
        <v>#DIV/0!</v>
      </c>
      <c r="T38" s="64" t="e">
        <f t="shared" si="10"/>
        <v>#DIV/0!</v>
      </c>
      <c r="U38" s="68" t="e">
        <f t="shared" si="11"/>
        <v>#DIV/0!</v>
      </c>
    </row>
    <row r="39" spans="1:21" x14ac:dyDescent="0.2">
      <c r="A39" s="61" t="s">
        <v>183</v>
      </c>
      <c r="B39" s="62" t="s">
        <v>184</v>
      </c>
      <c r="C39" s="62" t="s">
        <v>185</v>
      </c>
      <c r="D39" s="62" t="s">
        <v>249</v>
      </c>
      <c r="E39" s="63" t="s">
        <v>250</v>
      </c>
      <c r="F39" s="62" t="s">
        <v>188</v>
      </c>
      <c r="G39" s="62" t="s">
        <v>127</v>
      </c>
      <c r="H39" s="62" t="s">
        <v>13</v>
      </c>
      <c r="I39" s="62" t="s">
        <v>121</v>
      </c>
      <c r="J39" s="62"/>
      <c r="K39" s="64">
        <v>45.4</v>
      </c>
      <c r="L39" s="64">
        <f t="shared" si="6"/>
        <v>18.16</v>
      </c>
      <c r="M39" s="65">
        <f t="shared" si="12"/>
        <v>0</v>
      </c>
      <c r="N39" s="66">
        <f t="shared" si="13"/>
        <v>0</v>
      </c>
      <c r="O39" s="62" t="s">
        <v>34</v>
      </c>
      <c r="P39" s="67">
        <f t="shared" si="14"/>
        <v>0</v>
      </c>
      <c r="Q39" s="64" t="e">
        <f t="shared" si="7"/>
        <v>#DIV/0!</v>
      </c>
      <c r="R39" s="64" t="e">
        <f t="shared" si="8"/>
        <v>#DIV/0!</v>
      </c>
      <c r="S39" s="67" t="e">
        <f t="shared" si="9"/>
        <v>#DIV/0!</v>
      </c>
      <c r="T39" s="64" t="e">
        <f t="shared" si="10"/>
        <v>#DIV/0!</v>
      </c>
      <c r="U39" s="68" t="e">
        <f t="shared" si="11"/>
        <v>#DIV/0!</v>
      </c>
    </row>
    <row r="40" spans="1:21" x14ac:dyDescent="0.2">
      <c r="A40" s="61" t="s">
        <v>183</v>
      </c>
      <c r="B40" s="62" t="s">
        <v>184</v>
      </c>
      <c r="C40" s="62" t="s">
        <v>185</v>
      </c>
      <c r="D40" s="62" t="s">
        <v>251</v>
      </c>
      <c r="E40" s="63" t="s">
        <v>252</v>
      </c>
      <c r="F40" s="62" t="s">
        <v>188</v>
      </c>
      <c r="G40" s="62" t="s">
        <v>127</v>
      </c>
      <c r="H40" s="62" t="s">
        <v>13</v>
      </c>
      <c r="I40" s="62" t="s">
        <v>121</v>
      </c>
      <c r="J40" s="62"/>
      <c r="K40" s="64">
        <v>37.700000000000003</v>
      </c>
      <c r="L40" s="64">
        <f t="shared" si="6"/>
        <v>15.080000000000002</v>
      </c>
      <c r="M40" s="65">
        <f t="shared" si="12"/>
        <v>0</v>
      </c>
      <c r="N40" s="66">
        <f t="shared" si="13"/>
        <v>0</v>
      </c>
      <c r="O40" s="62" t="s">
        <v>34</v>
      </c>
      <c r="P40" s="67">
        <f t="shared" si="14"/>
        <v>0</v>
      </c>
      <c r="Q40" s="64" t="e">
        <f t="shared" si="7"/>
        <v>#DIV/0!</v>
      </c>
      <c r="R40" s="64" t="e">
        <f t="shared" si="8"/>
        <v>#DIV/0!</v>
      </c>
      <c r="S40" s="67" t="e">
        <f t="shared" si="9"/>
        <v>#DIV/0!</v>
      </c>
      <c r="T40" s="64" t="e">
        <f t="shared" si="10"/>
        <v>#DIV/0!</v>
      </c>
      <c r="U40" s="68" t="e">
        <f t="shared" si="11"/>
        <v>#DIV/0!</v>
      </c>
    </row>
    <row r="41" spans="1:21" x14ac:dyDescent="0.2">
      <c r="A41" s="61" t="s">
        <v>183</v>
      </c>
      <c r="B41" s="62" t="s">
        <v>184</v>
      </c>
      <c r="C41" s="62" t="s">
        <v>185</v>
      </c>
      <c r="D41" s="62" t="s">
        <v>253</v>
      </c>
      <c r="E41" s="63" t="s">
        <v>254</v>
      </c>
      <c r="F41" s="62" t="s">
        <v>188</v>
      </c>
      <c r="G41" s="62" t="s">
        <v>127</v>
      </c>
      <c r="H41" s="62" t="s">
        <v>13</v>
      </c>
      <c r="I41" s="62" t="s">
        <v>121</v>
      </c>
      <c r="J41" s="62"/>
      <c r="K41" s="64">
        <v>21.5</v>
      </c>
      <c r="L41" s="64">
        <f t="shared" si="6"/>
        <v>8.6</v>
      </c>
      <c r="M41" s="65">
        <f t="shared" si="12"/>
        <v>0</v>
      </c>
      <c r="N41" s="66">
        <f t="shared" si="13"/>
        <v>0</v>
      </c>
      <c r="O41" s="62" t="s">
        <v>34</v>
      </c>
      <c r="P41" s="67">
        <f t="shared" si="14"/>
        <v>0</v>
      </c>
      <c r="Q41" s="64" t="e">
        <f t="shared" si="7"/>
        <v>#DIV/0!</v>
      </c>
      <c r="R41" s="64" t="e">
        <f t="shared" si="8"/>
        <v>#DIV/0!</v>
      </c>
      <c r="S41" s="67" t="e">
        <f t="shared" si="9"/>
        <v>#DIV/0!</v>
      </c>
      <c r="T41" s="64" t="e">
        <f t="shared" si="10"/>
        <v>#DIV/0!</v>
      </c>
      <c r="U41" s="68" t="e">
        <f t="shared" si="11"/>
        <v>#DIV/0!</v>
      </c>
    </row>
    <row r="42" spans="1:21" x14ac:dyDescent="0.2">
      <c r="A42" s="61" t="s">
        <v>183</v>
      </c>
      <c r="B42" s="62" t="s">
        <v>184</v>
      </c>
      <c r="C42" s="62" t="s">
        <v>185</v>
      </c>
      <c r="D42" s="62" t="s">
        <v>255</v>
      </c>
      <c r="E42" s="63" t="s">
        <v>256</v>
      </c>
      <c r="F42" s="62" t="s">
        <v>188</v>
      </c>
      <c r="G42" s="62" t="s">
        <v>127</v>
      </c>
      <c r="H42" s="62" t="s">
        <v>13</v>
      </c>
      <c r="I42" s="62" t="s">
        <v>121</v>
      </c>
      <c r="J42" s="62"/>
      <c r="K42" s="64">
        <v>21.5</v>
      </c>
      <c r="L42" s="64">
        <f t="shared" si="6"/>
        <v>8.6</v>
      </c>
      <c r="M42" s="65">
        <f t="shared" si="12"/>
        <v>0</v>
      </c>
      <c r="N42" s="66">
        <f t="shared" si="13"/>
        <v>0</v>
      </c>
      <c r="O42" s="62" t="s">
        <v>34</v>
      </c>
      <c r="P42" s="67">
        <f t="shared" si="14"/>
        <v>0</v>
      </c>
      <c r="Q42" s="64" t="e">
        <f t="shared" si="7"/>
        <v>#DIV/0!</v>
      </c>
      <c r="R42" s="64" t="e">
        <f t="shared" si="8"/>
        <v>#DIV/0!</v>
      </c>
      <c r="S42" s="67" t="e">
        <f t="shared" si="9"/>
        <v>#DIV/0!</v>
      </c>
      <c r="T42" s="64" t="e">
        <f t="shared" si="10"/>
        <v>#DIV/0!</v>
      </c>
      <c r="U42" s="68" t="e">
        <f t="shared" si="11"/>
        <v>#DIV/0!</v>
      </c>
    </row>
    <row r="43" spans="1:21" x14ac:dyDescent="0.2">
      <c r="A43" s="61" t="s">
        <v>183</v>
      </c>
      <c r="B43" s="62" t="s">
        <v>184</v>
      </c>
      <c r="C43" s="62" t="s">
        <v>185</v>
      </c>
      <c r="D43" s="62" t="s">
        <v>257</v>
      </c>
      <c r="E43" s="63" t="s">
        <v>258</v>
      </c>
      <c r="F43" s="62" t="s">
        <v>188</v>
      </c>
      <c r="G43" s="62" t="s">
        <v>127</v>
      </c>
      <c r="H43" s="62" t="s">
        <v>13</v>
      </c>
      <c r="I43" s="62" t="s">
        <v>121</v>
      </c>
      <c r="J43" s="62"/>
      <c r="K43" s="64">
        <v>50</v>
      </c>
      <c r="L43" s="64">
        <f t="shared" si="6"/>
        <v>20</v>
      </c>
      <c r="M43" s="65">
        <f t="shared" si="12"/>
        <v>0</v>
      </c>
      <c r="N43" s="66">
        <f t="shared" si="13"/>
        <v>0</v>
      </c>
      <c r="O43" s="62" t="s">
        <v>34</v>
      </c>
      <c r="P43" s="67">
        <f t="shared" si="14"/>
        <v>0</v>
      </c>
      <c r="Q43" s="64" t="e">
        <f t="shared" si="7"/>
        <v>#DIV/0!</v>
      </c>
      <c r="R43" s="64" t="e">
        <f t="shared" si="8"/>
        <v>#DIV/0!</v>
      </c>
      <c r="S43" s="67" t="e">
        <f t="shared" si="9"/>
        <v>#DIV/0!</v>
      </c>
      <c r="T43" s="64" t="e">
        <f t="shared" si="10"/>
        <v>#DIV/0!</v>
      </c>
      <c r="U43" s="68" t="e">
        <f t="shared" si="11"/>
        <v>#DIV/0!</v>
      </c>
    </row>
    <row r="44" spans="1:21" x14ac:dyDescent="0.2">
      <c r="A44" s="61" t="s">
        <v>183</v>
      </c>
      <c r="B44" s="62" t="s">
        <v>184</v>
      </c>
      <c r="C44" s="62" t="s">
        <v>185</v>
      </c>
      <c r="D44" s="62" t="s">
        <v>259</v>
      </c>
      <c r="E44" s="63" t="s">
        <v>260</v>
      </c>
      <c r="F44" s="62" t="s">
        <v>188</v>
      </c>
      <c r="G44" s="62" t="s">
        <v>127</v>
      </c>
      <c r="H44" s="62" t="s">
        <v>13</v>
      </c>
      <c r="I44" s="62" t="s">
        <v>121</v>
      </c>
      <c r="J44" s="62"/>
      <c r="K44" s="64">
        <v>43.5</v>
      </c>
      <c r="L44" s="64">
        <f t="shared" si="6"/>
        <v>17.400000000000002</v>
      </c>
      <c r="M44" s="65">
        <f t="shared" si="12"/>
        <v>0</v>
      </c>
      <c r="N44" s="66">
        <f t="shared" si="13"/>
        <v>0</v>
      </c>
      <c r="O44" s="62" t="s">
        <v>34</v>
      </c>
      <c r="P44" s="67">
        <f t="shared" si="14"/>
        <v>0</v>
      </c>
      <c r="Q44" s="64" t="e">
        <f t="shared" si="7"/>
        <v>#DIV/0!</v>
      </c>
      <c r="R44" s="64" t="e">
        <f t="shared" si="8"/>
        <v>#DIV/0!</v>
      </c>
      <c r="S44" s="67" t="e">
        <f t="shared" si="9"/>
        <v>#DIV/0!</v>
      </c>
      <c r="T44" s="64" t="e">
        <f t="shared" si="10"/>
        <v>#DIV/0!</v>
      </c>
      <c r="U44" s="68" t="e">
        <f t="shared" si="11"/>
        <v>#DIV/0!</v>
      </c>
    </row>
    <row r="45" spans="1:21" x14ac:dyDescent="0.2">
      <c r="A45" s="61" t="s">
        <v>183</v>
      </c>
      <c r="B45" s="62" t="s">
        <v>184</v>
      </c>
      <c r="C45" s="62" t="s">
        <v>185</v>
      </c>
      <c r="D45" s="62" t="s">
        <v>261</v>
      </c>
      <c r="E45" s="63" t="s">
        <v>260</v>
      </c>
      <c r="F45" s="62" t="s">
        <v>188</v>
      </c>
      <c r="G45" s="62" t="s">
        <v>127</v>
      </c>
      <c r="H45" s="62" t="s">
        <v>13</v>
      </c>
      <c r="I45" s="62" t="s">
        <v>121</v>
      </c>
      <c r="J45" s="62"/>
      <c r="K45" s="64">
        <v>56.3</v>
      </c>
      <c r="L45" s="64">
        <f t="shared" si="6"/>
        <v>22.52</v>
      </c>
      <c r="M45" s="65">
        <f t="shared" si="12"/>
        <v>0</v>
      </c>
      <c r="N45" s="66">
        <f t="shared" si="13"/>
        <v>0</v>
      </c>
      <c r="O45" s="62" t="s">
        <v>34</v>
      </c>
      <c r="P45" s="67">
        <f t="shared" si="14"/>
        <v>0</v>
      </c>
      <c r="Q45" s="64" t="e">
        <f t="shared" si="7"/>
        <v>#DIV/0!</v>
      </c>
      <c r="R45" s="64" t="e">
        <f t="shared" si="8"/>
        <v>#DIV/0!</v>
      </c>
      <c r="S45" s="67" t="e">
        <f t="shared" si="9"/>
        <v>#DIV/0!</v>
      </c>
      <c r="T45" s="64" t="e">
        <f t="shared" si="10"/>
        <v>#DIV/0!</v>
      </c>
      <c r="U45" s="68" t="e">
        <f t="shared" si="11"/>
        <v>#DIV/0!</v>
      </c>
    </row>
    <row r="46" spans="1:21" x14ac:dyDescent="0.2">
      <c r="A46" s="61" t="s">
        <v>183</v>
      </c>
      <c r="B46" s="62" t="s">
        <v>184</v>
      </c>
      <c r="C46" s="62" t="s">
        <v>185</v>
      </c>
      <c r="D46" s="62" t="s">
        <v>262</v>
      </c>
      <c r="E46" s="63" t="s">
        <v>263</v>
      </c>
      <c r="F46" s="62" t="s">
        <v>198</v>
      </c>
      <c r="G46" s="62" t="s">
        <v>153</v>
      </c>
      <c r="H46" s="62" t="s">
        <v>10</v>
      </c>
      <c r="I46" s="62" t="s">
        <v>121</v>
      </c>
      <c r="J46" s="62"/>
      <c r="K46" s="64">
        <v>6.5</v>
      </c>
      <c r="L46" s="64">
        <f t="shared" si="6"/>
        <v>6.5</v>
      </c>
      <c r="M46" s="65">
        <f>prodnorm27</f>
        <v>0</v>
      </c>
      <c r="N46" s="66">
        <f>dagwerk27</f>
        <v>0</v>
      </c>
      <c r="O46" s="62" t="s">
        <v>34</v>
      </c>
      <c r="P46" s="67">
        <f>uurtarief27</f>
        <v>0</v>
      </c>
      <c r="Q46" s="64" t="e">
        <f t="shared" si="7"/>
        <v>#DIV/0!</v>
      </c>
      <c r="R46" s="64" t="e">
        <f t="shared" si="8"/>
        <v>#DIV/0!</v>
      </c>
      <c r="S46" s="67" t="e">
        <f t="shared" si="9"/>
        <v>#DIV/0!</v>
      </c>
      <c r="T46" s="64" t="e">
        <f t="shared" si="10"/>
        <v>#DIV/0!</v>
      </c>
      <c r="U46" s="68" t="e">
        <f t="shared" si="11"/>
        <v>#DIV/0!</v>
      </c>
    </row>
    <row r="47" spans="1:21" x14ac:dyDescent="0.2">
      <c r="A47" s="61" t="s">
        <v>183</v>
      </c>
      <c r="B47" s="62" t="s">
        <v>184</v>
      </c>
      <c r="C47" s="62" t="s">
        <v>185</v>
      </c>
      <c r="D47" s="62" t="s">
        <v>264</v>
      </c>
      <c r="E47" s="63" t="s">
        <v>265</v>
      </c>
      <c r="F47" s="62" t="s">
        <v>198</v>
      </c>
      <c r="G47" s="62" t="s">
        <v>153</v>
      </c>
      <c r="H47" s="62" t="s">
        <v>10</v>
      </c>
      <c r="I47" s="62" t="s">
        <v>121</v>
      </c>
      <c r="J47" s="62"/>
      <c r="K47" s="64">
        <v>6.5</v>
      </c>
      <c r="L47" s="64">
        <f t="shared" si="6"/>
        <v>6.5</v>
      </c>
      <c r="M47" s="65">
        <f>prodnorm27</f>
        <v>0</v>
      </c>
      <c r="N47" s="66">
        <f>dagwerk27</f>
        <v>0</v>
      </c>
      <c r="O47" s="62" t="s">
        <v>34</v>
      </c>
      <c r="P47" s="67">
        <f>uurtarief27</f>
        <v>0</v>
      </c>
      <c r="Q47" s="64" t="e">
        <f t="shared" si="7"/>
        <v>#DIV/0!</v>
      </c>
      <c r="R47" s="64" t="e">
        <f t="shared" si="8"/>
        <v>#DIV/0!</v>
      </c>
      <c r="S47" s="67" t="e">
        <f t="shared" si="9"/>
        <v>#DIV/0!</v>
      </c>
      <c r="T47" s="64" t="e">
        <f t="shared" si="10"/>
        <v>#DIV/0!</v>
      </c>
      <c r="U47" s="68" t="e">
        <f t="shared" si="11"/>
        <v>#DIV/0!</v>
      </c>
    </row>
    <row r="48" spans="1:21" x14ac:dyDescent="0.2">
      <c r="A48" s="61" t="s">
        <v>183</v>
      </c>
      <c r="B48" s="62" t="s">
        <v>184</v>
      </c>
      <c r="C48" s="62" t="s">
        <v>185</v>
      </c>
      <c r="D48" s="62" t="s">
        <v>266</v>
      </c>
      <c r="E48" s="63" t="s">
        <v>258</v>
      </c>
      <c r="F48" s="62" t="s">
        <v>188</v>
      </c>
      <c r="G48" s="62" t="s">
        <v>127</v>
      </c>
      <c r="H48" s="62" t="s">
        <v>13</v>
      </c>
      <c r="I48" s="62" t="s">
        <v>121</v>
      </c>
      <c r="J48" s="62"/>
      <c r="K48" s="64">
        <v>29.9</v>
      </c>
      <c r="L48" s="64">
        <f t="shared" si="6"/>
        <v>11.96</v>
      </c>
      <c r="M48" s="65">
        <f>prodnorm12</f>
        <v>0</v>
      </c>
      <c r="N48" s="66">
        <f>dagwerk12</f>
        <v>0</v>
      </c>
      <c r="O48" s="62" t="s">
        <v>34</v>
      </c>
      <c r="P48" s="67">
        <f>uurtarief12</f>
        <v>0</v>
      </c>
      <c r="Q48" s="64" t="e">
        <f t="shared" si="7"/>
        <v>#DIV/0!</v>
      </c>
      <c r="R48" s="64" t="e">
        <f t="shared" si="8"/>
        <v>#DIV/0!</v>
      </c>
      <c r="S48" s="67" t="e">
        <f t="shared" si="9"/>
        <v>#DIV/0!</v>
      </c>
      <c r="T48" s="64" t="e">
        <f t="shared" si="10"/>
        <v>#DIV/0!</v>
      </c>
      <c r="U48" s="68" t="e">
        <f t="shared" si="11"/>
        <v>#DIV/0!</v>
      </c>
    </row>
    <row r="49" spans="1:21" x14ac:dyDescent="0.2">
      <c r="A49" s="61" t="s">
        <v>183</v>
      </c>
      <c r="B49" s="62" t="s">
        <v>184</v>
      </c>
      <c r="C49" s="62" t="s">
        <v>185</v>
      </c>
      <c r="D49" s="62" t="s">
        <v>267</v>
      </c>
      <c r="E49" s="63" t="s">
        <v>258</v>
      </c>
      <c r="F49" s="62" t="s">
        <v>188</v>
      </c>
      <c r="G49" s="62" t="s">
        <v>127</v>
      </c>
      <c r="H49" s="62" t="s">
        <v>13</v>
      </c>
      <c r="I49" s="62" t="s">
        <v>121</v>
      </c>
      <c r="J49" s="62"/>
      <c r="K49" s="64">
        <v>35.5</v>
      </c>
      <c r="L49" s="64">
        <f t="shared" si="6"/>
        <v>14.200000000000001</v>
      </c>
      <c r="M49" s="65">
        <f>prodnorm12</f>
        <v>0</v>
      </c>
      <c r="N49" s="66">
        <f>dagwerk12</f>
        <v>0</v>
      </c>
      <c r="O49" s="62" t="s">
        <v>34</v>
      </c>
      <c r="P49" s="67">
        <f>uurtarief12</f>
        <v>0</v>
      </c>
      <c r="Q49" s="64" t="e">
        <f t="shared" si="7"/>
        <v>#DIV/0!</v>
      </c>
      <c r="R49" s="64" t="e">
        <f t="shared" si="8"/>
        <v>#DIV/0!</v>
      </c>
      <c r="S49" s="67" t="e">
        <f t="shared" si="9"/>
        <v>#DIV/0!</v>
      </c>
      <c r="T49" s="64" t="e">
        <f t="shared" si="10"/>
        <v>#DIV/0!</v>
      </c>
      <c r="U49" s="68" t="e">
        <f t="shared" si="11"/>
        <v>#DIV/0!</v>
      </c>
    </row>
    <row r="50" spans="1:21" x14ac:dyDescent="0.2">
      <c r="A50" s="61" t="s">
        <v>183</v>
      </c>
      <c r="B50" s="62" t="s">
        <v>184</v>
      </c>
      <c r="C50" s="62" t="s">
        <v>185</v>
      </c>
      <c r="D50" s="62" t="s">
        <v>268</v>
      </c>
      <c r="E50" s="63" t="s">
        <v>269</v>
      </c>
      <c r="F50" s="62" t="s">
        <v>188</v>
      </c>
      <c r="G50" s="62" t="s">
        <v>143</v>
      </c>
      <c r="H50" s="62" t="s">
        <v>11</v>
      </c>
      <c r="I50" s="62" t="s">
        <v>121</v>
      </c>
      <c r="J50" s="62"/>
      <c r="K50" s="64">
        <v>34.1</v>
      </c>
      <c r="L50" s="64">
        <f t="shared" si="6"/>
        <v>27.28</v>
      </c>
      <c r="M50" s="65">
        <f>prodnorm22</f>
        <v>0</v>
      </c>
      <c r="N50" s="66">
        <f>dagwerk22</f>
        <v>0</v>
      </c>
      <c r="O50" s="62" t="s">
        <v>34</v>
      </c>
      <c r="P50" s="67">
        <f>uurtarief22</f>
        <v>0</v>
      </c>
      <c r="Q50" s="64" t="e">
        <f t="shared" si="7"/>
        <v>#DIV/0!</v>
      </c>
      <c r="R50" s="64" t="e">
        <f t="shared" si="8"/>
        <v>#DIV/0!</v>
      </c>
      <c r="S50" s="67" t="e">
        <f t="shared" si="9"/>
        <v>#DIV/0!</v>
      </c>
      <c r="T50" s="64" t="e">
        <f t="shared" si="10"/>
        <v>#DIV/0!</v>
      </c>
      <c r="U50" s="68" t="e">
        <f t="shared" si="11"/>
        <v>#DIV/0!</v>
      </c>
    </row>
    <row r="51" spans="1:21" x14ac:dyDescent="0.2">
      <c r="A51" s="61" t="s">
        <v>183</v>
      </c>
      <c r="B51" s="62" t="s">
        <v>184</v>
      </c>
      <c r="C51" s="62" t="s">
        <v>185</v>
      </c>
      <c r="D51" s="62" t="s">
        <v>270</v>
      </c>
      <c r="E51" s="63" t="s">
        <v>271</v>
      </c>
      <c r="F51" s="62" t="s">
        <v>188</v>
      </c>
      <c r="G51" s="62" t="s">
        <v>127</v>
      </c>
      <c r="H51" s="62" t="s">
        <v>13</v>
      </c>
      <c r="I51" s="62" t="s">
        <v>121</v>
      </c>
      <c r="J51" s="62"/>
      <c r="K51" s="64">
        <v>40.4</v>
      </c>
      <c r="L51" s="64">
        <f t="shared" si="6"/>
        <v>16.16</v>
      </c>
      <c r="M51" s="65">
        <f>prodnorm12</f>
        <v>0</v>
      </c>
      <c r="N51" s="66">
        <f>dagwerk12</f>
        <v>0</v>
      </c>
      <c r="O51" s="62" t="s">
        <v>34</v>
      </c>
      <c r="P51" s="67">
        <f>uurtarief12</f>
        <v>0</v>
      </c>
      <c r="Q51" s="64" t="e">
        <f t="shared" si="7"/>
        <v>#DIV/0!</v>
      </c>
      <c r="R51" s="64" t="e">
        <f t="shared" si="8"/>
        <v>#DIV/0!</v>
      </c>
      <c r="S51" s="67" t="e">
        <f t="shared" si="9"/>
        <v>#DIV/0!</v>
      </c>
      <c r="T51" s="64" t="e">
        <f t="shared" si="10"/>
        <v>#DIV/0!</v>
      </c>
      <c r="U51" s="68" t="e">
        <f t="shared" si="11"/>
        <v>#DIV/0!</v>
      </c>
    </row>
    <row r="52" spans="1:21" x14ac:dyDescent="0.2">
      <c r="A52" s="61" t="s">
        <v>183</v>
      </c>
      <c r="B52" s="62" t="s">
        <v>184</v>
      </c>
      <c r="C52" s="62" t="s">
        <v>185</v>
      </c>
      <c r="D52" s="62" t="s">
        <v>272</v>
      </c>
      <c r="E52" s="63" t="s">
        <v>269</v>
      </c>
      <c r="F52" s="62" t="s">
        <v>188</v>
      </c>
      <c r="G52" s="62" t="s">
        <v>143</v>
      </c>
      <c r="H52" s="62" t="s">
        <v>11</v>
      </c>
      <c r="I52" s="62" t="s">
        <v>121</v>
      </c>
      <c r="J52" s="62"/>
      <c r="K52" s="64">
        <v>33.6</v>
      </c>
      <c r="L52" s="64">
        <f t="shared" si="6"/>
        <v>26.880000000000003</v>
      </c>
      <c r="M52" s="65">
        <f>prodnorm22</f>
        <v>0</v>
      </c>
      <c r="N52" s="66">
        <f>dagwerk22</f>
        <v>0</v>
      </c>
      <c r="O52" s="62" t="s">
        <v>34</v>
      </c>
      <c r="P52" s="67">
        <f>uurtarief22</f>
        <v>0</v>
      </c>
      <c r="Q52" s="64" t="e">
        <f t="shared" si="7"/>
        <v>#DIV/0!</v>
      </c>
      <c r="R52" s="64" t="e">
        <f t="shared" si="8"/>
        <v>#DIV/0!</v>
      </c>
      <c r="S52" s="67" t="e">
        <f t="shared" si="9"/>
        <v>#DIV/0!</v>
      </c>
      <c r="T52" s="64" t="e">
        <f t="shared" si="10"/>
        <v>#DIV/0!</v>
      </c>
      <c r="U52" s="68" t="e">
        <f t="shared" si="11"/>
        <v>#DIV/0!</v>
      </c>
    </row>
    <row r="53" spans="1:21" x14ac:dyDescent="0.2">
      <c r="A53" s="61" t="s">
        <v>183</v>
      </c>
      <c r="B53" s="62" t="s">
        <v>184</v>
      </c>
      <c r="C53" s="62" t="s">
        <v>185</v>
      </c>
      <c r="D53" s="62" t="s">
        <v>273</v>
      </c>
      <c r="E53" s="63" t="s">
        <v>274</v>
      </c>
      <c r="F53" s="62" t="s">
        <v>275</v>
      </c>
      <c r="G53" s="62" t="s">
        <v>125</v>
      </c>
      <c r="H53" s="62" t="s">
        <v>13</v>
      </c>
      <c r="I53" s="62" t="s">
        <v>121</v>
      </c>
      <c r="J53" s="62"/>
      <c r="K53" s="64">
        <v>37.200000000000003</v>
      </c>
      <c r="L53" s="64">
        <f t="shared" si="6"/>
        <v>14.880000000000003</v>
      </c>
      <c r="M53" s="65">
        <f>prodnorm10</f>
        <v>0</v>
      </c>
      <c r="N53" s="66">
        <f>dagwerk10</f>
        <v>0</v>
      </c>
      <c r="O53" s="62" t="s">
        <v>34</v>
      </c>
      <c r="P53" s="67">
        <f>uurtarief10</f>
        <v>0</v>
      </c>
      <c r="Q53" s="64" t="e">
        <f t="shared" si="7"/>
        <v>#DIV/0!</v>
      </c>
      <c r="R53" s="64" t="e">
        <f t="shared" si="8"/>
        <v>#DIV/0!</v>
      </c>
      <c r="S53" s="67" t="e">
        <f t="shared" si="9"/>
        <v>#DIV/0!</v>
      </c>
      <c r="T53" s="64" t="e">
        <f t="shared" si="10"/>
        <v>#DIV/0!</v>
      </c>
      <c r="U53" s="68" t="e">
        <f t="shared" si="11"/>
        <v>#DIV/0!</v>
      </c>
    </row>
    <row r="54" spans="1:21" x14ac:dyDescent="0.2">
      <c r="A54" s="61" t="s">
        <v>183</v>
      </c>
      <c r="B54" s="62" t="s">
        <v>184</v>
      </c>
      <c r="C54" s="62" t="s">
        <v>185</v>
      </c>
      <c r="D54" s="62" t="s">
        <v>276</v>
      </c>
      <c r="E54" s="63" t="s">
        <v>274</v>
      </c>
      <c r="F54" s="62" t="s">
        <v>275</v>
      </c>
      <c r="G54" s="62" t="s">
        <v>125</v>
      </c>
      <c r="H54" s="62" t="s">
        <v>13</v>
      </c>
      <c r="I54" s="62" t="s">
        <v>121</v>
      </c>
      <c r="J54" s="62"/>
      <c r="K54" s="64">
        <v>37.200000000000003</v>
      </c>
      <c r="L54" s="64">
        <f t="shared" si="6"/>
        <v>14.880000000000003</v>
      </c>
      <c r="M54" s="65">
        <f>prodnorm10</f>
        <v>0</v>
      </c>
      <c r="N54" s="66">
        <f>dagwerk10</f>
        <v>0</v>
      </c>
      <c r="O54" s="62" t="s">
        <v>34</v>
      </c>
      <c r="P54" s="67">
        <f>uurtarief10</f>
        <v>0</v>
      </c>
      <c r="Q54" s="64" t="e">
        <f t="shared" si="7"/>
        <v>#DIV/0!</v>
      </c>
      <c r="R54" s="64" t="e">
        <f t="shared" si="8"/>
        <v>#DIV/0!</v>
      </c>
      <c r="S54" s="67" t="e">
        <f t="shared" si="9"/>
        <v>#DIV/0!</v>
      </c>
      <c r="T54" s="64" t="e">
        <f t="shared" si="10"/>
        <v>#DIV/0!</v>
      </c>
      <c r="U54" s="68" t="e">
        <f t="shared" si="11"/>
        <v>#DIV/0!</v>
      </c>
    </row>
    <row r="55" spans="1:21" ht="25.5" x14ac:dyDescent="0.2">
      <c r="A55" s="61" t="s">
        <v>183</v>
      </c>
      <c r="B55" s="62" t="s">
        <v>184</v>
      </c>
      <c r="C55" s="62" t="s">
        <v>185</v>
      </c>
      <c r="D55" s="62" t="s">
        <v>277</v>
      </c>
      <c r="E55" s="63" t="s">
        <v>278</v>
      </c>
      <c r="F55" s="62" t="s">
        <v>188</v>
      </c>
      <c r="G55" s="62" t="s">
        <v>143</v>
      </c>
      <c r="H55" s="62" t="s">
        <v>11</v>
      </c>
      <c r="I55" s="62" t="s">
        <v>121</v>
      </c>
      <c r="J55" s="62"/>
      <c r="K55" s="64">
        <v>20.6</v>
      </c>
      <c r="L55" s="64">
        <f t="shared" si="6"/>
        <v>16.48</v>
      </c>
      <c r="M55" s="65">
        <f>prodnorm22</f>
        <v>0</v>
      </c>
      <c r="N55" s="66">
        <f>dagwerk22</f>
        <v>0</v>
      </c>
      <c r="O55" s="62" t="s">
        <v>34</v>
      </c>
      <c r="P55" s="67">
        <f>uurtarief22</f>
        <v>0</v>
      </c>
      <c r="Q55" s="64" t="e">
        <f t="shared" si="7"/>
        <v>#DIV/0!</v>
      </c>
      <c r="R55" s="64" t="e">
        <f t="shared" si="8"/>
        <v>#DIV/0!</v>
      </c>
      <c r="S55" s="67" t="e">
        <f t="shared" si="9"/>
        <v>#DIV/0!</v>
      </c>
      <c r="T55" s="64" t="e">
        <f t="shared" si="10"/>
        <v>#DIV/0!</v>
      </c>
      <c r="U55" s="68" t="e">
        <f t="shared" si="11"/>
        <v>#DIV/0!</v>
      </c>
    </row>
    <row r="56" spans="1:21" ht="25.5" x14ac:dyDescent="0.2">
      <c r="A56" s="61" t="s">
        <v>183</v>
      </c>
      <c r="B56" s="62" t="s">
        <v>184</v>
      </c>
      <c r="C56" s="62" t="s">
        <v>185</v>
      </c>
      <c r="D56" s="62" t="s">
        <v>279</v>
      </c>
      <c r="E56" s="63" t="s">
        <v>280</v>
      </c>
      <c r="F56" s="62" t="s">
        <v>188</v>
      </c>
      <c r="G56" s="62" t="s">
        <v>143</v>
      </c>
      <c r="H56" s="62" t="s">
        <v>11</v>
      </c>
      <c r="I56" s="62" t="s">
        <v>121</v>
      </c>
      <c r="J56" s="62"/>
      <c r="K56" s="64">
        <v>44.1</v>
      </c>
      <c r="L56" s="64">
        <f t="shared" si="6"/>
        <v>35.28</v>
      </c>
      <c r="M56" s="65">
        <f>prodnorm22</f>
        <v>0</v>
      </c>
      <c r="N56" s="66">
        <f>dagwerk22</f>
        <v>0</v>
      </c>
      <c r="O56" s="62" t="s">
        <v>34</v>
      </c>
      <c r="P56" s="67">
        <f>uurtarief22</f>
        <v>0</v>
      </c>
      <c r="Q56" s="64" t="e">
        <f t="shared" si="7"/>
        <v>#DIV/0!</v>
      </c>
      <c r="R56" s="64" t="e">
        <f t="shared" si="8"/>
        <v>#DIV/0!</v>
      </c>
      <c r="S56" s="67" t="e">
        <f t="shared" si="9"/>
        <v>#DIV/0!</v>
      </c>
      <c r="T56" s="64" t="e">
        <f t="shared" si="10"/>
        <v>#DIV/0!</v>
      </c>
      <c r="U56" s="68" t="e">
        <f t="shared" si="11"/>
        <v>#DIV/0!</v>
      </c>
    </row>
    <row r="57" spans="1:21" x14ac:dyDescent="0.2">
      <c r="A57" s="61" t="s">
        <v>183</v>
      </c>
      <c r="B57" s="62" t="s">
        <v>184</v>
      </c>
      <c r="C57" s="62" t="s">
        <v>185</v>
      </c>
      <c r="D57" s="62" t="s">
        <v>281</v>
      </c>
      <c r="E57" s="63" t="s">
        <v>282</v>
      </c>
      <c r="F57" s="62" t="s">
        <v>198</v>
      </c>
      <c r="G57" s="62" t="s">
        <v>153</v>
      </c>
      <c r="H57" s="62" t="s">
        <v>10</v>
      </c>
      <c r="I57" s="62" t="s">
        <v>121</v>
      </c>
      <c r="J57" s="62"/>
      <c r="K57" s="64">
        <v>2.8</v>
      </c>
      <c r="L57" s="64">
        <f t="shared" si="6"/>
        <v>2.8</v>
      </c>
      <c r="M57" s="65">
        <f>prodnorm27</f>
        <v>0</v>
      </c>
      <c r="N57" s="66">
        <f>dagwerk27</f>
        <v>0</v>
      </c>
      <c r="O57" s="62" t="s">
        <v>34</v>
      </c>
      <c r="P57" s="67">
        <f>uurtarief27</f>
        <v>0</v>
      </c>
      <c r="Q57" s="64" t="e">
        <f t="shared" si="7"/>
        <v>#DIV/0!</v>
      </c>
      <c r="R57" s="64" t="e">
        <f t="shared" si="8"/>
        <v>#DIV/0!</v>
      </c>
      <c r="S57" s="67" t="e">
        <f t="shared" si="9"/>
        <v>#DIV/0!</v>
      </c>
      <c r="T57" s="64" t="e">
        <f t="shared" si="10"/>
        <v>#DIV/0!</v>
      </c>
      <c r="U57" s="68" t="e">
        <f t="shared" si="11"/>
        <v>#DIV/0!</v>
      </c>
    </row>
    <row r="58" spans="1:21" x14ac:dyDescent="0.2">
      <c r="A58" s="61" t="s">
        <v>183</v>
      </c>
      <c r="B58" s="62" t="s">
        <v>184</v>
      </c>
      <c r="C58" s="62" t="s">
        <v>185</v>
      </c>
      <c r="D58" s="62" t="s">
        <v>283</v>
      </c>
      <c r="E58" s="63" t="s">
        <v>284</v>
      </c>
      <c r="F58" s="62" t="s">
        <v>198</v>
      </c>
      <c r="G58" s="62" t="s">
        <v>145</v>
      </c>
      <c r="H58" s="62" t="s">
        <v>10</v>
      </c>
      <c r="I58" s="62" t="s">
        <v>121</v>
      </c>
      <c r="J58" s="62"/>
      <c r="K58" s="64">
        <v>3</v>
      </c>
      <c r="L58" s="64">
        <f t="shared" si="6"/>
        <v>3</v>
      </c>
      <c r="M58" s="65">
        <f>prodnorm23</f>
        <v>0</v>
      </c>
      <c r="N58" s="66">
        <f>dagwerk23</f>
        <v>0</v>
      </c>
      <c r="O58" s="62" t="s">
        <v>34</v>
      </c>
      <c r="P58" s="67">
        <f>uurtarief23</f>
        <v>0</v>
      </c>
      <c r="Q58" s="64" t="e">
        <f t="shared" si="7"/>
        <v>#DIV/0!</v>
      </c>
      <c r="R58" s="64" t="e">
        <f t="shared" si="8"/>
        <v>#DIV/0!</v>
      </c>
      <c r="S58" s="67" t="e">
        <f t="shared" si="9"/>
        <v>#DIV/0!</v>
      </c>
      <c r="T58" s="64" t="e">
        <f t="shared" si="10"/>
        <v>#DIV/0!</v>
      </c>
      <c r="U58" s="68" t="e">
        <f t="shared" si="11"/>
        <v>#DIV/0!</v>
      </c>
    </row>
    <row r="59" spans="1:21" x14ac:dyDescent="0.2">
      <c r="A59" s="61" t="s">
        <v>183</v>
      </c>
      <c r="B59" s="62" t="s">
        <v>184</v>
      </c>
      <c r="C59" s="62" t="s">
        <v>185</v>
      </c>
      <c r="D59" s="62" t="s">
        <v>285</v>
      </c>
      <c r="E59" s="63" t="s">
        <v>286</v>
      </c>
      <c r="F59" s="62" t="s">
        <v>198</v>
      </c>
      <c r="G59" s="62" t="s">
        <v>155</v>
      </c>
      <c r="H59" s="62" t="s">
        <v>10</v>
      </c>
      <c r="I59" s="62" t="s">
        <v>121</v>
      </c>
      <c r="J59" s="62"/>
      <c r="K59" s="64">
        <v>12.2</v>
      </c>
      <c r="L59" s="64">
        <f t="shared" si="6"/>
        <v>12.2</v>
      </c>
      <c r="M59" s="65">
        <f>prodnorm28</f>
        <v>0</v>
      </c>
      <c r="N59" s="66">
        <f>dagwerk28</f>
        <v>0</v>
      </c>
      <c r="O59" s="62" t="s">
        <v>34</v>
      </c>
      <c r="P59" s="67">
        <f>uurtarief28</f>
        <v>0</v>
      </c>
      <c r="Q59" s="64" t="e">
        <f t="shared" si="7"/>
        <v>#DIV/0!</v>
      </c>
      <c r="R59" s="64" t="e">
        <f t="shared" si="8"/>
        <v>#DIV/0!</v>
      </c>
      <c r="S59" s="67" t="e">
        <f t="shared" si="9"/>
        <v>#DIV/0!</v>
      </c>
      <c r="T59" s="64" t="e">
        <f t="shared" si="10"/>
        <v>#DIV/0!</v>
      </c>
      <c r="U59" s="68" t="e">
        <f t="shared" si="11"/>
        <v>#DIV/0!</v>
      </c>
    </row>
    <row r="60" spans="1:21" x14ac:dyDescent="0.2">
      <c r="A60" s="61" t="s">
        <v>183</v>
      </c>
      <c r="B60" s="62" t="s">
        <v>184</v>
      </c>
      <c r="C60" s="62" t="s">
        <v>185</v>
      </c>
      <c r="D60" s="62" t="s">
        <v>287</v>
      </c>
      <c r="E60" s="63" t="s">
        <v>288</v>
      </c>
      <c r="F60" s="62" t="s">
        <v>188</v>
      </c>
      <c r="G60" s="62" t="s">
        <v>127</v>
      </c>
      <c r="H60" s="62" t="s">
        <v>13</v>
      </c>
      <c r="I60" s="62" t="s">
        <v>121</v>
      </c>
      <c r="J60" s="62"/>
      <c r="K60" s="64">
        <v>11.3</v>
      </c>
      <c r="L60" s="64">
        <f t="shared" si="6"/>
        <v>4.5200000000000005</v>
      </c>
      <c r="M60" s="65">
        <f t="shared" ref="M60:M66" si="15">prodnorm12</f>
        <v>0</v>
      </c>
      <c r="N60" s="66">
        <f t="shared" ref="N60:N66" si="16">dagwerk12</f>
        <v>0</v>
      </c>
      <c r="O60" s="62" t="s">
        <v>34</v>
      </c>
      <c r="P60" s="67">
        <f t="shared" ref="P60:P66" si="17">uurtarief12</f>
        <v>0</v>
      </c>
      <c r="Q60" s="64" t="e">
        <f t="shared" si="7"/>
        <v>#DIV/0!</v>
      </c>
      <c r="R60" s="64" t="e">
        <f t="shared" si="8"/>
        <v>#DIV/0!</v>
      </c>
      <c r="S60" s="67" t="e">
        <f t="shared" si="9"/>
        <v>#DIV/0!</v>
      </c>
      <c r="T60" s="64" t="e">
        <f t="shared" si="10"/>
        <v>#DIV/0!</v>
      </c>
      <c r="U60" s="68" t="e">
        <f t="shared" si="11"/>
        <v>#DIV/0!</v>
      </c>
    </row>
    <row r="61" spans="1:21" x14ac:dyDescent="0.2">
      <c r="A61" s="61" t="s">
        <v>183</v>
      </c>
      <c r="B61" s="62" t="s">
        <v>184</v>
      </c>
      <c r="C61" s="62" t="s">
        <v>185</v>
      </c>
      <c r="D61" s="62" t="s">
        <v>289</v>
      </c>
      <c r="E61" s="63" t="s">
        <v>288</v>
      </c>
      <c r="F61" s="62" t="s">
        <v>188</v>
      </c>
      <c r="G61" s="62" t="s">
        <v>127</v>
      </c>
      <c r="H61" s="62" t="s">
        <v>13</v>
      </c>
      <c r="I61" s="62" t="s">
        <v>121</v>
      </c>
      <c r="J61" s="62"/>
      <c r="K61" s="64">
        <v>11.6</v>
      </c>
      <c r="L61" s="64">
        <f t="shared" si="6"/>
        <v>4.6399999999999997</v>
      </c>
      <c r="M61" s="65">
        <f t="shared" si="15"/>
        <v>0</v>
      </c>
      <c r="N61" s="66">
        <f t="shared" si="16"/>
        <v>0</v>
      </c>
      <c r="O61" s="62" t="s">
        <v>34</v>
      </c>
      <c r="P61" s="67">
        <f t="shared" si="17"/>
        <v>0</v>
      </c>
      <c r="Q61" s="64" t="e">
        <f t="shared" si="7"/>
        <v>#DIV/0!</v>
      </c>
      <c r="R61" s="64" t="e">
        <f t="shared" si="8"/>
        <v>#DIV/0!</v>
      </c>
      <c r="S61" s="67" t="e">
        <f t="shared" si="9"/>
        <v>#DIV/0!</v>
      </c>
      <c r="T61" s="64" t="e">
        <f t="shared" si="10"/>
        <v>#DIV/0!</v>
      </c>
      <c r="U61" s="68" t="e">
        <f t="shared" si="11"/>
        <v>#DIV/0!</v>
      </c>
    </row>
    <row r="62" spans="1:21" x14ac:dyDescent="0.2">
      <c r="A62" s="61" t="s">
        <v>183</v>
      </c>
      <c r="B62" s="62" t="s">
        <v>184</v>
      </c>
      <c r="C62" s="62" t="s">
        <v>185</v>
      </c>
      <c r="D62" s="62" t="s">
        <v>290</v>
      </c>
      <c r="E62" s="63" t="s">
        <v>288</v>
      </c>
      <c r="F62" s="62" t="s">
        <v>188</v>
      </c>
      <c r="G62" s="62" t="s">
        <v>127</v>
      </c>
      <c r="H62" s="62" t="s">
        <v>13</v>
      </c>
      <c r="I62" s="62" t="s">
        <v>121</v>
      </c>
      <c r="J62" s="62"/>
      <c r="K62" s="64">
        <v>10.8</v>
      </c>
      <c r="L62" s="64">
        <f t="shared" si="6"/>
        <v>4.32</v>
      </c>
      <c r="M62" s="65">
        <f t="shared" si="15"/>
        <v>0</v>
      </c>
      <c r="N62" s="66">
        <f t="shared" si="16"/>
        <v>0</v>
      </c>
      <c r="O62" s="62" t="s">
        <v>34</v>
      </c>
      <c r="P62" s="67">
        <f t="shared" si="17"/>
        <v>0</v>
      </c>
      <c r="Q62" s="64" t="e">
        <f t="shared" si="7"/>
        <v>#DIV/0!</v>
      </c>
      <c r="R62" s="64" t="e">
        <f t="shared" si="8"/>
        <v>#DIV/0!</v>
      </c>
      <c r="S62" s="67" t="e">
        <f t="shared" si="9"/>
        <v>#DIV/0!</v>
      </c>
      <c r="T62" s="64" t="e">
        <f t="shared" si="10"/>
        <v>#DIV/0!</v>
      </c>
      <c r="U62" s="68" t="e">
        <f t="shared" si="11"/>
        <v>#DIV/0!</v>
      </c>
    </row>
    <row r="63" spans="1:21" x14ac:dyDescent="0.2">
      <c r="A63" s="61" t="s">
        <v>183</v>
      </c>
      <c r="B63" s="62" t="s">
        <v>184</v>
      </c>
      <c r="C63" s="62" t="s">
        <v>185</v>
      </c>
      <c r="D63" s="62" t="s">
        <v>291</v>
      </c>
      <c r="E63" s="63" t="s">
        <v>190</v>
      </c>
      <c r="F63" s="62" t="s">
        <v>188</v>
      </c>
      <c r="G63" s="62" t="s">
        <v>127</v>
      </c>
      <c r="H63" s="62" t="s">
        <v>13</v>
      </c>
      <c r="I63" s="62" t="s">
        <v>121</v>
      </c>
      <c r="J63" s="62"/>
      <c r="K63" s="64">
        <v>12.7</v>
      </c>
      <c r="L63" s="64">
        <f t="shared" si="6"/>
        <v>5.08</v>
      </c>
      <c r="M63" s="65">
        <f t="shared" si="15"/>
        <v>0</v>
      </c>
      <c r="N63" s="66">
        <f t="shared" si="16"/>
        <v>0</v>
      </c>
      <c r="O63" s="62" t="s">
        <v>34</v>
      </c>
      <c r="P63" s="67">
        <f t="shared" si="17"/>
        <v>0</v>
      </c>
      <c r="Q63" s="64" t="e">
        <f t="shared" si="7"/>
        <v>#DIV/0!</v>
      </c>
      <c r="R63" s="64" t="e">
        <f t="shared" si="8"/>
        <v>#DIV/0!</v>
      </c>
      <c r="S63" s="67" t="e">
        <f t="shared" si="9"/>
        <v>#DIV/0!</v>
      </c>
      <c r="T63" s="64" t="e">
        <f t="shared" si="10"/>
        <v>#DIV/0!</v>
      </c>
      <c r="U63" s="68" t="e">
        <f t="shared" si="11"/>
        <v>#DIV/0!</v>
      </c>
    </row>
    <row r="64" spans="1:21" x14ac:dyDescent="0.2">
      <c r="A64" s="61" t="s">
        <v>183</v>
      </c>
      <c r="B64" s="62" t="s">
        <v>184</v>
      </c>
      <c r="C64" s="62" t="s">
        <v>185</v>
      </c>
      <c r="D64" s="62" t="s">
        <v>292</v>
      </c>
      <c r="E64" s="63" t="s">
        <v>244</v>
      </c>
      <c r="F64" s="62" t="s">
        <v>188</v>
      </c>
      <c r="G64" s="62" t="s">
        <v>127</v>
      </c>
      <c r="H64" s="62" t="s">
        <v>13</v>
      </c>
      <c r="I64" s="62" t="s">
        <v>121</v>
      </c>
      <c r="J64" s="62"/>
      <c r="K64" s="64">
        <v>37.5</v>
      </c>
      <c r="L64" s="64">
        <f t="shared" si="6"/>
        <v>15</v>
      </c>
      <c r="M64" s="65">
        <f t="shared" si="15"/>
        <v>0</v>
      </c>
      <c r="N64" s="66">
        <f t="shared" si="16"/>
        <v>0</v>
      </c>
      <c r="O64" s="62" t="s">
        <v>34</v>
      </c>
      <c r="P64" s="67">
        <f t="shared" si="17"/>
        <v>0</v>
      </c>
      <c r="Q64" s="64" t="e">
        <f t="shared" si="7"/>
        <v>#DIV/0!</v>
      </c>
      <c r="R64" s="64" t="e">
        <f t="shared" si="8"/>
        <v>#DIV/0!</v>
      </c>
      <c r="S64" s="67" t="e">
        <f t="shared" si="9"/>
        <v>#DIV/0!</v>
      </c>
      <c r="T64" s="64" t="e">
        <f t="shared" si="10"/>
        <v>#DIV/0!</v>
      </c>
      <c r="U64" s="68" t="e">
        <f t="shared" si="11"/>
        <v>#DIV/0!</v>
      </c>
    </row>
    <row r="65" spans="1:21" x14ac:dyDescent="0.2">
      <c r="A65" s="61" t="s">
        <v>183</v>
      </c>
      <c r="B65" s="62" t="s">
        <v>184</v>
      </c>
      <c r="C65" s="62" t="s">
        <v>185</v>
      </c>
      <c r="D65" s="62" t="s">
        <v>293</v>
      </c>
      <c r="E65" s="63" t="s">
        <v>294</v>
      </c>
      <c r="F65" s="62" t="s">
        <v>188</v>
      </c>
      <c r="G65" s="62" t="s">
        <v>127</v>
      </c>
      <c r="H65" s="62" t="s">
        <v>13</v>
      </c>
      <c r="I65" s="62" t="s">
        <v>121</v>
      </c>
      <c r="J65" s="62"/>
      <c r="K65" s="64">
        <v>12.7</v>
      </c>
      <c r="L65" s="64">
        <f t="shared" si="6"/>
        <v>5.08</v>
      </c>
      <c r="M65" s="65">
        <f t="shared" si="15"/>
        <v>0</v>
      </c>
      <c r="N65" s="66">
        <f t="shared" si="16"/>
        <v>0</v>
      </c>
      <c r="O65" s="62" t="s">
        <v>34</v>
      </c>
      <c r="P65" s="67">
        <f t="shared" si="17"/>
        <v>0</v>
      </c>
      <c r="Q65" s="64" t="e">
        <f t="shared" si="7"/>
        <v>#DIV/0!</v>
      </c>
      <c r="R65" s="64" t="e">
        <f t="shared" si="8"/>
        <v>#DIV/0!</v>
      </c>
      <c r="S65" s="67" t="e">
        <f t="shared" si="9"/>
        <v>#DIV/0!</v>
      </c>
      <c r="T65" s="64" t="e">
        <f t="shared" si="10"/>
        <v>#DIV/0!</v>
      </c>
      <c r="U65" s="68" t="e">
        <f t="shared" si="11"/>
        <v>#DIV/0!</v>
      </c>
    </row>
    <row r="66" spans="1:21" x14ac:dyDescent="0.2">
      <c r="A66" s="61" t="s">
        <v>183</v>
      </c>
      <c r="B66" s="62" t="s">
        <v>184</v>
      </c>
      <c r="C66" s="62" t="s">
        <v>185</v>
      </c>
      <c r="D66" s="62" t="s">
        <v>295</v>
      </c>
      <c r="E66" s="63" t="s">
        <v>288</v>
      </c>
      <c r="F66" s="62" t="s">
        <v>188</v>
      </c>
      <c r="G66" s="62" t="s">
        <v>127</v>
      </c>
      <c r="H66" s="62" t="s">
        <v>13</v>
      </c>
      <c r="I66" s="62" t="s">
        <v>121</v>
      </c>
      <c r="J66" s="62"/>
      <c r="K66" s="64">
        <v>19.8</v>
      </c>
      <c r="L66" s="64">
        <f t="shared" si="6"/>
        <v>7.9200000000000008</v>
      </c>
      <c r="M66" s="65">
        <f t="shared" si="15"/>
        <v>0</v>
      </c>
      <c r="N66" s="66">
        <f t="shared" si="16"/>
        <v>0</v>
      </c>
      <c r="O66" s="62" t="s">
        <v>34</v>
      </c>
      <c r="P66" s="67">
        <f t="shared" si="17"/>
        <v>0</v>
      </c>
      <c r="Q66" s="64" t="e">
        <f t="shared" si="7"/>
        <v>#DIV/0!</v>
      </c>
      <c r="R66" s="64" t="e">
        <f t="shared" si="8"/>
        <v>#DIV/0!</v>
      </c>
      <c r="S66" s="67" t="e">
        <f t="shared" si="9"/>
        <v>#DIV/0!</v>
      </c>
      <c r="T66" s="64" t="e">
        <f t="shared" si="10"/>
        <v>#DIV/0!</v>
      </c>
      <c r="U66" s="68" t="e">
        <f t="shared" si="11"/>
        <v>#DIV/0!</v>
      </c>
    </row>
    <row r="67" spans="1:21" x14ac:dyDescent="0.2">
      <c r="A67" s="61" t="s">
        <v>183</v>
      </c>
      <c r="B67" s="62" t="s">
        <v>184</v>
      </c>
      <c r="C67" s="62" t="s">
        <v>185</v>
      </c>
      <c r="D67" s="62" t="s">
        <v>296</v>
      </c>
      <c r="E67" s="63" t="s">
        <v>231</v>
      </c>
      <c r="F67" s="62" t="s">
        <v>198</v>
      </c>
      <c r="G67" s="62" t="s">
        <v>153</v>
      </c>
      <c r="H67" s="62" t="s">
        <v>10</v>
      </c>
      <c r="I67" s="62" t="s">
        <v>121</v>
      </c>
      <c r="J67" s="62"/>
      <c r="K67" s="64">
        <v>5.8</v>
      </c>
      <c r="L67" s="64">
        <f t="shared" si="6"/>
        <v>5.8</v>
      </c>
      <c r="M67" s="65">
        <f>prodnorm27</f>
        <v>0</v>
      </c>
      <c r="N67" s="66">
        <f>dagwerk27</f>
        <v>0</v>
      </c>
      <c r="O67" s="62" t="s">
        <v>34</v>
      </c>
      <c r="P67" s="67">
        <f>uurtarief27</f>
        <v>0</v>
      </c>
      <c r="Q67" s="64" t="e">
        <f t="shared" si="7"/>
        <v>#DIV/0!</v>
      </c>
      <c r="R67" s="64" t="e">
        <f t="shared" si="8"/>
        <v>#DIV/0!</v>
      </c>
      <c r="S67" s="67" t="e">
        <f t="shared" si="9"/>
        <v>#DIV/0!</v>
      </c>
      <c r="T67" s="64" t="e">
        <f t="shared" si="10"/>
        <v>#DIV/0!</v>
      </c>
      <c r="U67" s="68" t="e">
        <f t="shared" si="11"/>
        <v>#DIV/0!</v>
      </c>
    </row>
    <row r="68" spans="1:21" x14ac:dyDescent="0.2">
      <c r="A68" s="61" t="s">
        <v>183</v>
      </c>
      <c r="B68" s="62" t="s">
        <v>184</v>
      </c>
      <c r="C68" s="62" t="s">
        <v>185</v>
      </c>
      <c r="D68" s="62" t="s">
        <v>297</v>
      </c>
      <c r="E68" s="63" t="s">
        <v>231</v>
      </c>
      <c r="F68" s="62" t="s">
        <v>198</v>
      </c>
      <c r="G68" s="62" t="s">
        <v>153</v>
      </c>
      <c r="H68" s="62" t="s">
        <v>10</v>
      </c>
      <c r="I68" s="62" t="s">
        <v>121</v>
      </c>
      <c r="J68" s="62"/>
      <c r="K68" s="64">
        <v>5.8</v>
      </c>
      <c r="L68" s="64">
        <f t="shared" si="6"/>
        <v>5.8</v>
      </c>
      <c r="M68" s="65">
        <f>prodnorm27</f>
        <v>0</v>
      </c>
      <c r="N68" s="66">
        <f>dagwerk27</f>
        <v>0</v>
      </c>
      <c r="O68" s="62" t="s">
        <v>34</v>
      </c>
      <c r="P68" s="67">
        <f>uurtarief27</f>
        <v>0</v>
      </c>
      <c r="Q68" s="64" t="e">
        <f t="shared" si="7"/>
        <v>#DIV/0!</v>
      </c>
      <c r="R68" s="64" t="e">
        <f t="shared" si="8"/>
        <v>#DIV/0!</v>
      </c>
      <c r="S68" s="67" t="e">
        <f t="shared" si="9"/>
        <v>#DIV/0!</v>
      </c>
      <c r="T68" s="64" t="e">
        <f t="shared" si="10"/>
        <v>#DIV/0!</v>
      </c>
      <c r="U68" s="68" t="e">
        <f t="shared" si="11"/>
        <v>#DIV/0!</v>
      </c>
    </row>
    <row r="69" spans="1:21" x14ac:dyDescent="0.2">
      <c r="A69" s="61" t="s">
        <v>183</v>
      </c>
      <c r="B69" s="62" t="s">
        <v>184</v>
      </c>
      <c r="C69" s="62" t="s">
        <v>185</v>
      </c>
      <c r="D69" s="62" t="s">
        <v>298</v>
      </c>
      <c r="E69" s="63" t="s">
        <v>288</v>
      </c>
      <c r="F69" s="62" t="s">
        <v>188</v>
      </c>
      <c r="G69" s="62" t="s">
        <v>127</v>
      </c>
      <c r="H69" s="62" t="s">
        <v>13</v>
      </c>
      <c r="I69" s="62" t="s">
        <v>121</v>
      </c>
      <c r="J69" s="62"/>
      <c r="K69" s="64">
        <v>14.1</v>
      </c>
      <c r="L69" s="64">
        <f t="shared" ref="L69:L100" si="18">K69*VLOOKUP(H69,dagsoorttabel1,2,FALSE)</f>
        <v>5.6400000000000006</v>
      </c>
      <c r="M69" s="65">
        <f>prodnorm12</f>
        <v>0</v>
      </c>
      <c r="N69" s="66">
        <f>dagwerk12</f>
        <v>0</v>
      </c>
      <c r="O69" s="62" t="s">
        <v>34</v>
      </c>
      <c r="P69" s="67">
        <f>uurtarief12</f>
        <v>0</v>
      </c>
      <c r="Q69" s="64" t="e">
        <f t="shared" ref="Q69:Q100" si="19">IF(ISBLANK(M69),0,L69/ROUND(M69,4))</f>
        <v>#DIV/0!</v>
      </c>
      <c r="R69" s="64" t="e">
        <f t="shared" ref="R69:R100" si="20">IF(ISBLANK(M69),0,Q69*ROUND(N69,2))</f>
        <v>#DIV/0!</v>
      </c>
      <c r="S69" s="67" t="e">
        <f t="shared" ref="S69:S100" si="21">ROUND(P69,2)*Q69</f>
        <v>#DIV/0!</v>
      </c>
      <c r="T69" s="64" t="e">
        <f t="shared" ref="T69:T100" si="22">Q69*dagenperjaar1</f>
        <v>#DIV/0!</v>
      </c>
      <c r="U69" s="68" t="e">
        <f t="shared" ref="U69:U100" si="23">T69*ROUND(P69,2)</f>
        <v>#DIV/0!</v>
      </c>
    </row>
    <row r="70" spans="1:21" x14ac:dyDescent="0.2">
      <c r="A70" s="61" t="s">
        <v>183</v>
      </c>
      <c r="B70" s="62" t="s">
        <v>184</v>
      </c>
      <c r="C70" s="62" t="s">
        <v>185</v>
      </c>
      <c r="D70" s="62" t="s">
        <v>299</v>
      </c>
      <c r="E70" s="63" t="s">
        <v>300</v>
      </c>
      <c r="F70" s="62" t="s">
        <v>188</v>
      </c>
      <c r="G70" s="62" t="s">
        <v>127</v>
      </c>
      <c r="H70" s="62" t="s">
        <v>13</v>
      </c>
      <c r="I70" s="62" t="s">
        <v>121</v>
      </c>
      <c r="J70" s="62"/>
      <c r="K70" s="64">
        <v>27.1</v>
      </c>
      <c r="L70" s="64">
        <f t="shared" si="18"/>
        <v>10.840000000000002</v>
      </c>
      <c r="M70" s="65">
        <f>prodnorm12</f>
        <v>0</v>
      </c>
      <c r="N70" s="66">
        <f>dagwerk12</f>
        <v>0</v>
      </c>
      <c r="O70" s="62" t="s">
        <v>34</v>
      </c>
      <c r="P70" s="67">
        <f>uurtarief12</f>
        <v>0</v>
      </c>
      <c r="Q70" s="64" t="e">
        <f t="shared" si="19"/>
        <v>#DIV/0!</v>
      </c>
      <c r="R70" s="64" t="e">
        <f t="shared" si="20"/>
        <v>#DIV/0!</v>
      </c>
      <c r="S70" s="67" t="e">
        <f t="shared" si="21"/>
        <v>#DIV/0!</v>
      </c>
      <c r="T70" s="64" t="e">
        <f t="shared" si="22"/>
        <v>#DIV/0!</v>
      </c>
      <c r="U70" s="68" t="e">
        <f t="shared" si="23"/>
        <v>#DIV/0!</v>
      </c>
    </row>
    <row r="71" spans="1:21" x14ac:dyDescent="0.2">
      <c r="A71" s="61" t="s">
        <v>183</v>
      </c>
      <c r="B71" s="62" t="s">
        <v>184</v>
      </c>
      <c r="C71" s="62" t="s">
        <v>185</v>
      </c>
      <c r="D71" s="62" t="s">
        <v>301</v>
      </c>
      <c r="E71" s="63" t="s">
        <v>302</v>
      </c>
      <c r="F71" s="62" t="s">
        <v>188</v>
      </c>
      <c r="G71" s="62" t="s">
        <v>159</v>
      </c>
      <c r="H71" s="62" t="s">
        <v>10</v>
      </c>
      <c r="I71" s="62" t="s">
        <v>121</v>
      </c>
      <c r="J71" s="62"/>
      <c r="K71" s="64">
        <v>8</v>
      </c>
      <c r="L71" s="64">
        <f t="shared" si="18"/>
        <v>8</v>
      </c>
      <c r="M71" s="65">
        <f>prodnorm30</f>
        <v>0</v>
      </c>
      <c r="N71" s="66">
        <f>dagwerk30</f>
        <v>0</v>
      </c>
      <c r="O71" s="62" t="s">
        <v>34</v>
      </c>
      <c r="P71" s="67">
        <f>uurtarief30</f>
        <v>0</v>
      </c>
      <c r="Q71" s="64" t="e">
        <f t="shared" si="19"/>
        <v>#DIV/0!</v>
      </c>
      <c r="R71" s="64" t="e">
        <f t="shared" si="20"/>
        <v>#DIV/0!</v>
      </c>
      <c r="S71" s="67" t="e">
        <f t="shared" si="21"/>
        <v>#DIV/0!</v>
      </c>
      <c r="T71" s="64" t="e">
        <f t="shared" si="22"/>
        <v>#DIV/0!</v>
      </c>
      <c r="U71" s="68" t="e">
        <f t="shared" si="23"/>
        <v>#DIV/0!</v>
      </c>
    </row>
    <row r="72" spans="1:21" x14ac:dyDescent="0.2">
      <c r="A72" s="61" t="s">
        <v>183</v>
      </c>
      <c r="B72" s="62" t="s">
        <v>184</v>
      </c>
      <c r="C72" s="62" t="s">
        <v>185</v>
      </c>
      <c r="D72" s="62" t="s">
        <v>303</v>
      </c>
      <c r="E72" s="63" t="s">
        <v>304</v>
      </c>
      <c r="F72" s="62" t="s">
        <v>188</v>
      </c>
      <c r="G72" s="62" t="s">
        <v>147</v>
      </c>
      <c r="H72" s="62" t="s">
        <v>10</v>
      </c>
      <c r="I72" s="62" t="s">
        <v>121</v>
      </c>
      <c r="J72" s="62"/>
      <c r="K72" s="64">
        <v>6</v>
      </c>
      <c r="L72" s="64">
        <f t="shared" si="18"/>
        <v>6</v>
      </c>
      <c r="M72" s="65">
        <f>prodnorm24</f>
        <v>0</v>
      </c>
      <c r="N72" s="66">
        <f>dagwerk24</f>
        <v>0</v>
      </c>
      <c r="O72" s="62" t="s">
        <v>34</v>
      </c>
      <c r="P72" s="67">
        <f>uurtarief24</f>
        <v>0</v>
      </c>
      <c r="Q72" s="64" t="e">
        <f t="shared" si="19"/>
        <v>#DIV/0!</v>
      </c>
      <c r="R72" s="64" t="e">
        <f t="shared" si="20"/>
        <v>#DIV/0!</v>
      </c>
      <c r="S72" s="67" t="e">
        <f t="shared" si="21"/>
        <v>#DIV/0!</v>
      </c>
      <c r="T72" s="64" t="e">
        <f t="shared" si="22"/>
        <v>#DIV/0!</v>
      </c>
      <c r="U72" s="68" t="e">
        <f t="shared" si="23"/>
        <v>#DIV/0!</v>
      </c>
    </row>
    <row r="73" spans="1:21" x14ac:dyDescent="0.2">
      <c r="A73" s="61" t="s">
        <v>183</v>
      </c>
      <c r="B73" s="62" t="s">
        <v>184</v>
      </c>
      <c r="C73" s="62" t="s">
        <v>185</v>
      </c>
      <c r="D73" s="62" t="s">
        <v>305</v>
      </c>
      <c r="E73" s="63" t="s">
        <v>306</v>
      </c>
      <c r="F73" s="62" t="s">
        <v>188</v>
      </c>
      <c r="G73" s="62" t="s">
        <v>159</v>
      </c>
      <c r="H73" s="62" t="s">
        <v>10</v>
      </c>
      <c r="I73" s="62" t="s">
        <v>121</v>
      </c>
      <c r="J73" s="62"/>
      <c r="K73" s="64">
        <v>57.6</v>
      </c>
      <c r="L73" s="64">
        <f t="shared" si="18"/>
        <v>57.6</v>
      </c>
      <c r="M73" s="65">
        <f>prodnorm30</f>
        <v>0</v>
      </c>
      <c r="N73" s="66">
        <f>dagwerk30</f>
        <v>0</v>
      </c>
      <c r="O73" s="62" t="s">
        <v>34</v>
      </c>
      <c r="P73" s="67">
        <f>uurtarief30</f>
        <v>0</v>
      </c>
      <c r="Q73" s="64" t="e">
        <f t="shared" si="19"/>
        <v>#DIV/0!</v>
      </c>
      <c r="R73" s="64" t="e">
        <f t="shared" si="20"/>
        <v>#DIV/0!</v>
      </c>
      <c r="S73" s="67" t="e">
        <f t="shared" si="21"/>
        <v>#DIV/0!</v>
      </c>
      <c r="T73" s="64" t="e">
        <f t="shared" si="22"/>
        <v>#DIV/0!</v>
      </c>
      <c r="U73" s="68" t="e">
        <f t="shared" si="23"/>
        <v>#DIV/0!</v>
      </c>
    </row>
    <row r="74" spans="1:21" x14ac:dyDescent="0.2">
      <c r="A74" s="61" t="s">
        <v>183</v>
      </c>
      <c r="B74" s="62" t="s">
        <v>184</v>
      </c>
      <c r="C74" s="62" t="s">
        <v>185</v>
      </c>
      <c r="D74" s="62" t="s">
        <v>307</v>
      </c>
      <c r="E74" s="63" t="s">
        <v>286</v>
      </c>
      <c r="F74" s="62" t="s">
        <v>198</v>
      </c>
      <c r="G74" s="62" t="s">
        <v>155</v>
      </c>
      <c r="H74" s="62" t="s">
        <v>10</v>
      </c>
      <c r="I74" s="62" t="s">
        <v>121</v>
      </c>
      <c r="J74" s="62"/>
      <c r="K74" s="64">
        <v>12.2</v>
      </c>
      <c r="L74" s="64">
        <f t="shared" si="18"/>
        <v>12.2</v>
      </c>
      <c r="M74" s="65">
        <f>prodnorm28</f>
        <v>0</v>
      </c>
      <c r="N74" s="66">
        <f>dagwerk28</f>
        <v>0</v>
      </c>
      <c r="O74" s="62" t="s">
        <v>34</v>
      </c>
      <c r="P74" s="67">
        <f>uurtarief28</f>
        <v>0</v>
      </c>
      <c r="Q74" s="64" t="e">
        <f t="shared" si="19"/>
        <v>#DIV/0!</v>
      </c>
      <c r="R74" s="64" t="e">
        <f t="shared" si="20"/>
        <v>#DIV/0!</v>
      </c>
      <c r="S74" s="67" t="e">
        <f t="shared" si="21"/>
        <v>#DIV/0!</v>
      </c>
      <c r="T74" s="64" t="e">
        <f t="shared" si="22"/>
        <v>#DIV/0!</v>
      </c>
      <c r="U74" s="68" t="e">
        <f t="shared" si="23"/>
        <v>#DIV/0!</v>
      </c>
    </row>
    <row r="75" spans="1:21" x14ac:dyDescent="0.2">
      <c r="A75" s="61" t="s">
        <v>183</v>
      </c>
      <c r="B75" s="62" t="s">
        <v>184</v>
      </c>
      <c r="C75" s="62" t="s">
        <v>185</v>
      </c>
      <c r="D75" s="62" t="s">
        <v>308</v>
      </c>
      <c r="E75" s="63" t="s">
        <v>309</v>
      </c>
      <c r="F75" s="62" t="s">
        <v>198</v>
      </c>
      <c r="G75" s="62" t="s">
        <v>155</v>
      </c>
      <c r="H75" s="62" t="s">
        <v>10</v>
      </c>
      <c r="I75" s="62" t="s">
        <v>121</v>
      </c>
      <c r="J75" s="62"/>
      <c r="K75" s="64">
        <v>24.4</v>
      </c>
      <c r="L75" s="64">
        <f t="shared" si="18"/>
        <v>24.4</v>
      </c>
      <c r="M75" s="65">
        <f>prodnorm28</f>
        <v>0</v>
      </c>
      <c r="N75" s="66">
        <f>dagwerk28</f>
        <v>0</v>
      </c>
      <c r="O75" s="62" t="s">
        <v>34</v>
      </c>
      <c r="P75" s="67">
        <f>uurtarief28</f>
        <v>0</v>
      </c>
      <c r="Q75" s="64" t="e">
        <f t="shared" si="19"/>
        <v>#DIV/0!</v>
      </c>
      <c r="R75" s="64" t="e">
        <f t="shared" si="20"/>
        <v>#DIV/0!</v>
      </c>
      <c r="S75" s="67" t="e">
        <f t="shared" si="21"/>
        <v>#DIV/0!</v>
      </c>
      <c r="T75" s="64" t="e">
        <f t="shared" si="22"/>
        <v>#DIV/0!</v>
      </c>
      <c r="U75" s="68" t="e">
        <f t="shared" si="23"/>
        <v>#DIV/0!</v>
      </c>
    </row>
    <row r="76" spans="1:21" x14ac:dyDescent="0.2">
      <c r="A76" s="61" t="s">
        <v>183</v>
      </c>
      <c r="B76" s="62" t="s">
        <v>184</v>
      </c>
      <c r="C76" s="62" t="s">
        <v>185</v>
      </c>
      <c r="D76" s="62" t="s">
        <v>310</v>
      </c>
      <c r="E76" s="63" t="s">
        <v>311</v>
      </c>
      <c r="F76" s="62" t="s">
        <v>312</v>
      </c>
      <c r="G76" s="62" t="s">
        <v>157</v>
      </c>
      <c r="H76" s="62" t="s">
        <v>10</v>
      </c>
      <c r="I76" s="62" t="s">
        <v>121</v>
      </c>
      <c r="J76" s="62"/>
      <c r="K76" s="64">
        <v>179.1</v>
      </c>
      <c r="L76" s="64">
        <f t="shared" si="18"/>
        <v>179.1</v>
      </c>
      <c r="M76" s="65">
        <f>prodnorm29</f>
        <v>0</v>
      </c>
      <c r="N76" s="66">
        <f>dagwerk29</f>
        <v>0</v>
      </c>
      <c r="O76" s="62" t="s">
        <v>34</v>
      </c>
      <c r="P76" s="67">
        <f>uurtarief29</f>
        <v>0</v>
      </c>
      <c r="Q76" s="64" t="e">
        <f t="shared" si="19"/>
        <v>#DIV/0!</v>
      </c>
      <c r="R76" s="64" t="e">
        <f t="shared" si="20"/>
        <v>#DIV/0!</v>
      </c>
      <c r="S76" s="67" t="e">
        <f t="shared" si="21"/>
        <v>#DIV/0!</v>
      </c>
      <c r="T76" s="64" t="e">
        <f t="shared" si="22"/>
        <v>#DIV/0!</v>
      </c>
      <c r="U76" s="68" t="e">
        <f t="shared" si="23"/>
        <v>#DIV/0!</v>
      </c>
    </row>
    <row r="77" spans="1:21" x14ac:dyDescent="0.2">
      <c r="A77" s="61" t="s">
        <v>183</v>
      </c>
      <c r="B77" s="62" t="s">
        <v>184</v>
      </c>
      <c r="C77" s="62" t="s">
        <v>185</v>
      </c>
      <c r="D77" s="62" t="s">
        <v>313</v>
      </c>
      <c r="E77" s="63" t="s">
        <v>314</v>
      </c>
      <c r="F77" s="62" t="s">
        <v>188</v>
      </c>
      <c r="G77" s="62" t="s">
        <v>135</v>
      </c>
      <c r="H77" s="62" t="s">
        <v>10</v>
      </c>
      <c r="I77" s="62" t="s">
        <v>121</v>
      </c>
      <c r="J77" s="62"/>
      <c r="K77" s="64">
        <v>6.2</v>
      </c>
      <c r="L77" s="64">
        <f t="shared" si="18"/>
        <v>6.2</v>
      </c>
      <c r="M77" s="65">
        <f>prodnorm17</f>
        <v>0</v>
      </c>
      <c r="N77" s="66">
        <f>dagwerk17</f>
        <v>0</v>
      </c>
      <c r="O77" s="62" t="s">
        <v>34</v>
      </c>
      <c r="P77" s="67">
        <f>uurtarief17</f>
        <v>0</v>
      </c>
      <c r="Q77" s="64" t="e">
        <f t="shared" si="19"/>
        <v>#DIV/0!</v>
      </c>
      <c r="R77" s="64" t="e">
        <f t="shared" si="20"/>
        <v>#DIV/0!</v>
      </c>
      <c r="S77" s="67" t="e">
        <f t="shared" si="21"/>
        <v>#DIV/0!</v>
      </c>
      <c r="T77" s="64" t="e">
        <f t="shared" si="22"/>
        <v>#DIV/0!</v>
      </c>
      <c r="U77" s="68" t="e">
        <f t="shared" si="23"/>
        <v>#DIV/0!</v>
      </c>
    </row>
    <row r="78" spans="1:21" x14ac:dyDescent="0.2">
      <c r="A78" s="61" t="s">
        <v>183</v>
      </c>
      <c r="B78" s="62" t="s">
        <v>184</v>
      </c>
      <c r="C78" s="62" t="s">
        <v>185</v>
      </c>
      <c r="D78" s="62" t="s">
        <v>315</v>
      </c>
      <c r="E78" s="63" t="s">
        <v>316</v>
      </c>
      <c r="F78" s="62" t="s">
        <v>188</v>
      </c>
      <c r="G78" s="62" t="s">
        <v>135</v>
      </c>
      <c r="H78" s="62" t="s">
        <v>10</v>
      </c>
      <c r="I78" s="62" t="s">
        <v>121</v>
      </c>
      <c r="J78" s="62"/>
      <c r="K78" s="64">
        <v>1.8</v>
      </c>
      <c r="L78" s="64">
        <f t="shared" si="18"/>
        <v>1.8</v>
      </c>
      <c r="M78" s="65">
        <f>prodnorm17</f>
        <v>0</v>
      </c>
      <c r="N78" s="66">
        <f>dagwerk17</f>
        <v>0</v>
      </c>
      <c r="O78" s="62" t="s">
        <v>34</v>
      </c>
      <c r="P78" s="67">
        <f>uurtarief17</f>
        <v>0</v>
      </c>
      <c r="Q78" s="64" t="e">
        <f t="shared" si="19"/>
        <v>#DIV/0!</v>
      </c>
      <c r="R78" s="64" t="e">
        <f t="shared" si="20"/>
        <v>#DIV/0!</v>
      </c>
      <c r="S78" s="67" t="e">
        <f t="shared" si="21"/>
        <v>#DIV/0!</v>
      </c>
      <c r="T78" s="64" t="e">
        <f t="shared" si="22"/>
        <v>#DIV/0!</v>
      </c>
      <c r="U78" s="68" t="e">
        <f t="shared" si="23"/>
        <v>#DIV/0!</v>
      </c>
    </row>
    <row r="79" spans="1:21" x14ac:dyDescent="0.2">
      <c r="A79" s="61" t="s">
        <v>183</v>
      </c>
      <c r="B79" s="62" t="s">
        <v>184</v>
      </c>
      <c r="C79" s="62" t="s">
        <v>185</v>
      </c>
      <c r="D79" s="62" t="s">
        <v>317</v>
      </c>
      <c r="E79" s="63" t="s">
        <v>306</v>
      </c>
      <c r="F79" s="62" t="s">
        <v>188</v>
      </c>
      <c r="G79" s="62" t="s">
        <v>159</v>
      </c>
      <c r="H79" s="62" t="s">
        <v>10</v>
      </c>
      <c r="I79" s="62" t="s">
        <v>121</v>
      </c>
      <c r="J79" s="62"/>
      <c r="K79" s="64">
        <v>82.2</v>
      </c>
      <c r="L79" s="64">
        <f t="shared" si="18"/>
        <v>82.2</v>
      </c>
      <c r="M79" s="65">
        <f>prodnorm30</f>
        <v>0</v>
      </c>
      <c r="N79" s="66">
        <f>dagwerk30</f>
        <v>0</v>
      </c>
      <c r="O79" s="62" t="s">
        <v>34</v>
      </c>
      <c r="P79" s="67">
        <f>uurtarief30</f>
        <v>0</v>
      </c>
      <c r="Q79" s="64" t="e">
        <f t="shared" si="19"/>
        <v>#DIV/0!</v>
      </c>
      <c r="R79" s="64" t="e">
        <f t="shared" si="20"/>
        <v>#DIV/0!</v>
      </c>
      <c r="S79" s="67" t="e">
        <f t="shared" si="21"/>
        <v>#DIV/0!</v>
      </c>
      <c r="T79" s="64" t="e">
        <f t="shared" si="22"/>
        <v>#DIV/0!</v>
      </c>
      <c r="U79" s="68" t="e">
        <f t="shared" si="23"/>
        <v>#DIV/0!</v>
      </c>
    </row>
    <row r="80" spans="1:21" x14ac:dyDescent="0.2">
      <c r="A80" s="61" t="s">
        <v>183</v>
      </c>
      <c r="B80" s="62" t="s">
        <v>184</v>
      </c>
      <c r="C80" s="62" t="s">
        <v>185</v>
      </c>
      <c r="D80" s="62" t="s">
        <v>318</v>
      </c>
      <c r="E80" s="63" t="s">
        <v>286</v>
      </c>
      <c r="F80" s="62" t="s">
        <v>198</v>
      </c>
      <c r="G80" s="62" t="s">
        <v>155</v>
      </c>
      <c r="H80" s="62" t="s">
        <v>10</v>
      </c>
      <c r="I80" s="62" t="s">
        <v>121</v>
      </c>
      <c r="J80" s="62"/>
      <c r="K80" s="64">
        <v>31</v>
      </c>
      <c r="L80" s="64">
        <f t="shared" si="18"/>
        <v>31</v>
      </c>
      <c r="M80" s="65">
        <f>prodnorm28</f>
        <v>0</v>
      </c>
      <c r="N80" s="66">
        <f>dagwerk28</f>
        <v>0</v>
      </c>
      <c r="O80" s="62" t="s">
        <v>34</v>
      </c>
      <c r="P80" s="67">
        <f>uurtarief28</f>
        <v>0</v>
      </c>
      <c r="Q80" s="64" t="e">
        <f t="shared" si="19"/>
        <v>#DIV/0!</v>
      </c>
      <c r="R80" s="64" t="e">
        <f t="shared" si="20"/>
        <v>#DIV/0!</v>
      </c>
      <c r="S80" s="67" t="e">
        <f t="shared" si="21"/>
        <v>#DIV/0!</v>
      </c>
      <c r="T80" s="64" t="e">
        <f t="shared" si="22"/>
        <v>#DIV/0!</v>
      </c>
      <c r="U80" s="68" t="e">
        <f t="shared" si="23"/>
        <v>#DIV/0!</v>
      </c>
    </row>
    <row r="81" spans="1:21" x14ac:dyDescent="0.2">
      <c r="A81" s="61" t="s">
        <v>183</v>
      </c>
      <c r="B81" s="62" t="s">
        <v>184</v>
      </c>
      <c r="C81" s="62" t="s">
        <v>185</v>
      </c>
      <c r="D81" s="62" t="s">
        <v>319</v>
      </c>
      <c r="E81" s="63" t="s">
        <v>306</v>
      </c>
      <c r="F81" s="62" t="s">
        <v>188</v>
      </c>
      <c r="G81" s="62" t="s">
        <v>159</v>
      </c>
      <c r="H81" s="62" t="s">
        <v>10</v>
      </c>
      <c r="I81" s="62" t="s">
        <v>121</v>
      </c>
      <c r="J81" s="62"/>
      <c r="K81" s="64">
        <v>68</v>
      </c>
      <c r="L81" s="64">
        <f t="shared" si="18"/>
        <v>68</v>
      </c>
      <c r="M81" s="65">
        <f>prodnorm30</f>
        <v>0</v>
      </c>
      <c r="N81" s="66">
        <f>dagwerk30</f>
        <v>0</v>
      </c>
      <c r="O81" s="62" t="s">
        <v>34</v>
      </c>
      <c r="P81" s="67">
        <f>uurtarief30</f>
        <v>0</v>
      </c>
      <c r="Q81" s="64" t="e">
        <f t="shared" si="19"/>
        <v>#DIV/0!</v>
      </c>
      <c r="R81" s="64" t="e">
        <f t="shared" si="20"/>
        <v>#DIV/0!</v>
      </c>
      <c r="S81" s="67" t="e">
        <f t="shared" si="21"/>
        <v>#DIV/0!</v>
      </c>
      <c r="T81" s="64" t="e">
        <f t="shared" si="22"/>
        <v>#DIV/0!</v>
      </c>
      <c r="U81" s="68" t="e">
        <f t="shared" si="23"/>
        <v>#DIV/0!</v>
      </c>
    </row>
    <row r="82" spans="1:21" x14ac:dyDescent="0.2">
      <c r="A82" s="61" t="s">
        <v>183</v>
      </c>
      <c r="B82" s="62" t="s">
        <v>184</v>
      </c>
      <c r="C82" s="62" t="s">
        <v>185</v>
      </c>
      <c r="D82" s="62" t="s">
        <v>320</v>
      </c>
      <c r="E82" s="63" t="s">
        <v>284</v>
      </c>
      <c r="F82" s="62" t="s">
        <v>188</v>
      </c>
      <c r="G82" s="62" t="s">
        <v>147</v>
      </c>
      <c r="H82" s="62" t="s">
        <v>10</v>
      </c>
      <c r="I82" s="62" t="s">
        <v>121</v>
      </c>
      <c r="J82" s="62"/>
      <c r="K82" s="64">
        <v>4</v>
      </c>
      <c r="L82" s="64">
        <f t="shared" si="18"/>
        <v>4</v>
      </c>
      <c r="M82" s="65">
        <f>prodnorm24</f>
        <v>0</v>
      </c>
      <c r="N82" s="66">
        <f>dagwerk24</f>
        <v>0</v>
      </c>
      <c r="O82" s="62" t="s">
        <v>34</v>
      </c>
      <c r="P82" s="67">
        <f>uurtarief24</f>
        <v>0</v>
      </c>
      <c r="Q82" s="64" t="e">
        <f t="shared" si="19"/>
        <v>#DIV/0!</v>
      </c>
      <c r="R82" s="64" t="e">
        <f t="shared" si="20"/>
        <v>#DIV/0!</v>
      </c>
      <c r="S82" s="67" t="e">
        <f t="shared" si="21"/>
        <v>#DIV/0!</v>
      </c>
      <c r="T82" s="64" t="e">
        <f t="shared" si="22"/>
        <v>#DIV/0!</v>
      </c>
      <c r="U82" s="68" t="e">
        <f t="shared" si="23"/>
        <v>#DIV/0!</v>
      </c>
    </row>
    <row r="83" spans="1:21" x14ac:dyDescent="0.2">
      <c r="A83" s="61" t="s">
        <v>183</v>
      </c>
      <c r="B83" s="62" t="s">
        <v>184</v>
      </c>
      <c r="C83" s="62" t="s">
        <v>185</v>
      </c>
      <c r="D83" s="62" t="s">
        <v>321</v>
      </c>
      <c r="E83" s="63" t="s">
        <v>286</v>
      </c>
      <c r="F83" s="62" t="s">
        <v>198</v>
      </c>
      <c r="G83" s="62" t="s">
        <v>155</v>
      </c>
      <c r="H83" s="62" t="s">
        <v>10</v>
      </c>
      <c r="I83" s="62" t="s">
        <v>121</v>
      </c>
      <c r="J83" s="62"/>
      <c r="K83" s="64">
        <v>31</v>
      </c>
      <c r="L83" s="64">
        <f t="shared" si="18"/>
        <v>31</v>
      </c>
      <c r="M83" s="65">
        <f>prodnorm28</f>
        <v>0</v>
      </c>
      <c r="N83" s="66">
        <f>dagwerk28</f>
        <v>0</v>
      </c>
      <c r="O83" s="62" t="s">
        <v>34</v>
      </c>
      <c r="P83" s="67">
        <f>uurtarief28</f>
        <v>0</v>
      </c>
      <c r="Q83" s="64" t="e">
        <f t="shared" si="19"/>
        <v>#DIV/0!</v>
      </c>
      <c r="R83" s="64" t="e">
        <f t="shared" si="20"/>
        <v>#DIV/0!</v>
      </c>
      <c r="S83" s="67" t="e">
        <f t="shared" si="21"/>
        <v>#DIV/0!</v>
      </c>
      <c r="T83" s="64" t="e">
        <f t="shared" si="22"/>
        <v>#DIV/0!</v>
      </c>
      <c r="U83" s="68" t="e">
        <f t="shared" si="23"/>
        <v>#DIV/0!</v>
      </c>
    </row>
    <row r="84" spans="1:21" x14ac:dyDescent="0.2">
      <c r="A84" s="61" t="s">
        <v>183</v>
      </c>
      <c r="B84" s="62" t="s">
        <v>184</v>
      </c>
      <c r="C84" s="62" t="s">
        <v>322</v>
      </c>
      <c r="D84" s="62" t="s">
        <v>323</v>
      </c>
      <c r="E84" s="63" t="s">
        <v>324</v>
      </c>
      <c r="F84" s="62" t="s">
        <v>188</v>
      </c>
      <c r="G84" s="62" t="s">
        <v>127</v>
      </c>
      <c r="H84" s="62" t="s">
        <v>13</v>
      </c>
      <c r="I84" s="62" t="s">
        <v>121</v>
      </c>
      <c r="J84" s="62"/>
      <c r="K84" s="64">
        <v>26.5</v>
      </c>
      <c r="L84" s="64">
        <f t="shared" si="18"/>
        <v>10.600000000000001</v>
      </c>
      <c r="M84" s="65">
        <f>prodnorm12</f>
        <v>0</v>
      </c>
      <c r="N84" s="66">
        <f>dagwerk12</f>
        <v>0</v>
      </c>
      <c r="O84" s="62" t="s">
        <v>34</v>
      </c>
      <c r="P84" s="67">
        <f>uurtarief12</f>
        <v>0</v>
      </c>
      <c r="Q84" s="64" t="e">
        <f t="shared" si="19"/>
        <v>#DIV/0!</v>
      </c>
      <c r="R84" s="64" t="e">
        <f t="shared" si="20"/>
        <v>#DIV/0!</v>
      </c>
      <c r="S84" s="67" t="e">
        <f t="shared" si="21"/>
        <v>#DIV/0!</v>
      </c>
      <c r="T84" s="64" t="e">
        <f t="shared" si="22"/>
        <v>#DIV/0!</v>
      </c>
      <c r="U84" s="68" t="e">
        <f t="shared" si="23"/>
        <v>#DIV/0!</v>
      </c>
    </row>
    <row r="85" spans="1:21" x14ac:dyDescent="0.2">
      <c r="A85" s="61" t="s">
        <v>183</v>
      </c>
      <c r="B85" s="62" t="s">
        <v>184</v>
      </c>
      <c r="C85" s="62" t="s">
        <v>322</v>
      </c>
      <c r="D85" s="62" t="s">
        <v>325</v>
      </c>
      <c r="E85" s="63" t="s">
        <v>326</v>
      </c>
      <c r="F85" s="62" t="s">
        <v>188</v>
      </c>
      <c r="G85" s="62" t="s">
        <v>143</v>
      </c>
      <c r="H85" s="62" t="s">
        <v>11</v>
      </c>
      <c r="I85" s="62" t="s">
        <v>121</v>
      </c>
      <c r="J85" s="62"/>
      <c r="K85" s="64">
        <v>40.1</v>
      </c>
      <c r="L85" s="64">
        <f t="shared" si="18"/>
        <v>32.080000000000005</v>
      </c>
      <c r="M85" s="65">
        <f>prodnorm22</f>
        <v>0</v>
      </c>
      <c r="N85" s="66">
        <f>dagwerk22</f>
        <v>0</v>
      </c>
      <c r="O85" s="62" t="s">
        <v>34</v>
      </c>
      <c r="P85" s="67">
        <f>uurtarief22</f>
        <v>0</v>
      </c>
      <c r="Q85" s="64" t="e">
        <f t="shared" si="19"/>
        <v>#DIV/0!</v>
      </c>
      <c r="R85" s="64" t="e">
        <f t="shared" si="20"/>
        <v>#DIV/0!</v>
      </c>
      <c r="S85" s="67" t="e">
        <f t="shared" si="21"/>
        <v>#DIV/0!</v>
      </c>
      <c r="T85" s="64" t="e">
        <f t="shared" si="22"/>
        <v>#DIV/0!</v>
      </c>
      <c r="U85" s="68" t="e">
        <f t="shared" si="23"/>
        <v>#DIV/0!</v>
      </c>
    </row>
    <row r="86" spans="1:21" x14ac:dyDescent="0.2">
      <c r="A86" s="61" t="s">
        <v>183</v>
      </c>
      <c r="B86" s="62" t="s">
        <v>184</v>
      </c>
      <c r="C86" s="62" t="s">
        <v>322</v>
      </c>
      <c r="D86" s="62" t="s">
        <v>327</v>
      </c>
      <c r="E86" s="63" t="s">
        <v>190</v>
      </c>
      <c r="F86" s="62" t="s">
        <v>188</v>
      </c>
      <c r="G86" s="62" t="s">
        <v>127</v>
      </c>
      <c r="H86" s="62" t="s">
        <v>13</v>
      </c>
      <c r="I86" s="62" t="s">
        <v>121</v>
      </c>
      <c r="J86" s="62"/>
      <c r="K86" s="64">
        <v>17.899999999999999</v>
      </c>
      <c r="L86" s="64">
        <f t="shared" si="18"/>
        <v>7.16</v>
      </c>
      <c r="M86" s="65">
        <f>prodnorm12</f>
        <v>0</v>
      </c>
      <c r="N86" s="66">
        <f>dagwerk12</f>
        <v>0</v>
      </c>
      <c r="O86" s="62" t="s">
        <v>34</v>
      </c>
      <c r="P86" s="67">
        <f>uurtarief12</f>
        <v>0</v>
      </c>
      <c r="Q86" s="64" t="e">
        <f t="shared" si="19"/>
        <v>#DIV/0!</v>
      </c>
      <c r="R86" s="64" t="e">
        <f t="shared" si="20"/>
        <v>#DIV/0!</v>
      </c>
      <c r="S86" s="67" t="e">
        <f t="shared" si="21"/>
        <v>#DIV/0!</v>
      </c>
      <c r="T86" s="64" t="e">
        <f t="shared" si="22"/>
        <v>#DIV/0!</v>
      </c>
      <c r="U86" s="68" t="e">
        <f t="shared" si="23"/>
        <v>#DIV/0!</v>
      </c>
    </row>
    <row r="87" spans="1:21" x14ac:dyDescent="0.2">
      <c r="A87" s="61" t="s">
        <v>183</v>
      </c>
      <c r="B87" s="62" t="s">
        <v>184</v>
      </c>
      <c r="C87" s="62" t="s">
        <v>322</v>
      </c>
      <c r="D87" s="62" t="s">
        <v>328</v>
      </c>
      <c r="E87" s="63" t="s">
        <v>190</v>
      </c>
      <c r="F87" s="62" t="s">
        <v>188</v>
      </c>
      <c r="G87" s="62" t="s">
        <v>127</v>
      </c>
      <c r="H87" s="62" t="s">
        <v>13</v>
      </c>
      <c r="I87" s="62" t="s">
        <v>121</v>
      </c>
      <c r="J87" s="62"/>
      <c r="K87" s="64">
        <v>19.8</v>
      </c>
      <c r="L87" s="64">
        <f t="shared" si="18"/>
        <v>7.9200000000000008</v>
      </c>
      <c r="M87" s="65">
        <f>prodnorm12</f>
        <v>0</v>
      </c>
      <c r="N87" s="66">
        <f>dagwerk12</f>
        <v>0</v>
      </c>
      <c r="O87" s="62" t="s">
        <v>34</v>
      </c>
      <c r="P87" s="67">
        <f>uurtarief12</f>
        <v>0</v>
      </c>
      <c r="Q87" s="64" t="e">
        <f t="shared" si="19"/>
        <v>#DIV/0!</v>
      </c>
      <c r="R87" s="64" t="e">
        <f t="shared" si="20"/>
        <v>#DIV/0!</v>
      </c>
      <c r="S87" s="67" t="e">
        <f t="shared" si="21"/>
        <v>#DIV/0!</v>
      </c>
      <c r="T87" s="64" t="e">
        <f t="shared" si="22"/>
        <v>#DIV/0!</v>
      </c>
      <c r="U87" s="68" t="e">
        <f t="shared" si="23"/>
        <v>#DIV/0!</v>
      </c>
    </row>
    <row r="88" spans="1:21" x14ac:dyDescent="0.2">
      <c r="A88" s="61" t="s">
        <v>183</v>
      </c>
      <c r="B88" s="62" t="s">
        <v>184</v>
      </c>
      <c r="C88" s="62" t="s">
        <v>322</v>
      </c>
      <c r="D88" s="62" t="s">
        <v>329</v>
      </c>
      <c r="E88" s="63" t="s">
        <v>330</v>
      </c>
      <c r="F88" s="62" t="s">
        <v>188</v>
      </c>
      <c r="G88" s="62" t="s">
        <v>127</v>
      </c>
      <c r="H88" s="62" t="s">
        <v>13</v>
      </c>
      <c r="I88" s="62" t="s">
        <v>121</v>
      </c>
      <c r="J88" s="62"/>
      <c r="K88" s="64">
        <v>52.4</v>
      </c>
      <c r="L88" s="64">
        <f t="shared" si="18"/>
        <v>20.96</v>
      </c>
      <c r="M88" s="65">
        <f>prodnorm12</f>
        <v>0</v>
      </c>
      <c r="N88" s="66">
        <f>dagwerk12</f>
        <v>0</v>
      </c>
      <c r="O88" s="62" t="s">
        <v>34</v>
      </c>
      <c r="P88" s="67">
        <f>uurtarief12</f>
        <v>0</v>
      </c>
      <c r="Q88" s="64" t="e">
        <f t="shared" si="19"/>
        <v>#DIV/0!</v>
      </c>
      <c r="R88" s="64" t="e">
        <f t="shared" si="20"/>
        <v>#DIV/0!</v>
      </c>
      <c r="S88" s="67" t="e">
        <f t="shared" si="21"/>
        <v>#DIV/0!</v>
      </c>
      <c r="T88" s="64" t="e">
        <f t="shared" si="22"/>
        <v>#DIV/0!</v>
      </c>
      <c r="U88" s="68" t="e">
        <f t="shared" si="23"/>
        <v>#DIV/0!</v>
      </c>
    </row>
    <row r="89" spans="1:21" x14ac:dyDescent="0.2">
      <c r="A89" s="61" t="s">
        <v>183</v>
      </c>
      <c r="B89" s="62" t="s">
        <v>184</v>
      </c>
      <c r="C89" s="62" t="s">
        <v>322</v>
      </c>
      <c r="D89" s="62" t="s">
        <v>331</v>
      </c>
      <c r="E89" s="63" t="s">
        <v>332</v>
      </c>
      <c r="F89" s="62" t="s">
        <v>188</v>
      </c>
      <c r="G89" s="62" t="s">
        <v>127</v>
      </c>
      <c r="H89" s="62" t="s">
        <v>13</v>
      </c>
      <c r="I89" s="62" t="s">
        <v>121</v>
      </c>
      <c r="J89" s="62"/>
      <c r="K89" s="64">
        <v>36.700000000000003</v>
      </c>
      <c r="L89" s="64">
        <f t="shared" si="18"/>
        <v>14.680000000000001</v>
      </c>
      <c r="M89" s="65">
        <f>prodnorm12</f>
        <v>0</v>
      </c>
      <c r="N89" s="66">
        <f>dagwerk12</f>
        <v>0</v>
      </c>
      <c r="O89" s="62" t="s">
        <v>34</v>
      </c>
      <c r="P89" s="67">
        <f>uurtarief12</f>
        <v>0</v>
      </c>
      <c r="Q89" s="64" t="e">
        <f t="shared" si="19"/>
        <v>#DIV/0!</v>
      </c>
      <c r="R89" s="64" t="e">
        <f t="shared" si="20"/>
        <v>#DIV/0!</v>
      </c>
      <c r="S89" s="67" t="e">
        <f t="shared" si="21"/>
        <v>#DIV/0!</v>
      </c>
      <c r="T89" s="64" t="e">
        <f t="shared" si="22"/>
        <v>#DIV/0!</v>
      </c>
      <c r="U89" s="68" t="e">
        <f t="shared" si="23"/>
        <v>#DIV/0!</v>
      </c>
    </row>
    <row r="90" spans="1:21" x14ac:dyDescent="0.2">
      <c r="A90" s="61" t="s">
        <v>183</v>
      </c>
      <c r="B90" s="62" t="s">
        <v>184</v>
      </c>
      <c r="C90" s="62" t="s">
        <v>322</v>
      </c>
      <c r="D90" s="62" t="s">
        <v>333</v>
      </c>
      <c r="E90" s="63" t="s">
        <v>334</v>
      </c>
      <c r="F90" s="62" t="s">
        <v>188</v>
      </c>
      <c r="G90" s="62" t="s">
        <v>127</v>
      </c>
      <c r="H90" s="62" t="s">
        <v>13</v>
      </c>
      <c r="I90" s="62" t="s">
        <v>121</v>
      </c>
      <c r="J90" s="62"/>
      <c r="K90" s="64">
        <v>25.9</v>
      </c>
      <c r="L90" s="64">
        <f t="shared" si="18"/>
        <v>10.36</v>
      </c>
      <c r="M90" s="65">
        <f>prodnorm12</f>
        <v>0</v>
      </c>
      <c r="N90" s="66">
        <f>dagwerk12</f>
        <v>0</v>
      </c>
      <c r="O90" s="62" t="s">
        <v>34</v>
      </c>
      <c r="P90" s="67">
        <f>uurtarief12</f>
        <v>0</v>
      </c>
      <c r="Q90" s="64" t="e">
        <f t="shared" si="19"/>
        <v>#DIV/0!</v>
      </c>
      <c r="R90" s="64" t="e">
        <f t="shared" si="20"/>
        <v>#DIV/0!</v>
      </c>
      <c r="S90" s="67" t="e">
        <f t="shared" si="21"/>
        <v>#DIV/0!</v>
      </c>
      <c r="T90" s="64" t="e">
        <f t="shared" si="22"/>
        <v>#DIV/0!</v>
      </c>
      <c r="U90" s="68" t="e">
        <f t="shared" si="23"/>
        <v>#DIV/0!</v>
      </c>
    </row>
    <row r="91" spans="1:21" x14ac:dyDescent="0.2">
      <c r="A91" s="61" t="s">
        <v>183</v>
      </c>
      <c r="B91" s="62" t="s">
        <v>184</v>
      </c>
      <c r="C91" s="62" t="s">
        <v>322</v>
      </c>
      <c r="D91" s="62" t="s">
        <v>335</v>
      </c>
      <c r="E91" s="63" t="s">
        <v>231</v>
      </c>
      <c r="F91" s="62" t="s">
        <v>198</v>
      </c>
      <c r="G91" s="62" t="s">
        <v>153</v>
      </c>
      <c r="H91" s="62" t="s">
        <v>10</v>
      </c>
      <c r="I91" s="62" t="s">
        <v>121</v>
      </c>
      <c r="J91" s="62"/>
      <c r="K91" s="64">
        <v>6.5</v>
      </c>
      <c r="L91" s="64">
        <f t="shared" si="18"/>
        <v>6.5</v>
      </c>
      <c r="M91" s="65">
        <f>prodnorm27</f>
        <v>0</v>
      </c>
      <c r="N91" s="66">
        <f>dagwerk27</f>
        <v>0</v>
      </c>
      <c r="O91" s="62" t="s">
        <v>34</v>
      </c>
      <c r="P91" s="67">
        <f>uurtarief27</f>
        <v>0</v>
      </c>
      <c r="Q91" s="64" t="e">
        <f t="shared" si="19"/>
        <v>#DIV/0!</v>
      </c>
      <c r="R91" s="64" t="e">
        <f t="shared" si="20"/>
        <v>#DIV/0!</v>
      </c>
      <c r="S91" s="67" t="e">
        <f t="shared" si="21"/>
        <v>#DIV/0!</v>
      </c>
      <c r="T91" s="64" t="e">
        <f t="shared" si="22"/>
        <v>#DIV/0!</v>
      </c>
      <c r="U91" s="68" t="e">
        <f t="shared" si="23"/>
        <v>#DIV/0!</v>
      </c>
    </row>
    <row r="92" spans="1:21" x14ac:dyDescent="0.2">
      <c r="A92" s="61" t="s">
        <v>183</v>
      </c>
      <c r="B92" s="62" t="s">
        <v>184</v>
      </c>
      <c r="C92" s="62" t="s">
        <v>322</v>
      </c>
      <c r="D92" s="62" t="s">
        <v>336</v>
      </c>
      <c r="E92" s="63" t="s">
        <v>231</v>
      </c>
      <c r="F92" s="62" t="s">
        <v>198</v>
      </c>
      <c r="G92" s="62" t="s">
        <v>153</v>
      </c>
      <c r="H92" s="62" t="s">
        <v>10</v>
      </c>
      <c r="I92" s="62" t="s">
        <v>121</v>
      </c>
      <c r="J92" s="62"/>
      <c r="K92" s="64">
        <v>6.5</v>
      </c>
      <c r="L92" s="64">
        <f t="shared" si="18"/>
        <v>6.5</v>
      </c>
      <c r="M92" s="65">
        <f>prodnorm27</f>
        <v>0</v>
      </c>
      <c r="N92" s="66">
        <f>dagwerk27</f>
        <v>0</v>
      </c>
      <c r="O92" s="62" t="s">
        <v>34</v>
      </c>
      <c r="P92" s="67">
        <f>uurtarief27</f>
        <v>0</v>
      </c>
      <c r="Q92" s="64" t="e">
        <f t="shared" si="19"/>
        <v>#DIV/0!</v>
      </c>
      <c r="R92" s="64" t="e">
        <f t="shared" si="20"/>
        <v>#DIV/0!</v>
      </c>
      <c r="S92" s="67" t="e">
        <f t="shared" si="21"/>
        <v>#DIV/0!</v>
      </c>
      <c r="T92" s="64" t="e">
        <f t="shared" si="22"/>
        <v>#DIV/0!</v>
      </c>
      <c r="U92" s="68" t="e">
        <f t="shared" si="23"/>
        <v>#DIV/0!</v>
      </c>
    </row>
    <row r="93" spans="1:21" x14ac:dyDescent="0.2">
      <c r="A93" s="61" t="s">
        <v>183</v>
      </c>
      <c r="B93" s="62" t="s">
        <v>184</v>
      </c>
      <c r="C93" s="62" t="s">
        <v>322</v>
      </c>
      <c r="D93" s="62" t="s">
        <v>337</v>
      </c>
      <c r="E93" s="63" t="s">
        <v>334</v>
      </c>
      <c r="F93" s="62" t="s">
        <v>188</v>
      </c>
      <c r="G93" s="62" t="s">
        <v>127</v>
      </c>
      <c r="H93" s="62" t="s">
        <v>13</v>
      </c>
      <c r="I93" s="62" t="s">
        <v>121</v>
      </c>
      <c r="J93" s="62"/>
      <c r="K93" s="64">
        <v>29.1</v>
      </c>
      <c r="L93" s="64">
        <f t="shared" si="18"/>
        <v>11.64</v>
      </c>
      <c r="M93" s="65">
        <f t="shared" ref="M93:M101" si="24">prodnorm12</f>
        <v>0</v>
      </c>
      <c r="N93" s="66">
        <f t="shared" ref="N93:N101" si="25">dagwerk12</f>
        <v>0</v>
      </c>
      <c r="O93" s="62" t="s">
        <v>34</v>
      </c>
      <c r="P93" s="67">
        <f t="shared" ref="P93:P101" si="26">uurtarief12</f>
        <v>0</v>
      </c>
      <c r="Q93" s="64" t="e">
        <f t="shared" si="19"/>
        <v>#DIV/0!</v>
      </c>
      <c r="R93" s="64" t="e">
        <f t="shared" si="20"/>
        <v>#DIV/0!</v>
      </c>
      <c r="S93" s="67" t="e">
        <f t="shared" si="21"/>
        <v>#DIV/0!</v>
      </c>
      <c r="T93" s="64" t="e">
        <f t="shared" si="22"/>
        <v>#DIV/0!</v>
      </c>
      <c r="U93" s="68" t="e">
        <f t="shared" si="23"/>
        <v>#DIV/0!</v>
      </c>
    </row>
    <row r="94" spans="1:21" x14ac:dyDescent="0.2">
      <c r="A94" s="61" t="s">
        <v>183</v>
      </c>
      <c r="B94" s="62" t="s">
        <v>184</v>
      </c>
      <c r="C94" s="62" t="s">
        <v>322</v>
      </c>
      <c r="D94" s="62" t="s">
        <v>338</v>
      </c>
      <c r="E94" s="63" t="s">
        <v>334</v>
      </c>
      <c r="F94" s="62" t="s">
        <v>188</v>
      </c>
      <c r="G94" s="62" t="s">
        <v>127</v>
      </c>
      <c r="H94" s="62" t="s">
        <v>13</v>
      </c>
      <c r="I94" s="62" t="s">
        <v>121</v>
      </c>
      <c r="J94" s="62"/>
      <c r="K94" s="64">
        <v>29</v>
      </c>
      <c r="L94" s="64">
        <f t="shared" si="18"/>
        <v>11.600000000000001</v>
      </c>
      <c r="M94" s="65">
        <f t="shared" si="24"/>
        <v>0</v>
      </c>
      <c r="N94" s="66">
        <f t="shared" si="25"/>
        <v>0</v>
      </c>
      <c r="O94" s="62" t="s">
        <v>34</v>
      </c>
      <c r="P94" s="67">
        <f t="shared" si="26"/>
        <v>0</v>
      </c>
      <c r="Q94" s="64" t="e">
        <f t="shared" si="19"/>
        <v>#DIV/0!</v>
      </c>
      <c r="R94" s="64" t="e">
        <f t="shared" si="20"/>
        <v>#DIV/0!</v>
      </c>
      <c r="S94" s="67" t="e">
        <f t="shared" si="21"/>
        <v>#DIV/0!</v>
      </c>
      <c r="T94" s="64" t="e">
        <f t="shared" si="22"/>
        <v>#DIV/0!</v>
      </c>
      <c r="U94" s="68" t="e">
        <f t="shared" si="23"/>
        <v>#DIV/0!</v>
      </c>
    </row>
    <row r="95" spans="1:21" x14ac:dyDescent="0.2">
      <c r="A95" s="61" t="s">
        <v>183</v>
      </c>
      <c r="B95" s="62" t="s">
        <v>184</v>
      </c>
      <c r="C95" s="62" t="s">
        <v>322</v>
      </c>
      <c r="D95" s="62" t="s">
        <v>339</v>
      </c>
      <c r="E95" s="63" t="s">
        <v>334</v>
      </c>
      <c r="F95" s="62" t="s">
        <v>188</v>
      </c>
      <c r="G95" s="62" t="s">
        <v>127</v>
      </c>
      <c r="H95" s="62" t="s">
        <v>13</v>
      </c>
      <c r="I95" s="62" t="s">
        <v>121</v>
      </c>
      <c r="J95" s="62"/>
      <c r="K95" s="64">
        <v>22.9</v>
      </c>
      <c r="L95" s="64">
        <f t="shared" si="18"/>
        <v>9.16</v>
      </c>
      <c r="M95" s="65">
        <f t="shared" si="24"/>
        <v>0</v>
      </c>
      <c r="N95" s="66">
        <f t="shared" si="25"/>
        <v>0</v>
      </c>
      <c r="O95" s="62" t="s">
        <v>34</v>
      </c>
      <c r="P95" s="67">
        <f t="shared" si="26"/>
        <v>0</v>
      </c>
      <c r="Q95" s="64" t="e">
        <f t="shared" si="19"/>
        <v>#DIV/0!</v>
      </c>
      <c r="R95" s="64" t="e">
        <f t="shared" si="20"/>
        <v>#DIV/0!</v>
      </c>
      <c r="S95" s="67" t="e">
        <f t="shared" si="21"/>
        <v>#DIV/0!</v>
      </c>
      <c r="T95" s="64" t="e">
        <f t="shared" si="22"/>
        <v>#DIV/0!</v>
      </c>
      <c r="U95" s="68" t="e">
        <f t="shared" si="23"/>
        <v>#DIV/0!</v>
      </c>
    </row>
    <row r="96" spans="1:21" x14ac:dyDescent="0.2">
      <c r="A96" s="61" t="s">
        <v>183</v>
      </c>
      <c r="B96" s="62" t="s">
        <v>184</v>
      </c>
      <c r="C96" s="62" t="s">
        <v>322</v>
      </c>
      <c r="D96" s="62" t="s">
        <v>340</v>
      </c>
      <c r="E96" s="63" t="s">
        <v>334</v>
      </c>
      <c r="F96" s="62" t="s">
        <v>188</v>
      </c>
      <c r="G96" s="62" t="s">
        <v>127</v>
      </c>
      <c r="H96" s="62" t="s">
        <v>13</v>
      </c>
      <c r="I96" s="62" t="s">
        <v>121</v>
      </c>
      <c r="J96" s="62"/>
      <c r="K96" s="64">
        <v>23.8</v>
      </c>
      <c r="L96" s="64">
        <f t="shared" si="18"/>
        <v>9.5200000000000014</v>
      </c>
      <c r="M96" s="65">
        <f t="shared" si="24"/>
        <v>0</v>
      </c>
      <c r="N96" s="66">
        <f t="shared" si="25"/>
        <v>0</v>
      </c>
      <c r="O96" s="62" t="s">
        <v>34</v>
      </c>
      <c r="P96" s="67">
        <f t="shared" si="26"/>
        <v>0</v>
      </c>
      <c r="Q96" s="64" t="e">
        <f t="shared" si="19"/>
        <v>#DIV/0!</v>
      </c>
      <c r="R96" s="64" t="e">
        <f t="shared" si="20"/>
        <v>#DIV/0!</v>
      </c>
      <c r="S96" s="67" t="e">
        <f t="shared" si="21"/>
        <v>#DIV/0!</v>
      </c>
      <c r="T96" s="64" t="e">
        <f t="shared" si="22"/>
        <v>#DIV/0!</v>
      </c>
      <c r="U96" s="68" t="e">
        <f t="shared" si="23"/>
        <v>#DIV/0!</v>
      </c>
    </row>
    <row r="97" spans="1:21" x14ac:dyDescent="0.2">
      <c r="A97" s="61" t="s">
        <v>183</v>
      </c>
      <c r="B97" s="62" t="s">
        <v>184</v>
      </c>
      <c r="C97" s="62" t="s">
        <v>322</v>
      </c>
      <c r="D97" s="62" t="s">
        <v>341</v>
      </c>
      <c r="E97" s="63" t="s">
        <v>342</v>
      </c>
      <c r="F97" s="62" t="s">
        <v>188</v>
      </c>
      <c r="G97" s="62" t="s">
        <v>127</v>
      </c>
      <c r="H97" s="62" t="s">
        <v>13</v>
      </c>
      <c r="I97" s="62" t="s">
        <v>121</v>
      </c>
      <c r="J97" s="62"/>
      <c r="K97" s="64">
        <v>23.8</v>
      </c>
      <c r="L97" s="64">
        <f t="shared" si="18"/>
        <v>9.5200000000000014</v>
      </c>
      <c r="M97" s="65">
        <f t="shared" si="24"/>
        <v>0</v>
      </c>
      <c r="N97" s="66">
        <f t="shared" si="25"/>
        <v>0</v>
      </c>
      <c r="O97" s="62" t="s">
        <v>34</v>
      </c>
      <c r="P97" s="67">
        <f t="shared" si="26"/>
        <v>0</v>
      </c>
      <c r="Q97" s="64" t="e">
        <f t="shared" si="19"/>
        <v>#DIV/0!</v>
      </c>
      <c r="R97" s="64" t="e">
        <f t="shared" si="20"/>
        <v>#DIV/0!</v>
      </c>
      <c r="S97" s="67" t="e">
        <f t="shared" si="21"/>
        <v>#DIV/0!</v>
      </c>
      <c r="T97" s="64" t="e">
        <f t="shared" si="22"/>
        <v>#DIV/0!</v>
      </c>
      <c r="U97" s="68" t="e">
        <f t="shared" si="23"/>
        <v>#DIV/0!</v>
      </c>
    </row>
    <row r="98" spans="1:21" x14ac:dyDescent="0.2">
      <c r="A98" s="61" t="s">
        <v>183</v>
      </c>
      <c r="B98" s="62" t="s">
        <v>184</v>
      </c>
      <c r="C98" s="62" t="s">
        <v>322</v>
      </c>
      <c r="D98" s="62" t="s">
        <v>343</v>
      </c>
      <c r="E98" s="63" t="s">
        <v>344</v>
      </c>
      <c r="F98" s="62" t="s">
        <v>188</v>
      </c>
      <c r="G98" s="62" t="s">
        <v>127</v>
      </c>
      <c r="H98" s="62" t="s">
        <v>13</v>
      </c>
      <c r="I98" s="62" t="s">
        <v>121</v>
      </c>
      <c r="J98" s="62"/>
      <c r="K98" s="64">
        <v>21.9</v>
      </c>
      <c r="L98" s="64">
        <f t="shared" si="18"/>
        <v>8.76</v>
      </c>
      <c r="M98" s="65">
        <f t="shared" si="24"/>
        <v>0</v>
      </c>
      <c r="N98" s="66">
        <f t="shared" si="25"/>
        <v>0</v>
      </c>
      <c r="O98" s="62" t="s">
        <v>34</v>
      </c>
      <c r="P98" s="67">
        <f t="shared" si="26"/>
        <v>0</v>
      </c>
      <c r="Q98" s="64" t="e">
        <f t="shared" si="19"/>
        <v>#DIV/0!</v>
      </c>
      <c r="R98" s="64" t="e">
        <f t="shared" si="20"/>
        <v>#DIV/0!</v>
      </c>
      <c r="S98" s="67" t="e">
        <f t="shared" si="21"/>
        <v>#DIV/0!</v>
      </c>
      <c r="T98" s="64" t="e">
        <f t="shared" si="22"/>
        <v>#DIV/0!</v>
      </c>
      <c r="U98" s="68" t="e">
        <f t="shared" si="23"/>
        <v>#DIV/0!</v>
      </c>
    </row>
    <row r="99" spans="1:21" x14ac:dyDescent="0.2">
      <c r="A99" s="61" t="s">
        <v>183</v>
      </c>
      <c r="B99" s="62" t="s">
        <v>184</v>
      </c>
      <c r="C99" s="62" t="s">
        <v>322</v>
      </c>
      <c r="D99" s="62" t="s">
        <v>345</v>
      </c>
      <c r="E99" s="63" t="s">
        <v>344</v>
      </c>
      <c r="F99" s="62" t="s">
        <v>188</v>
      </c>
      <c r="G99" s="62" t="s">
        <v>127</v>
      </c>
      <c r="H99" s="62" t="s">
        <v>13</v>
      </c>
      <c r="I99" s="62" t="s">
        <v>121</v>
      </c>
      <c r="J99" s="62"/>
      <c r="K99" s="64">
        <v>34.299999999999997</v>
      </c>
      <c r="L99" s="64">
        <f t="shared" si="18"/>
        <v>13.719999999999999</v>
      </c>
      <c r="M99" s="65">
        <f t="shared" si="24"/>
        <v>0</v>
      </c>
      <c r="N99" s="66">
        <f t="shared" si="25"/>
        <v>0</v>
      </c>
      <c r="O99" s="62" t="s">
        <v>34</v>
      </c>
      <c r="P99" s="67">
        <f t="shared" si="26"/>
        <v>0</v>
      </c>
      <c r="Q99" s="64" t="e">
        <f t="shared" si="19"/>
        <v>#DIV/0!</v>
      </c>
      <c r="R99" s="64" t="e">
        <f t="shared" si="20"/>
        <v>#DIV/0!</v>
      </c>
      <c r="S99" s="67" t="e">
        <f t="shared" si="21"/>
        <v>#DIV/0!</v>
      </c>
      <c r="T99" s="64" t="e">
        <f t="shared" si="22"/>
        <v>#DIV/0!</v>
      </c>
      <c r="U99" s="68" t="e">
        <f t="shared" si="23"/>
        <v>#DIV/0!</v>
      </c>
    </row>
    <row r="100" spans="1:21" x14ac:dyDescent="0.2">
      <c r="A100" s="61" t="s">
        <v>183</v>
      </c>
      <c r="B100" s="62" t="s">
        <v>184</v>
      </c>
      <c r="C100" s="62" t="s">
        <v>322</v>
      </c>
      <c r="D100" s="62" t="s">
        <v>346</v>
      </c>
      <c r="E100" s="63" t="s">
        <v>256</v>
      </c>
      <c r="F100" s="62" t="s">
        <v>188</v>
      </c>
      <c r="G100" s="62" t="s">
        <v>127</v>
      </c>
      <c r="H100" s="62" t="s">
        <v>13</v>
      </c>
      <c r="I100" s="62" t="s">
        <v>121</v>
      </c>
      <c r="J100" s="62"/>
      <c r="K100" s="64">
        <v>22.4</v>
      </c>
      <c r="L100" s="64">
        <f t="shared" si="18"/>
        <v>8.9599999999999991</v>
      </c>
      <c r="M100" s="65">
        <f t="shared" si="24"/>
        <v>0</v>
      </c>
      <c r="N100" s="66">
        <f t="shared" si="25"/>
        <v>0</v>
      </c>
      <c r="O100" s="62" t="s">
        <v>34</v>
      </c>
      <c r="P100" s="67">
        <f t="shared" si="26"/>
        <v>0</v>
      </c>
      <c r="Q100" s="64" t="e">
        <f t="shared" si="19"/>
        <v>#DIV/0!</v>
      </c>
      <c r="R100" s="64" t="e">
        <f t="shared" si="20"/>
        <v>#DIV/0!</v>
      </c>
      <c r="S100" s="67" t="e">
        <f t="shared" si="21"/>
        <v>#DIV/0!</v>
      </c>
      <c r="T100" s="64" t="e">
        <f t="shared" si="22"/>
        <v>#DIV/0!</v>
      </c>
      <c r="U100" s="68" t="e">
        <f t="shared" si="23"/>
        <v>#DIV/0!</v>
      </c>
    </row>
    <row r="101" spans="1:21" x14ac:dyDescent="0.2">
      <c r="A101" s="61" t="s">
        <v>183</v>
      </c>
      <c r="B101" s="62" t="s">
        <v>184</v>
      </c>
      <c r="C101" s="62" t="s">
        <v>322</v>
      </c>
      <c r="D101" s="62" t="s">
        <v>347</v>
      </c>
      <c r="E101" s="63" t="s">
        <v>348</v>
      </c>
      <c r="F101" s="62" t="s">
        <v>188</v>
      </c>
      <c r="G101" s="62" t="s">
        <v>127</v>
      </c>
      <c r="H101" s="62" t="s">
        <v>13</v>
      </c>
      <c r="I101" s="62" t="s">
        <v>121</v>
      </c>
      <c r="J101" s="62"/>
      <c r="K101" s="64">
        <v>38.700000000000003</v>
      </c>
      <c r="L101" s="64">
        <f t="shared" ref="L101:L132" si="27">K101*VLOOKUP(H101,dagsoorttabel1,2,FALSE)</f>
        <v>15.480000000000002</v>
      </c>
      <c r="M101" s="65">
        <f t="shared" si="24"/>
        <v>0</v>
      </c>
      <c r="N101" s="66">
        <f t="shared" si="25"/>
        <v>0</v>
      </c>
      <c r="O101" s="62" t="s">
        <v>34</v>
      </c>
      <c r="P101" s="67">
        <f t="shared" si="26"/>
        <v>0</v>
      </c>
      <c r="Q101" s="64" t="e">
        <f t="shared" ref="Q101:Q137" si="28">IF(ISBLANK(M101),0,L101/ROUND(M101,4))</f>
        <v>#DIV/0!</v>
      </c>
      <c r="R101" s="64" t="e">
        <f t="shared" ref="R101:R132" si="29">IF(ISBLANK(M101),0,Q101*ROUND(N101,2))</f>
        <v>#DIV/0!</v>
      </c>
      <c r="S101" s="67" t="e">
        <f t="shared" ref="S101:S132" si="30">ROUND(P101,2)*Q101</f>
        <v>#DIV/0!</v>
      </c>
      <c r="T101" s="64" t="e">
        <f t="shared" ref="T101:T132" si="31">Q101*dagenperjaar1</f>
        <v>#DIV/0!</v>
      </c>
      <c r="U101" s="68" t="e">
        <f t="shared" ref="U101:U132" si="32">T101*ROUND(P101,2)</f>
        <v>#DIV/0!</v>
      </c>
    </row>
    <row r="102" spans="1:21" x14ac:dyDescent="0.2">
      <c r="A102" s="61" t="s">
        <v>183</v>
      </c>
      <c r="B102" s="62" t="s">
        <v>184</v>
      </c>
      <c r="C102" s="62" t="s">
        <v>322</v>
      </c>
      <c r="D102" s="62" t="s">
        <v>349</v>
      </c>
      <c r="E102" s="63" t="s">
        <v>350</v>
      </c>
      <c r="F102" s="62" t="s">
        <v>188</v>
      </c>
      <c r="G102" s="62" t="s">
        <v>129</v>
      </c>
      <c r="H102" s="62" t="s">
        <v>21</v>
      </c>
      <c r="I102" s="62" t="s">
        <v>121</v>
      </c>
      <c r="J102" s="62"/>
      <c r="K102" s="64">
        <v>16</v>
      </c>
      <c r="L102" s="64">
        <f t="shared" si="27"/>
        <v>6.2745098039215685E-2</v>
      </c>
      <c r="M102" s="65">
        <f>prodnorm14</f>
        <v>0</v>
      </c>
      <c r="N102" s="66">
        <f>dagwerk14</f>
        <v>0</v>
      </c>
      <c r="O102" s="62" t="s">
        <v>34</v>
      </c>
      <c r="P102" s="67">
        <f>uurtarief14</f>
        <v>0</v>
      </c>
      <c r="Q102" s="64" t="e">
        <f t="shared" si="28"/>
        <v>#DIV/0!</v>
      </c>
      <c r="R102" s="64" t="e">
        <f t="shared" si="29"/>
        <v>#DIV/0!</v>
      </c>
      <c r="S102" s="67" t="e">
        <f t="shared" si="30"/>
        <v>#DIV/0!</v>
      </c>
      <c r="T102" s="64" t="e">
        <f t="shared" si="31"/>
        <v>#DIV/0!</v>
      </c>
      <c r="U102" s="68" t="e">
        <f t="shared" si="32"/>
        <v>#DIV/0!</v>
      </c>
    </row>
    <row r="103" spans="1:21" x14ac:dyDescent="0.2">
      <c r="A103" s="61" t="s">
        <v>183</v>
      </c>
      <c r="B103" s="62" t="s">
        <v>184</v>
      </c>
      <c r="C103" s="62" t="s">
        <v>322</v>
      </c>
      <c r="D103" s="62" t="s">
        <v>351</v>
      </c>
      <c r="E103" s="63" t="s">
        <v>352</v>
      </c>
      <c r="F103" s="62" t="s">
        <v>188</v>
      </c>
      <c r="G103" s="62" t="s">
        <v>159</v>
      </c>
      <c r="H103" s="62" t="s">
        <v>10</v>
      </c>
      <c r="I103" s="62" t="s">
        <v>121</v>
      </c>
      <c r="J103" s="62"/>
      <c r="K103" s="64">
        <v>20.8</v>
      </c>
      <c r="L103" s="64">
        <f t="shared" si="27"/>
        <v>20.8</v>
      </c>
      <c r="M103" s="65">
        <f>prodnorm30</f>
        <v>0</v>
      </c>
      <c r="N103" s="66">
        <f>dagwerk30</f>
        <v>0</v>
      </c>
      <c r="O103" s="62" t="s">
        <v>34</v>
      </c>
      <c r="P103" s="67">
        <f>uurtarief30</f>
        <v>0</v>
      </c>
      <c r="Q103" s="64" t="e">
        <f t="shared" si="28"/>
        <v>#DIV/0!</v>
      </c>
      <c r="R103" s="64" t="e">
        <f t="shared" si="29"/>
        <v>#DIV/0!</v>
      </c>
      <c r="S103" s="67" t="e">
        <f t="shared" si="30"/>
        <v>#DIV/0!</v>
      </c>
      <c r="T103" s="64" t="e">
        <f t="shared" si="31"/>
        <v>#DIV/0!</v>
      </c>
      <c r="U103" s="68" t="e">
        <f t="shared" si="32"/>
        <v>#DIV/0!</v>
      </c>
    </row>
    <row r="104" spans="1:21" x14ac:dyDescent="0.2">
      <c r="A104" s="61" t="s">
        <v>183</v>
      </c>
      <c r="B104" s="62" t="s">
        <v>184</v>
      </c>
      <c r="C104" s="62" t="s">
        <v>322</v>
      </c>
      <c r="D104" s="62" t="s">
        <v>353</v>
      </c>
      <c r="E104" s="63" t="s">
        <v>326</v>
      </c>
      <c r="F104" s="62" t="s">
        <v>188</v>
      </c>
      <c r="G104" s="62" t="s">
        <v>143</v>
      </c>
      <c r="H104" s="62" t="s">
        <v>11</v>
      </c>
      <c r="I104" s="62" t="s">
        <v>121</v>
      </c>
      <c r="J104" s="62"/>
      <c r="K104" s="64">
        <v>12.2</v>
      </c>
      <c r="L104" s="64">
        <f t="shared" si="27"/>
        <v>9.76</v>
      </c>
      <c r="M104" s="65">
        <f>prodnorm22</f>
        <v>0</v>
      </c>
      <c r="N104" s="66">
        <f>dagwerk22</f>
        <v>0</v>
      </c>
      <c r="O104" s="62" t="s">
        <v>34</v>
      </c>
      <c r="P104" s="67">
        <f>uurtarief22</f>
        <v>0</v>
      </c>
      <c r="Q104" s="64" t="e">
        <f t="shared" si="28"/>
        <v>#DIV/0!</v>
      </c>
      <c r="R104" s="64" t="e">
        <f t="shared" si="29"/>
        <v>#DIV/0!</v>
      </c>
      <c r="S104" s="67" t="e">
        <f t="shared" si="30"/>
        <v>#DIV/0!</v>
      </c>
      <c r="T104" s="64" t="e">
        <f t="shared" si="31"/>
        <v>#DIV/0!</v>
      </c>
      <c r="U104" s="68" t="e">
        <f t="shared" si="32"/>
        <v>#DIV/0!</v>
      </c>
    </row>
    <row r="105" spans="1:21" x14ac:dyDescent="0.2">
      <c r="A105" s="61" t="s">
        <v>183</v>
      </c>
      <c r="B105" s="62" t="s">
        <v>184</v>
      </c>
      <c r="C105" s="62" t="s">
        <v>322</v>
      </c>
      <c r="D105" s="62" t="s">
        <v>354</v>
      </c>
      <c r="E105" s="63" t="s">
        <v>355</v>
      </c>
      <c r="F105" s="62" t="s">
        <v>188</v>
      </c>
      <c r="G105" s="62" t="s">
        <v>127</v>
      </c>
      <c r="H105" s="62" t="s">
        <v>13</v>
      </c>
      <c r="I105" s="62" t="s">
        <v>121</v>
      </c>
      <c r="J105" s="62"/>
      <c r="K105" s="64">
        <v>48.7</v>
      </c>
      <c r="L105" s="64">
        <f t="shared" si="27"/>
        <v>19.480000000000004</v>
      </c>
      <c r="M105" s="65">
        <f>prodnorm12</f>
        <v>0</v>
      </c>
      <c r="N105" s="66">
        <f>dagwerk12</f>
        <v>0</v>
      </c>
      <c r="O105" s="62" t="s">
        <v>34</v>
      </c>
      <c r="P105" s="67">
        <f>uurtarief12</f>
        <v>0</v>
      </c>
      <c r="Q105" s="64" t="e">
        <f t="shared" si="28"/>
        <v>#DIV/0!</v>
      </c>
      <c r="R105" s="64" t="e">
        <f t="shared" si="29"/>
        <v>#DIV/0!</v>
      </c>
      <c r="S105" s="67" t="e">
        <f t="shared" si="30"/>
        <v>#DIV/0!</v>
      </c>
      <c r="T105" s="64" t="e">
        <f t="shared" si="31"/>
        <v>#DIV/0!</v>
      </c>
      <c r="U105" s="68" t="e">
        <f t="shared" si="32"/>
        <v>#DIV/0!</v>
      </c>
    </row>
    <row r="106" spans="1:21" x14ac:dyDescent="0.2">
      <c r="A106" s="61" t="s">
        <v>183</v>
      </c>
      <c r="B106" s="62" t="s">
        <v>184</v>
      </c>
      <c r="C106" s="62" t="s">
        <v>322</v>
      </c>
      <c r="D106" s="62" t="s">
        <v>356</v>
      </c>
      <c r="E106" s="63" t="s">
        <v>300</v>
      </c>
      <c r="F106" s="62" t="s">
        <v>188</v>
      </c>
      <c r="G106" s="62" t="s">
        <v>127</v>
      </c>
      <c r="H106" s="62" t="s">
        <v>13</v>
      </c>
      <c r="I106" s="62" t="s">
        <v>121</v>
      </c>
      <c r="J106" s="62"/>
      <c r="K106" s="64">
        <v>70.599999999999994</v>
      </c>
      <c r="L106" s="64">
        <f t="shared" si="27"/>
        <v>28.24</v>
      </c>
      <c r="M106" s="65">
        <f>prodnorm12</f>
        <v>0</v>
      </c>
      <c r="N106" s="66">
        <f>dagwerk12</f>
        <v>0</v>
      </c>
      <c r="O106" s="62" t="s">
        <v>34</v>
      </c>
      <c r="P106" s="67">
        <f>uurtarief12</f>
        <v>0</v>
      </c>
      <c r="Q106" s="64" t="e">
        <f t="shared" si="28"/>
        <v>#DIV/0!</v>
      </c>
      <c r="R106" s="64" t="e">
        <f t="shared" si="29"/>
        <v>#DIV/0!</v>
      </c>
      <c r="S106" s="67" t="e">
        <f t="shared" si="30"/>
        <v>#DIV/0!</v>
      </c>
      <c r="T106" s="64" t="e">
        <f t="shared" si="31"/>
        <v>#DIV/0!</v>
      </c>
      <c r="U106" s="68" t="e">
        <f t="shared" si="32"/>
        <v>#DIV/0!</v>
      </c>
    </row>
    <row r="107" spans="1:21" x14ac:dyDescent="0.2">
      <c r="A107" s="61" t="s">
        <v>183</v>
      </c>
      <c r="B107" s="62" t="s">
        <v>184</v>
      </c>
      <c r="C107" s="62" t="s">
        <v>322</v>
      </c>
      <c r="D107" s="62" t="s">
        <v>357</v>
      </c>
      <c r="E107" s="63" t="s">
        <v>358</v>
      </c>
      <c r="F107" s="62" t="s">
        <v>275</v>
      </c>
      <c r="G107" s="62" t="s">
        <v>125</v>
      </c>
      <c r="H107" s="62" t="s">
        <v>13</v>
      </c>
      <c r="I107" s="62" t="s">
        <v>121</v>
      </c>
      <c r="J107" s="62"/>
      <c r="K107" s="64">
        <v>54.9</v>
      </c>
      <c r="L107" s="64">
        <f t="shared" si="27"/>
        <v>21.96</v>
      </c>
      <c r="M107" s="65">
        <f>prodnorm10</f>
        <v>0</v>
      </c>
      <c r="N107" s="66">
        <f>dagwerk10</f>
        <v>0</v>
      </c>
      <c r="O107" s="62" t="s">
        <v>34</v>
      </c>
      <c r="P107" s="67">
        <f>uurtarief10</f>
        <v>0</v>
      </c>
      <c r="Q107" s="64" t="e">
        <f t="shared" si="28"/>
        <v>#DIV/0!</v>
      </c>
      <c r="R107" s="64" t="e">
        <f t="shared" si="29"/>
        <v>#DIV/0!</v>
      </c>
      <c r="S107" s="67" t="e">
        <f t="shared" si="30"/>
        <v>#DIV/0!</v>
      </c>
      <c r="T107" s="64" t="e">
        <f t="shared" si="31"/>
        <v>#DIV/0!</v>
      </c>
      <c r="U107" s="68" t="e">
        <f t="shared" si="32"/>
        <v>#DIV/0!</v>
      </c>
    </row>
    <row r="108" spans="1:21" x14ac:dyDescent="0.2">
      <c r="A108" s="61" t="s">
        <v>183</v>
      </c>
      <c r="B108" s="62" t="s">
        <v>184</v>
      </c>
      <c r="C108" s="62" t="s">
        <v>322</v>
      </c>
      <c r="D108" s="62" t="s">
        <v>359</v>
      </c>
      <c r="E108" s="63" t="s">
        <v>360</v>
      </c>
      <c r="F108" s="62" t="s">
        <v>188</v>
      </c>
      <c r="G108" s="62" t="s">
        <v>127</v>
      </c>
      <c r="H108" s="62" t="s">
        <v>13</v>
      </c>
      <c r="I108" s="62" t="s">
        <v>121</v>
      </c>
      <c r="J108" s="62"/>
      <c r="K108" s="64">
        <v>40</v>
      </c>
      <c r="L108" s="64">
        <f t="shared" si="27"/>
        <v>16</v>
      </c>
      <c r="M108" s="65">
        <f>prodnorm12</f>
        <v>0</v>
      </c>
      <c r="N108" s="66">
        <f>dagwerk12</f>
        <v>0</v>
      </c>
      <c r="O108" s="62" t="s">
        <v>34</v>
      </c>
      <c r="P108" s="67">
        <f>uurtarief12</f>
        <v>0</v>
      </c>
      <c r="Q108" s="64" t="e">
        <f t="shared" si="28"/>
        <v>#DIV/0!</v>
      </c>
      <c r="R108" s="64" t="e">
        <f t="shared" si="29"/>
        <v>#DIV/0!</v>
      </c>
      <c r="S108" s="67" t="e">
        <f t="shared" si="30"/>
        <v>#DIV/0!</v>
      </c>
      <c r="T108" s="64" t="e">
        <f t="shared" si="31"/>
        <v>#DIV/0!</v>
      </c>
      <c r="U108" s="68" t="e">
        <f t="shared" si="32"/>
        <v>#DIV/0!</v>
      </c>
    </row>
    <row r="109" spans="1:21" x14ac:dyDescent="0.2">
      <c r="A109" s="61" t="s">
        <v>183</v>
      </c>
      <c r="B109" s="62" t="s">
        <v>184</v>
      </c>
      <c r="C109" s="62" t="s">
        <v>322</v>
      </c>
      <c r="D109" s="62" t="s">
        <v>361</v>
      </c>
      <c r="E109" s="63" t="s">
        <v>362</v>
      </c>
      <c r="F109" s="62" t="s">
        <v>188</v>
      </c>
      <c r="G109" s="62" t="s">
        <v>127</v>
      </c>
      <c r="H109" s="62" t="s">
        <v>13</v>
      </c>
      <c r="I109" s="62" t="s">
        <v>121</v>
      </c>
      <c r="J109" s="62"/>
      <c r="K109" s="64">
        <v>38</v>
      </c>
      <c r="L109" s="64">
        <f t="shared" si="27"/>
        <v>15.200000000000001</v>
      </c>
      <c r="M109" s="65">
        <f>prodnorm12</f>
        <v>0</v>
      </c>
      <c r="N109" s="66">
        <f>dagwerk12</f>
        <v>0</v>
      </c>
      <c r="O109" s="62" t="s">
        <v>34</v>
      </c>
      <c r="P109" s="67">
        <f>uurtarief12</f>
        <v>0</v>
      </c>
      <c r="Q109" s="64" t="e">
        <f t="shared" si="28"/>
        <v>#DIV/0!</v>
      </c>
      <c r="R109" s="64" t="e">
        <f t="shared" si="29"/>
        <v>#DIV/0!</v>
      </c>
      <c r="S109" s="67" t="e">
        <f t="shared" si="30"/>
        <v>#DIV/0!</v>
      </c>
      <c r="T109" s="64" t="e">
        <f t="shared" si="31"/>
        <v>#DIV/0!</v>
      </c>
      <c r="U109" s="68" t="e">
        <f t="shared" si="32"/>
        <v>#DIV/0!</v>
      </c>
    </row>
    <row r="110" spans="1:21" x14ac:dyDescent="0.2">
      <c r="A110" s="61" t="s">
        <v>183</v>
      </c>
      <c r="B110" s="62" t="s">
        <v>184</v>
      </c>
      <c r="C110" s="62" t="s">
        <v>322</v>
      </c>
      <c r="D110" s="62" t="s">
        <v>363</v>
      </c>
      <c r="E110" s="63" t="s">
        <v>362</v>
      </c>
      <c r="F110" s="62" t="s">
        <v>188</v>
      </c>
      <c r="G110" s="62" t="s">
        <v>127</v>
      </c>
      <c r="H110" s="62" t="s">
        <v>13</v>
      </c>
      <c r="I110" s="62" t="s">
        <v>121</v>
      </c>
      <c r="J110" s="62"/>
      <c r="K110" s="64">
        <v>50</v>
      </c>
      <c r="L110" s="64">
        <f t="shared" si="27"/>
        <v>20</v>
      </c>
      <c r="M110" s="65">
        <f>prodnorm12</f>
        <v>0</v>
      </c>
      <c r="N110" s="66">
        <f>dagwerk12</f>
        <v>0</v>
      </c>
      <c r="O110" s="62" t="s">
        <v>34</v>
      </c>
      <c r="P110" s="67">
        <f>uurtarief12</f>
        <v>0</v>
      </c>
      <c r="Q110" s="64" t="e">
        <f t="shared" si="28"/>
        <v>#DIV/0!</v>
      </c>
      <c r="R110" s="64" t="e">
        <f t="shared" si="29"/>
        <v>#DIV/0!</v>
      </c>
      <c r="S110" s="67" t="e">
        <f t="shared" si="30"/>
        <v>#DIV/0!</v>
      </c>
      <c r="T110" s="64" t="e">
        <f t="shared" si="31"/>
        <v>#DIV/0!</v>
      </c>
      <c r="U110" s="68" t="e">
        <f t="shared" si="32"/>
        <v>#DIV/0!</v>
      </c>
    </row>
    <row r="111" spans="1:21" x14ac:dyDescent="0.2">
      <c r="A111" s="61" t="s">
        <v>183</v>
      </c>
      <c r="B111" s="62" t="s">
        <v>184</v>
      </c>
      <c r="C111" s="62" t="s">
        <v>322</v>
      </c>
      <c r="D111" s="62" t="s">
        <v>364</v>
      </c>
      <c r="E111" s="63" t="s">
        <v>362</v>
      </c>
      <c r="F111" s="62" t="s">
        <v>188</v>
      </c>
      <c r="G111" s="62" t="s">
        <v>127</v>
      </c>
      <c r="H111" s="62" t="s">
        <v>13</v>
      </c>
      <c r="I111" s="62" t="s">
        <v>121</v>
      </c>
      <c r="J111" s="62"/>
      <c r="K111" s="64">
        <v>47.8</v>
      </c>
      <c r="L111" s="64">
        <f t="shared" si="27"/>
        <v>19.12</v>
      </c>
      <c r="M111" s="65">
        <f>prodnorm12</f>
        <v>0</v>
      </c>
      <c r="N111" s="66">
        <f>dagwerk12</f>
        <v>0</v>
      </c>
      <c r="O111" s="62" t="s">
        <v>34</v>
      </c>
      <c r="P111" s="67">
        <f>uurtarief12</f>
        <v>0</v>
      </c>
      <c r="Q111" s="64" t="e">
        <f t="shared" si="28"/>
        <v>#DIV/0!</v>
      </c>
      <c r="R111" s="64" t="e">
        <f t="shared" si="29"/>
        <v>#DIV/0!</v>
      </c>
      <c r="S111" s="67" t="e">
        <f t="shared" si="30"/>
        <v>#DIV/0!</v>
      </c>
      <c r="T111" s="64" t="e">
        <f t="shared" si="31"/>
        <v>#DIV/0!</v>
      </c>
      <c r="U111" s="68" t="e">
        <f t="shared" si="32"/>
        <v>#DIV/0!</v>
      </c>
    </row>
    <row r="112" spans="1:21" x14ac:dyDescent="0.2">
      <c r="A112" s="61" t="s">
        <v>183</v>
      </c>
      <c r="B112" s="62" t="s">
        <v>184</v>
      </c>
      <c r="C112" s="62" t="s">
        <v>322</v>
      </c>
      <c r="D112" s="62" t="s">
        <v>365</v>
      </c>
      <c r="E112" s="63" t="s">
        <v>263</v>
      </c>
      <c r="F112" s="62" t="s">
        <v>198</v>
      </c>
      <c r="G112" s="62" t="s">
        <v>153</v>
      </c>
      <c r="H112" s="62" t="s">
        <v>10</v>
      </c>
      <c r="I112" s="62" t="s">
        <v>121</v>
      </c>
      <c r="J112" s="62"/>
      <c r="K112" s="64">
        <v>6.5</v>
      </c>
      <c r="L112" s="64">
        <f t="shared" si="27"/>
        <v>6.5</v>
      </c>
      <c r="M112" s="65">
        <f>prodnorm27</f>
        <v>0</v>
      </c>
      <c r="N112" s="66">
        <f>dagwerk27</f>
        <v>0</v>
      </c>
      <c r="O112" s="62" t="s">
        <v>34</v>
      </c>
      <c r="P112" s="67">
        <f>uurtarief27</f>
        <v>0</v>
      </c>
      <c r="Q112" s="64" t="e">
        <f t="shared" si="28"/>
        <v>#DIV/0!</v>
      </c>
      <c r="R112" s="64" t="e">
        <f t="shared" si="29"/>
        <v>#DIV/0!</v>
      </c>
      <c r="S112" s="67" t="e">
        <f t="shared" si="30"/>
        <v>#DIV/0!</v>
      </c>
      <c r="T112" s="64" t="e">
        <f t="shared" si="31"/>
        <v>#DIV/0!</v>
      </c>
      <c r="U112" s="68" t="e">
        <f t="shared" si="32"/>
        <v>#DIV/0!</v>
      </c>
    </row>
    <row r="113" spans="1:21" x14ac:dyDescent="0.2">
      <c r="A113" s="61" t="s">
        <v>183</v>
      </c>
      <c r="B113" s="62" t="s">
        <v>184</v>
      </c>
      <c r="C113" s="62" t="s">
        <v>322</v>
      </c>
      <c r="D113" s="62" t="s">
        <v>366</v>
      </c>
      <c r="E113" s="63" t="s">
        <v>265</v>
      </c>
      <c r="F113" s="62" t="s">
        <v>198</v>
      </c>
      <c r="G113" s="62" t="s">
        <v>153</v>
      </c>
      <c r="H113" s="62" t="s">
        <v>10</v>
      </c>
      <c r="I113" s="62" t="s">
        <v>121</v>
      </c>
      <c r="J113" s="62"/>
      <c r="K113" s="64">
        <v>6.5</v>
      </c>
      <c r="L113" s="64">
        <f t="shared" si="27"/>
        <v>6.5</v>
      </c>
      <c r="M113" s="65">
        <f>prodnorm27</f>
        <v>0</v>
      </c>
      <c r="N113" s="66">
        <f>dagwerk27</f>
        <v>0</v>
      </c>
      <c r="O113" s="62" t="s">
        <v>34</v>
      </c>
      <c r="P113" s="67">
        <f>uurtarief27</f>
        <v>0</v>
      </c>
      <c r="Q113" s="64" t="e">
        <f t="shared" si="28"/>
        <v>#DIV/0!</v>
      </c>
      <c r="R113" s="64" t="e">
        <f t="shared" si="29"/>
        <v>#DIV/0!</v>
      </c>
      <c r="S113" s="67" t="e">
        <f t="shared" si="30"/>
        <v>#DIV/0!</v>
      </c>
      <c r="T113" s="64" t="e">
        <f t="shared" si="31"/>
        <v>#DIV/0!</v>
      </c>
      <c r="U113" s="68" t="e">
        <f t="shared" si="32"/>
        <v>#DIV/0!</v>
      </c>
    </row>
    <row r="114" spans="1:21" x14ac:dyDescent="0.2">
      <c r="A114" s="61" t="s">
        <v>183</v>
      </c>
      <c r="B114" s="62" t="s">
        <v>184</v>
      </c>
      <c r="C114" s="62" t="s">
        <v>322</v>
      </c>
      <c r="D114" s="62" t="s">
        <v>367</v>
      </c>
      <c r="E114" s="63" t="s">
        <v>256</v>
      </c>
      <c r="F114" s="62" t="s">
        <v>188</v>
      </c>
      <c r="G114" s="62" t="s">
        <v>127</v>
      </c>
      <c r="H114" s="62" t="s">
        <v>13</v>
      </c>
      <c r="I114" s="62" t="s">
        <v>121</v>
      </c>
      <c r="J114" s="62"/>
      <c r="K114" s="64">
        <v>22</v>
      </c>
      <c r="L114" s="64">
        <f t="shared" si="27"/>
        <v>8.8000000000000007</v>
      </c>
      <c r="M114" s="65">
        <f>prodnorm12</f>
        <v>0</v>
      </c>
      <c r="N114" s="66">
        <f>dagwerk12</f>
        <v>0</v>
      </c>
      <c r="O114" s="62" t="s">
        <v>34</v>
      </c>
      <c r="P114" s="67">
        <f>uurtarief12</f>
        <v>0</v>
      </c>
      <c r="Q114" s="64" t="e">
        <f t="shared" si="28"/>
        <v>#DIV/0!</v>
      </c>
      <c r="R114" s="64" t="e">
        <f t="shared" si="29"/>
        <v>#DIV/0!</v>
      </c>
      <c r="S114" s="67" t="e">
        <f t="shared" si="30"/>
        <v>#DIV/0!</v>
      </c>
      <c r="T114" s="64" t="e">
        <f t="shared" si="31"/>
        <v>#DIV/0!</v>
      </c>
      <c r="U114" s="68" t="e">
        <f t="shared" si="32"/>
        <v>#DIV/0!</v>
      </c>
    </row>
    <row r="115" spans="1:21" x14ac:dyDescent="0.2">
      <c r="A115" s="61" t="s">
        <v>183</v>
      </c>
      <c r="B115" s="62" t="s">
        <v>184</v>
      </c>
      <c r="C115" s="62" t="s">
        <v>322</v>
      </c>
      <c r="D115" s="62" t="s">
        <v>368</v>
      </c>
      <c r="E115" s="63" t="s">
        <v>369</v>
      </c>
      <c r="F115" s="62" t="s">
        <v>188</v>
      </c>
      <c r="G115" s="62" t="s">
        <v>127</v>
      </c>
      <c r="H115" s="62" t="s">
        <v>13</v>
      </c>
      <c r="I115" s="62" t="s">
        <v>121</v>
      </c>
      <c r="J115" s="62"/>
      <c r="K115" s="64">
        <v>14</v>
      </c>
      <c r="L115" s="64">
        <f t="shared" si="27"/>
        <v>5.6000000000000005</v>
      </c>
      <c r="M115" s="65">
        <f>prodnorm12</f>
        <v>0</v>
      </c>
      <c r="N115" s="66">
        <f>dagwerk12</f>
        <v>0</v>
      </c>
      <c r="O115" s="62" t="s">
        <v>34</v>
      </c>
      <c r="P115" s="67">
        <f>uurtarief12</f>
        <v>0</v>
      </c>
      <c r="Q115" s="64" t="e">
        <f t="shared" si="28"/>
        <v>#DIV/0!</v>
      </c>
      <c r="R115" s="64" t="e">
        <f t="shared" si="29"/>
        <v>#DIV/0!</v>
      </c>
      <c r="S115" s="67" t="e">
        <f t="shared" si="30"/>
        <v>#DIV/0!</v>
      </c>
      <c r="T115" s="64" t="e">
        <f t="shared" si="31"/>
        <v>#DIV/0!</v>
      </c>
      <c r="U115" s="68" t="e">
        <f t="shared" si="32"/>
        <v>#DIV/0!</v>
      </c>
    </row>
    <row r="116" spans="1:21" x14ac:dyDescent="0.2">
      <c r="A116" s="61" t="s">
        <v>183</v>
      </c>
      <c r="B116" s="62" t="s">
        <v>184</v>
      </c>
      <c r="C116" s="62" t="s">
        <v>322</v>
      </c>
      <c r="D116" s="62" t="s">
        <v>370</v>
      </c>
      <c r="E116" s="63" t="s">
        <v>369</v>
      </c>
      <c r="F116" s="62" t="s">
        <v>188</v>
      </c>
      <c r="G116" s="62" t="s">
        <v>127</v>
      </c>
      <c r="H116" s="62" t="s">
        <v>13</v>
      </c>
      <c r="I116" s="62" t="s">
        <v>121</v>
      </c>
      <c r="J116" s="62"/>
      <c r="K116" s="64">
        <v>29.1</v>
      </c>
      <c r="L116" s="64">
        <f t="shared" si="27"/>
        <v>11.64</v>
      </c>
      <c r="M116" s="65">
        <f>prodnorm12</f>
        <v>0</v>
      </c>
      <c r="N116" s="66">
        <f>dagwerk12</f>
        <v>0</v>
      </c>
      <c r="O116" s="62" t="s">
        <v>34</v>
      </c>
      <c r="P116" s="67">
        <f>uurtarief12</f>
        <v>0</v>
      </c>
      <c r="Q116" s="64" t="e">
        <f t="shared" si="28"/>
        <v>#DIV/0!</v>
      </c>
      <c r="R116" s="64" t="e">
        <f t="shared" si="29"/>
        <v>#DIV/0!</v>
      </c>
      <c r="S116" s="67" t="e">
        <f t="shared" si="30"/>
        <v>#DIV/0!</v>
      </c>
      <c r="T116" s="64" t="e">
        <f t="shared" si="31"/>
        <v>#DIV/0!</v>
      </c>
      <c r="U116" s="68" t="e">
        <f t="shared" si="32"/>
        <v>#DIV/0!</v>
      </c>
    </row>
    <row r="117" spans="1:21" x14ac:dyDescent="0.2">
      <c r="A117" s="61" t="s">
        <v>183</v>
      </c>
      <c r="B117" s="62" t="s">
        <v>184</v>
      </c>
      <c r="C117" s="62" t="s">
        <v>322</v>
      </c>
      <c r="D117" s="62" t="s">
        <v>371</v>
      </c>
      <c r="E117" s="63" t="s">
        <v>326</v>
      </c>
      <c r="F117" s="62" t="s">
        <v>188</v>
      </c>
      <c r="G117" s="62" t="s">
        <v>143</v>
      </c>
      <c r="H117" s="62" t="s">
        <v>11</v>
      </c>
      <c r="I117" s="62" t="s">
        <v>121</v>
      </c>
      <c r="J117" s="62"/>
      <c r="K117" s="64">
        <v>14.4</v>
      </c>
      <c r="L117" s="64">
        <f t="shared" si="27"/>
        <v>11.520000000000001</v>
      </c>
      <c r="M117" s="65">
        <f>prodnorm22</f>
        <v>0</v>
      </c>
      <c r="N117" s="66">
        <f>dagwerk22</f>
        <v>0</v>
      </c>
      <c r="O117" s="62" t="s">
        <v>34</v>
      </c>
      <c r="P117" s="67">
        <f>uurtarief22</f>
        <v>0</v>
      </c>
      <c r="Q117" s="64" t="e">
        <f t="shared" si="28"/>
        <v>#DIV/0!</v>
      </c>
      <c r="R117" s="64" t="e">
        <f t="shared" si="29"/>
        <v>#DIV/0!</v>
      </c>
      <c r="S117" s="67" t="e">
        <f t="shared" si="30"/>
        <v>#DIV/0!</v>
      </c>
      <c r="T117" s="64" t="e">
        <f t="shared" si="31"/>
        <v>#DIV/0!</v>
      </c>
      <c r="U117" s="68" t="e">
        <f t="shared" si="32"/>
        <v>#DIV/0!</v>
      </c>
    </row>
    <row r="118" spans="1:21" x14ac:dyDescent="0.2">
      <c r="A118" s="61" t="s">
        <v>183</v>
      </c>
      <c r="B118" s="62" t="s">
        <v>184</v>
      </c>
      <c r="C118" s="62" t="s">
        <v>322</v>
      </c>
      <c r="D118" s="62" t="s">
        <v>372</v>
      </c>
      <c r="E118" s="63" t="s">
        <v>326</v>
      </c>
      <c r="F118" s="62" t="s">
        <v>188</v>
      </c>
      <c r="G118" s="62" t="s">
        <v>143</v>
      </c>
      <c r="H118" s="62" t="s">
        <v>11</v>
      </c>
      <c r="I118" s="62" t="s">
        <v>121</v>
      </c>
      <c r="J118" s="62"/>
      <c r="K118" s="64">
        <v>14.4</v>
      </c>
      <c r="L118" s="64">
        <f t="shared" si="27"/>
        <v>11.520000000000001</v>
      </c>
      <c r="M118" s="65">
        <f>prodnorm22</f>
        <v>0</v>
      </c>
      <c r="N118" s="66">
        <f>dagwerk22</f>
        <v>0</v>
      </c>
      <c r="O118" s="62" t="s">
        <v>34</v>
      </c>
      <c r="P118" s="67">
        <f>uurtarief22</f>
        <v>0</v>
      </c>
      <c r="Q118" s="64" t="e">
        <f t="shared" si="28"/>
        <v>#DIV/0!</v>
      </c>
      <c r="R118" s="64" t="e">
        <f t="shared" si="29"/>
        <v>#DIV/0!</v>
      </c>
      <c r="S118" s="67" t="e">
        <f t="shared" si="30"/>
        <v>#DIV/0!</v>
      </c>
      <c r="T118" s="64" t="e">
        <f t="shared" si="31"/>
        <v>#DIV/0!</v>
      </c>
      <c r="U118" s="68" t="e">
        <f t="shared" si="32"/>
        <v>#DIV/0!</v>
      </c>
    </row>
    <row r="119" spans="1:21" x14ac:dyDescent="0.2">
      <c r="A119" s="61" t="s">
        <v>183</v>
      </c>
      <c r="B119" s="62" t="s">
        <v>184</v>
      </c>
      <c r="C119" s="62" t="s">
        <v>322</v>
      </c>
      <c r="D119" s="62" t="s">
        <v>373</v>
      </c>
      <c r="E119" s="63" t="s">
        <v>374</v>
      </c>
      <c r="F119" s="62" t="s">
        <v>188</v>
      </c>
      <c r="G119" s="62" t="s">
        <v>127</v>
      </c>
      <c r="H119" s="62" t="s">
        <v>13</v>
      </c>
      <c r="I119" s="62" t="s">
        <v>121</v>
      </c>
      <c r="J119" s="62"/>
      <c r="K119" s="64">
        <v>36.799999999999997</v>
      </c>
      <c r="L119" s="64">
        <f t="shared" si="27"/>
        <v>14.719999999999999</v>
      </c>
      <c r="M119" s="65">
        <f>prodnorm12</f>
        <v>0</v>
      </c>
      <c r="N119" s="66">
        <f>dagwerk12</f>
        <v>0</v>
      </c>
      <c r="O119" s="62" t="s">
        <v>34</v>
      </c>
      <c r="P119" s="67">
        <f>uurtarief12</f>
        <v>0</v>
      </c>
      <c r="Q119" s="64" t="e">
        <f t="shared" si="28"/>
        <v>#DIV/0!</v>
      </c>
      <c r="R119" s="64" t="e">
        <f t="shared" si="29"/>
        <v>#DIV/0!</v>
      </c>
      <c r="S119" s="67" t="e">
        <f t="shared" si="30"/>
        <v>#DIV/0!</v>
      </c>
      <c r="T119" s="64" t="e">
        <f t="shared" si="31"/>
        <v>#DIV/0!</v>
      </c>
      <c r="U119" s="68" t="e">
        <f t="shared" si="32"/>
        <v>#DIV/0!</v>
      </c>
    </row>
    <row r="120" spans="1:21" x14ac:dyDescent="0.2">
      <c r="A120" s="61" t="s">
        <v>183</v>
      </c>
      <c r="B120" s="62" t="s">
        <v>184</v>
      </c>
      <c r="C120" s="62" t="s">
        <v>322</v>
      </c>
      <c r="D120" s="62" t="s">
        <v>375</v>
      </c>
      <c r="E120" s="63" t="s">
        <v>376</v>
      </c>
      <c r="F120" s="62" t="s">
        <v>188</v>
      </c>
      <c r="G120" s="62" t="s">
        <v>159</v>
      </c>
      <c r="H120" s="62" t="s">
        <v>10</v>
      </c>
      <c r="I120" s="62" t="s">
        <v>121</v>
      </c>
      <c r="J120" s="62"/>
      <c r="K120" s="64">
        <v>28.6</v>
      </c>
      <c r="L120" s="64">
        <f t="shared" si="27"/>
        <v>28.6</v>
      </c>
      <c r="M120" s="65">
        <f>prodnorm30</f>
        <v>0</v>
      </c>
      <c r="N120" s="66">
        <f>dagwerk30</f>
        <v>0</v>
      </c>
      <c r="O120" s="62" t="s">
        <v>34</v>
      </c>
      <c r="P120" s="67">
        <f>uurtarief30</f>
        <v>0</v>
      </c>
      <c r="Q120" s="64" t="e">
        <f t="shared" si="28"/>
        <v>#DIV/0!</v>
      </c>
      <c r="R120" s="64" t="e">
        <f t="shared" si="29"/>
        <v>#DIV/0!</v>
      </c>
      <c r="S120" s="67" t="e">
        <f t="shared" si="30"/>
        <v>#DIV/0!</v>
      </c>
      <c r="T120" s="64" t="e">
        <f t="shared" si="31"/>
        <v>#DIV/0!</v>
      </c>
      <c r="U120" s="68" t="e">
        <f t="shared" si="32"/>
        <v>#DIV/0!</v>
      </c>
    </row>
    <row r="121" spans="1:21" x14ac:dyDescent="0.2">
      <c r="A121" s="61" t="s">
        <v>183</v>
      </c>
      <c r="B121" s="62" t="s">
        <v>184</v>
      </c>
      <c r="C121" s="62" t="s">
        <v>322</v>
      </c>
      <c r="D121" s="62" t="s">
        <v>377</v>
      </c>
      <c r="E121" s="63" t="s">
        <v>378</v>
      </c>
      <c r="F121" s="62" t="s">
        <v>188</v>
      </c>
      <c r="G121" s="62" t="s">
        <v>127</v>
      </c>
      <c r="H121" s="62" t="s">
        <v>13</v>
      </c>
      <c r="I121" s="62" t="s">
        <v>121</v>
      </c>
      <c r="J121" s="62"/>
      <c r="K121" s="64">
        <v>22.7</v>
      </c>
      <c r="L121" s="64">
        <f t="shared" si="27"/>
        <v>9.08</v>
      </c>
      <c r="M121" s="65">
        <f t="shared" ref="M121:M126" si="33">prodnorm12</f>
        <v>0</v>
      </c>
      <c r="N121" s="66">
        <f t="shared" ref="N121:N126" si="34">dagwerk12</f>
        <v>0</v>
      </c>
      <c r="O121" s="62" t="s">
        <v>34</v>
      </c>
      <c r="P121" s="67">
        <f t="shared" ref="P121:P126" si="35">uurtarief12</f>
        <v>0</v>
      </c>
      <c r="Q121" s="64" t="e">
        <f t="shared" si="28"/>
        <v>#DIV/0!</v>
      </c>
      <c r="R121" s="64" t="e">
        <f t="shared" si="29"/>
        <v>#DIV/0!</v>
      </c>
      <c r="S121" s="67" t="e">
        <f t="shared" si="30"/>
        <v>#DIV/0!</v>
      </c>
      <c r="T121" s="64" t="e">
        <f t="shared" si="31"/>
        <v>#DIV/0!</v>
      </c>
      <c r="U121" s="68" t="e">
        <f t="shared" si="32"/>
        <v>#DIV/0!</v>
      </c>
    </row>
    <row r="122" spans="1:21" x14ac:dyDescent="0.2">
      <c r="A122" s="61" t="s">
        <v>183</v>
      </c>
      <c r="B122" s="62" t="s">
        <v>184</v>
      </c>
      <c r="C122" s="62" t="s">
        <v>322</v>
      </c>
      <c r="D122" s="62" t="s">
        <v>379</v>
      </c>
      <c r="E122" s="63" t="s">
        <v>362</v>
      </c>
      <c r="F122" s="62" t="s">
        <v>188</v>
      </c>
      <c r="G122" s="62" t="s">
        <v>127</v>
      </c>
      <c r="H122" s="62" t="s">
        <v>13</v>
      </c>
      <c r="I122" s="62" t="s">
        <v>121</v>
      </c>
      <c r="J122" s="62"/>
      <c r="K122" s="64">
        <v>44.5</v>
      </c>
      <c r="L122" s="64">
        <f t="shared" si="27"/>
        <v>17.8</v>
      </c>
      <c r="M122" s="65">
        <f t="shared" si="33"/>
        <v>0</v>
      </c>
      <c r="N122" s="66">
        <f t="shared" si="34"/>
        <v>0</v>
      </c>
      <c r="O122" s="62" t="s">
        <v>34</v>
      </c>
      <c r="P122" s="67">
        <f t="shared" si="35"/>
        <v>0</v>
      </c>
      <c r="Q122" s="64" t="e">
        <f t="shared" si="28"/>
        <v>#DIV/0!</v>
      </c>
      <c r="R122" s="64" t="e">
        <f t="shared" si="29"/>
        <v>#DIV/0!</v>
      </c>
      <c r="S122" s="67" t="e">
        <f t="shared" si="30"/>
        <v>#DIV/0!</v>
      </c>
      <c r="T122" s="64" t="e">
        <f t="shared" si="31"/>
        <v>#DIV/0!</v>
      </c>
      <c r="U122" s="68" t="e">
        <f t="shared" si="32"/>
        <v>#DIV/0!</v>
      </c>
    </row>
    <row r="123" spans="1:21" x14ac:dyDescent="0.2">
      <c r="A123" s="61" t="s">
        <v>183</v>
      </c>
      <c r="B123" s="62" t="s">
        <v>184</v>
      </c>
      <c r="C123" s="62" t="s">
        <v>322</v>
      </c>
      <c r="D123" s="62" t="s">
        <v>380</v>
      </c>
      <c r="E123" s="63" t="s">
        <v>362</v>
      </c>
      <c r="F123" s="62" t="s">
        <v>188</v>
      </c>
      <c r="G123" s="62" t="s">
        <v>127</v>
      </c>
      <c r="H123" s="62" t="s">
        <v>13</v>
      </c>
      <c r="I123" s="62" t="s">
        <v>121</v>
      </c>
      <c r="J123" s="62"/>
      <c r="K123" s="64">
        <v>65.5</v>
      </c>
      <c r="L123" s="64">
        <f t="shared" si="27"/>
        <v>26.200000000000003</v>
      </c>
      <c r="M123" s="65">
        <f t="shared" si="33"/>
        <v>0</v>
      </c>
      <c r="N123" s="66">
        <f t="shared" si="34"/>
        <v>0</v>
      </c>
      <c r="O123" s="62" t="s">
        <v>34</v>
      </c>
      <c r="P123" s="67">
        <f t="shared" si="35"/>
        <v>0</v>
      </c>
      <c r="Q123" s="64" t="e">
        <f t="shared" si="28"/>
        <v>#DIV/0!</v>
      </c>
      <c r="R123" s="64" t="e">
        <f t="shared" si="29"/>
        <v>#DIV/0!</v>
      </c>
      <c r="S123" s="67" t="e">
        <f t="shared" si="30"/>
        <v>#DIV/0!</v>
      </c>
      <c r="T123" s="64" t="e">
        <f t="shared" si="31"/>
        <v>#DIV/0!</v>
      </c>
      <c r="U123" s="68" t="e">
        <f t="shared" si="32"/>
        <v>#DIV/0!</v>
      </c>
    </row>
    <row r="124" spans="1:21" x14ac:dyDescent="0.2">
      <c r="A124" s="61" t="s">
        <v>183</v>
      </c>
      <c r="B124" s="62" t="s">
        <v>184</v>
      </c>
      <c r="C124" s="62" t="s">
        <v>322</v>
      </c>
      <c r="D124" s="62" t="s">
        <v>381</v>
      </c>
      <c r="E124" s="63" t="s">
        <v>362</v>
      </c>
      <c r="F124" s="62" t="s">
        <v>188</v>
      </c>
      <c r="G124" s="62" t="s">
        <v>127</v>
      </c>
      <c r="H124" s="62" t="s">
        <v>13</v>
      </c>
      <c r="I124" s="62" t="s">
        <v>121</v>
      </c>
      <c r="J124" s="62"/>
      <c r="K124" s="64">
        <v>57</v>
      </c>
      <c r="L124" s="64">
        <f t="shared" si="27"/>
        <v>22.8</v>
      </c>
      <c r="M124" s="65">
        <f t="shared" si="33"/>
        <v>0</v>
      </c>
      <c r="N124" s="66">
        <f t="shared" si="34"/>
        <v>0</v>
      </c>
      <c r="O124" s="62" t="s">
        <v>34</v>
      </c>
      <c r="P124" s="67">
        <f t="shared" si="35"/>
        <v>0</v>
      </c>
      <c r="Q124" s="64" t="e">
        <f t="shared" si="28"/>
        <v>#DIV/0!</v>
      </c>
      <c r="R124" s="64" t="e">
        <f t="shared" si="29"/>
        <v>#DIV/0!</v>
      </c>
      <c r="S124" s="67" t="e">
        <f t="shared" si="30"/>
        <v>#DIV/0!</v>
      </c>
      <c r="T124" s="64" t="e">
        <f t="shared" si="31"/>
        <v>#DIV/0!</v>
      </c>
      <c r="U124" s="68" t="e">
        <f t="shared" si="32"/>
        <v>#DIV/0!</v>
      </c>
    </row>
    <row r="125" spans="1:21" x14ac:dyDescent="0.2">
      <c r="A125" s="61" t="s">
        <v>183</v>
      </c>
      <c r="B125" s="62" t="s">
        <v>184</v>
      </c>
      <c r="C125" s="62" t="s">
        <v>322</v>
      </c>
      <c r="D125" s="62" t="s">
        <v>382</v>
      </c>
      <c r="E125" s="63" t="s">
        <v>369</v>
      </c>
      <c r="F125" s="62" t="s">
        <v>188</v>
      </c>
      <c r="G125" s="62" t="s">
        <v>127</v>
      </c>
      <c r="H125" s="62" t="s">
        <v>13</v>
      </c>
      <c r="I125" s="62" t="s">
        <v>121</v>
      </c>
      <c r="J125" s="62"/>
      <c r="K125" s="64">
        <v>31.3</v>
      </c>
      <c r="L125" s="64">
        <f t="shared" si="27"/>
        <v>12.520000000000001</v>
      </c>
      <c r="M125" s="65">
        <f t="shared" si="33"/>
        <v>0</v>
      </c>
      <c r="N125" s="66">
        <f t="shared" si="34"/>
        <v>0</v>
      </c>
      <c r="O125" s="62" t="s">
        <v>34</v>
      </c>
      <c r="P125" s="67">
        <f t="shared" si="35"/>
        <v>0</v>
      </c>
      <c r="Q125" s="64" t="e">
        <f t="shared" si="28"/>
        <v>#DIV/0!</v>
      </c>
      <c r="R125" s="64" t="e">
        <f t="shared" si="29"/>
        <v>#DIV/0!</v>
      </c>
      <c r="S125" s="67" t="e">
        <f t="shared" si="30"/>
        <v>#DIV/0!</v>
      </c>
      <c r="T125" s="64" t="e">
        <f t="shared" si="31"/>
        <v>#DIV/0!</v>
      </c>
      <c r="U125" s="68" t="e">
        <f t="shared" si="32"/>
        <v>#DIV/0!</v>
      </c>
    </row>
    <row r="126" spans="1:21" x14ac:dyDescent="0.2">
      <c r="A126" s="61" t="s">
        <v>183</v>
      </c>
      <c r="B126" s="62" t="s">
        <v>184</v>
      </c>
      <c r="C126" s="62" t="s">
        <v>322</v>
      </c>
      <c r="D126" s="62" t="s">
        <v>383</v>
      </c>
      <c r="E126" s="63" t="s">
        <v>355</v>
      </c>
      <c r="F126" s="62" t="s">
        <v>188</v>
      </c>
      <c r="G126" s="62" t="s">
        <v>127</v>
      </c>
      <c r="H126" s="62" t="s">
        <v>13</v>
      </c>
      <c r="I126" s="62" t="s">
        <v>121</v>
      </c>
      <c r="J126" s="62"/>
      <c r="K126" s="64">
        <v>83</v>
      </c>
      <c r="L126" s="64">
        <f t="shared" si="27"/>
        <v>33.200000000000003</v>
      </c>
      <c r="M126" s="65">
        <f t="shared" si="33"/>
        <v>0</v>
      </c>
      <c r="N126" s="66">
        <f t="shared" si="34"/>
        <v>0</v>
      </c>
      <c r="O126" s="62" t="s">
        <v>34</v>
      </c>
      <c r="P126" s="67">
        <f t="shared" si="35"/>
        <v>0</v>
      </c>
      <c r="Q126" s="64" t="e">
        <f t="shared" si="28"/>
        <v>#DIV/0!</v>
      </c>
      <c r="R126" s="64" t="e">
        <f t="shared" si="29"/>
        <v>#DIV/0!</v>
      </c>
      <c r="S126" s="67" t="e">
        <f t="shared" si="30"/>
        <v>#DIV/0!</v>
      </c>
      <c r="T126" s="64" t="e">
        <f t="shared" si="31"/>
        <v>#DIV/0!</v>
      </c>
      <c r="U126" s="68" t="e">
        <f t="shared" si="32"/>
        <v>#DIV/0!</v>
      </c>
    </row>
    <row r="127" spans="1:21" x14ac:dyDescent="0.2">
      <c r="A127" s="61" t="s">
        <v>183</v>
      </c>
      <c r="B127" s="62" t="s">
        <v>184</v>
      </c>
      <c r="C127" s="62" t="s">
        <v>322</v>
      </c>
      <c r="D127" s="62" t="s">
        <v>384</v>
      </c>
      <c r="E127" s="63" t="s">
        <v>231</v>
      </c>
      <c r="F127" s="62" t="s">
        <v>198</v>
      </c>
      <c r="G127" s="62" t="s">
        <v>153</v>
      </c>
      <c r="H127" s="62" t="s">
        <v>10</v>
      </c>
      <c r="I127" s="62" t="s">
        <v>121</v>
      </c>
      <c r="J127" s="62"/>
      <c r="K127" s="64">
        <v>5.8</v>
      </c>
      <c r="L127" s="64">
        <f t="shared" si="27"/>
        <v>5.8</v>
      </c>
      <c r="M127" s="65">
        <f>prodnorm27</f>
        <v>0</v>
      </c>
      <c r="N127" s="66">
        <f>dagwerk27</f>
        <v>0</v>
      </c>
      <c r="O127" s="62" t="s">
        <v>34</v>
      </c>
      <c r="P127" s="67">
        <f>uurtarief27</f>
        <v>0</v>
      </c>
      <c r="Q127" s="64" t="e">
        <f t="shared" si="28"/>
        <v>#DIV/0!</v>
      </c>
      <c r="R127" s="64" t="e">
        <f t="shared" si="29"/>
        <v>#DIV/0!</v>
      </c>
      <c r="S127" s="67" t="e">
        <f t="shared" si="30"/>
        <v>#DIV/0!</v>
      </c>
      <c r="T127" s="64" t="e">
        <f t="shared" si="31"/>
        <v>#DIV/0!</v>
      </c>
      <c r="U127" s="68" t="e">
        <f t="shared" si="32"/>
        <v>#DIV/0!</v>
      </c>
    </row>
    <row r="128" spans="1:21" x14ac:dyDescent="0.2">
      <c r="A128" s="61" t="s">
        <v>183</v>
      </c>
      <c r="B128" s="62" t="s">
        <v>184</v>
      </c>
      <c r="C128" s="62" t="s">
        <v>322</v>
      </c>
      <c r="D128" s="62" t="s">
        <v>385</v>
      </c>
      <c r="E128" s="63" t="s">
        <v>231</v>
      </c>
      <c r="F128" s="62" t="s">
        <v>198</v>
      </c>
      <c r="G128" s="62" t="s">
        <v>153</v>
      </c>
      <c r="H128" s="62" t="s">
        <v>10</v>
      </c>
      <c r="I128" s="62" t="s">
        <v>121</v>
      </c>
      <c r="J128" s="62"/>
      <c r="K128" s="64">
        <v>5.8</v>
      </c>
      <c r="L128" s="64">
        <f t="shared" si="27"/>
        <v>5.8</v>
      </c>
      <c r="M128" s="65">
        <f>prodnorm27</f>
        <v>0</v>
      </c>
      <c r="N128" s="66">
        <f>dagwerk27</f>
        <v>0</v>
      </c>
      <c r="O128" s="62" t="s">
        <v>34</v>
      </c>
      <c r="P128" s="67">
        <f>uurtarief27</f>
        <v>0</v>
      </c>
      <c r="Q128" s="64" t="e">
        <f t="shared" si="28"/>
        <v>#DIV/0!</v>
      </c>
      <c r="R128" s="64" t="e">
        <f t="shared" si="29"/>
        <v>#DIV/0!</v>
      </c>
      <c r="S128" s="67" t="e">
        <f t="shared" si="30"/>
        <v>#DIV/0!</v>
      </c>
      <c r="T128" s="64" t="e">
        <f t="shared" si="31"/>
        <v>#DIV/0!</v>
      </c>
      <c r="U128" s="68" t="e">
        <f t="shared" si="32"/>
        <v>#DIV/0!</v>
      </c>
    </row>
    <row r="129" spans="1:21" x14ac:dyDescent="0.2">
      <c r="A129" s="61" t="s">
        <v>183</v>
      </c>
      <c r="B129" s="62" t="s">
        <v>184</v>
      </c>
      <c r="C129" s="62" t="s">
        <v>322</v>
      </c>
      <c r="D129" s="62" t="s">
        <v>386</v>
      </c>
      <c r="E129" s="63" t="s">
        <v>387</v>
      </c>
      <c r="F129" s="62" t="s">
        <v>188</v>
      </c>
      <c r="G129" s="62" t="s">
        <v>127</v>
      </c>
      <c r="H129" s="62" t="s">
        <v>13</v>
      </c>
      <c r="I129" s="62" t="s">
        <v>121</v>
      </c>
      <c r="J129" s="62"/>
      <c r="K129" s="64">
        <v>21.3</v>
      </c>
      <c r="L129" s="64">
        <f t="shared" si="27"/>
        <v>8.5200000000000014</v>
      </c>
      <c r="M129" s="65">
        <f>prodnorm12</f>
        <v>0</v>
      </c>
      <c r="N129" s="66">
        <f>dagwerk12</f>
        <v>0</v>
      </c>
      <c r="O129" s="62" t="s">
        <v>34</v>
      </c>
      <c r="P129" s="67">
        <f>uurtarief12</f>
        <v>0</v>
      </c>
      <c r="Q129" s="64" t="e">
        <f t="shared" si="28"/>
        <v>#DIV/0!</v>
      </c>
      <c r="R129" s="64" t="e">
        <f t="shared" si="29"/>
        <v>#DIV/0!</v>
      </c>
      <c r="S129" s="67" t="e">
        <f t="shared" si="30"/>
        <v>#DIV/0!</v>
      </c>
      <c r="T129" s="64" t="e">
        <f t="shared" si="31"/>
        <v>#DIV/0!</v>
      </c>
      <c r="U129" s="68" t="e">
        <f t="shared" si="32"/>
        <v>#DIV/0!</v>
      </c>
    </row>
    <row r="130" spans="1:21" x14ac:dyDescent="0.2">
      <c r="A130" s="61" t="s">
        <v>183</v>
      </c>
      <c r="B130" s="62" t="s">
        <v>184</v>
      </c>
      <c r="C130" s="62" t="s">
        <v>322</v>
      </c>
      <c r="D130" s="62" t="s">
        <v>388</v>
      </c>
      <c r="E130" s="63" t="s">
        <v>389</v>
      </c>
      <c r="F130" s="62" t="s">
        <v>188</v>
      </c>
      <c r="G130" s="62" t="s">
        <v>127</v>
      </c>
      <c r="H130" s="62" t="s">
        <v>13</v>
      </c>
      <c r="I130" s="62" t="s">
        <v>121</v>
      </c>
      <c r="J130" s="62"/>
      <c r="K130" s="64">
        <v>29.8</v>
      </c>
      <c r="L130" s="64">
        <f t="shared" si="27"/>
        <v>11.920000000000002</v>
      </c>
      <c r="M130" s="65">
        <f>prodnorm12</f>
        <v>0</v>
      </c>
      <c r="N130" s="66">
        <f>dagwerk12</f>
        <v>0</v>
      </c>
      <c r="O130" s="62" t="s">
        <v>34</v>
      </c>
      <c r="P130" s="67">
        <f>uurtarief12</f>
        <v>0</v>
      </c>
      <c r="Q130" s="64" t="e">
        <f t="shared" si="28"/>
        <v>#DIV/0!</v>
      </c>
      <c r="R130" s="64" t="e">
        <f t="shared" si="29"/>
        <v>#DIV/0!</v>
      </c>
      <c r="S130" s="67" t="e">
        <f t="shared" si="30"/>
        <v>#DIV/0!</v>
      </c>
      <c r="T130" s="64" t="e">
        <f t="shared" si="31"/>
        <v>#DIV/0!</v>
      </c>
      <c r="U130" s="68" t="e">
        <f t="shared" si="32"/>
        <v>#DIV/0!</v>
      </c>
    </row>
    <row r="131" spans="1:21" x14ac:dyDescent="0.2">
      <c r="A131" s="61" t="s">
        <v>183</v>
      </c>
      <c r="B131" s="62" t="s">
        <v>184</v>
      </c>
      <c r="C131" s="62" t="s">
        <v>322</v>
      </c>
      <c r="D131" s="62" t="s">
        <v>390</v>
      </c>
      <c r="E131" s="63" t="s">
        <v>304</v>
      </c>
      <c r="F131" s="62" t="s">
        <v>188</v>
      </c>
      <c r="G131" s="62" t="s">
        <v>147</v>
      </c>
      <c r="H131" s="62" t="s">
        <v>10</v>
      </c>
      <c r="I131" s="62" t="s">
        <v>121</v>
      </c>
      <c r="J131" s="62"/>
      <c r="K131" s="64">
        <v>6</v>
      </c>
      <c r="L131" s="64">
        <f t="shared" si="27"/>
        <v>6</v>
      </c>
      <c r="M131" s="65">
        <f>prodnorm24</f>
        <v>0</v>
      </c>
      <c r="N131" s="66">
        <f>dagwerk24</f>
        <v>0</v>
      </c>
      <c r="O131" s="62" t="s">
        <v>34</v>
      </c>
      <c r="P131" s="67">
        <f>uurtarief24</f>
        <v>0</v>
      </c>
      <c r="Q131" s="64" t="e">
        <f t="shared" si="28"/>
        <v>#DIV/0!</v>
      </c>
      <c r="R131" s="64" t="e">
        <f t="shared" si="29"/>
        <v>#DIV/0!</v>
      </c>
      <c r="S131" s="67" t="e">
        <f t="shared" si="30"/>
        <v>#DIV/0!</v>
      </c>
      <c r="T131" s="64" t="e">
        <f t="shared" si="31"/>
        <v>#DIV/0!</v>
      </c>
      <c r="U131" s="68" t="e">
        <f t="shared" si="32"/>
        <v>#DIV/0!</v>
      </c>
    </row>
    <row r="132" spans="1:21" x14ac:dyDescent="0.2">
      <c r="A132" s="61" t="s">
        <v>183</v>
      </c>
      <c r="B132" s="62" t="s">
        <v>184</v>
      </c>
      <c r="C132" s="62" t="s">
        <v>322</v>
      </c>
      <c r="D132" s="62" t="s">
        <v>391</v>
      </c>
      <c r="E132" s="63" t="s">
        <v>302</v>
      </c>
      <c r="F132" s="62" t="s">
        <v>188</v>
      </c>
      <c r="G132" s="62" t="s">
        <v>159</v>
      </c>
      <c r="H132" s="62" t="s">
        <v>10</v>
      </c>
      <c r="I132" s="62" t="s">
        <v>121</v>
      </c>
      <c r="J132" s="62"/>
      <c r="K132" s="64">
        <v>9</v>
      </c>
      <c r="L132" s="64">
        <f t="shared" si="27"/>
        <v>9</v>
      </c>
      <c r="M132" s="65">
        <f>prodnorm30</f>
        <v>0</v>
      </c>
      <c r="N132" s="66">
        <f>dagwerk30</f>
        <v>0</v>
      </c>
      <c r="O132" s="62" t="s">
        <v>34</v>
      </c>
      <c r="P132" s="67">
        <f>uurtarief30</f>
        <v>0</v>
      </c>
      <c r="Q132" s="64" t="e">
        <f t="shared" si="28"/>
        <v>#DIV/0!</v>
      </c>
      <c r="R132" s="64" t="e">
        <f t="shared" si="29"/>
        <v>#DIV/0!</v>
      </c>
      <c r="S132" s="67" t="e">
        <f t="shared" si="30"/>
        <v>#DIV/0!</v>
      </c>
      <c r="T132" s="64" t="e">
        <f t="shared" si="31"/>
        <v>#DIV/0!</v>
      </c>
      <c r="U132" s="68" t="e">
        <f t="shared" si="32"/>
        <v>#DIV/0!</v>
      </c>
    </row>
    <row r="133" spans="1:21" x14ac:dyDescent="0.2">
      <c r="A133" s="61" t="s">
        <v>183</v>
      </c>
      <c r="B133" s="62" t="s">
        <v>184</v>
      </c>
      <c r="C133" s="62" t="s">
        <v>322</v>
      </c>
      <c r="D133" s="62" t="s">
        <v>392</v>
      </c>
      <c r="E133" s="63" t="s">
        <v>306</v>
      </c>
      <c r="F133" s="62" t="s">
        <v>188</v>
      </c>
      <c r="G133" s="62" t="s">
        <v>159</v>
      </c>
      <c r="H133" s="62" t="s">
        <v>10</v>
      </c>
      <c r="I133" s="62" t="s">
        <v>121</v>
      </c>
      <c r="J133" s="62"/>
      <c r="K133" s="64">
        <v>54.6</v>
      </c>
      <c r="L133" s="64">
        <f t="shared" ref="L133:L138" si="36">K133*VLOOKUP(H133,dagsoorttabel1,2,FALSE)</f>
        <v>54.6</v>
      </c>
      <c r="M133" s="65">
        <f>prodnorm30</f>
        <v>0</v>
      </c>
      <c r="N133" s="66">
        <f>dagwerk30</f>
        <v>0</v>
      </c>
      <c r="O133" s="62" t="s">
        <v>34</v>
      </c>
      <c r="P133" s="67">
        <f>uurtarief30</f>
        <v>0</v>
      </c>
      <c r="Q133" s="64" t="e">
        <f t="shared" si="28"/>
        <v>#DIV/0!</v>
      </c>
      <c r="R133" s="64" t="e">
        <f t="shared" ref="R133:R138" si="37">IF(ISBLANK(M133),0,Q133*ROUND(N133,2))</f>
        <v>#DIV/0!</v>
      </c>
      <c r="S133" s="67" t="e">
        <f t="shared" ref="S133:S138" si="38">ROUND(P133,2)*Q133</f>
        <v>#DIV/0!</v>
      </c>
      <c r="T133" s="64" t="e">
        <f t="shared" ref="T133:T138" si="39">Q133*dagenperjaar1</f>
        <v>#DIV/0!</v>
      </c>
      <c r="U133" s="68" t="e">
        <f t="shared" ref="U133:U138" si="40">T133*ROUND(P133,2)</f>
        <v>#DIV/0!</v>
      </c>
    </row>
    <row r="134" spans="1:21" x14ac:dyDescent="0.2">
      <c r="A134" s="61" t="s">
        <v>183</v>
      </c>
      <c r="B134" s="62" t="s">
        <v>184</v>
      </c>
      <c r="C134" s="62" t="s">
        <v>322</v>
      </c>
      <c r="D134" s="62" t="s">
        <v>393</v>
      </c>
      <c r="E134" s="63" t="s">
        <v>284</v>
      </c>
      <c r="F134" s="62" t="s">
        <v>188</v>
      </c>
      <c r="G134" s="62" t="s">
        <v>147</v>
      </c>
      <c r="H134" s="62" t="s">
        <v>10</v>
      </c>
      <c r="I134" s="62" t="s">
        <v>121</v>
      </c>
      <c r="J134" s="62"/>
      <c r="K134" s="64">
        <v>4</v>
      </c>
      <c r="L134" s="64">
        <f t="shared" si="36"/>
        <v>4</v>
      </c>
      <c r="M134" s="65">
        <f>prodnorm24</f>
        <v>0</v>
      </c>
      <c r="N134" s="66">
        <f>dagwerk24</f>
        <v>0</v>
      </c>
      <c r="O134" s="62" t="s">
        <v>34</v>
      </c>
      <c r="P134" s="67">
        <f>uurtarief24</f>
        <v>0</v>
      </c>
      <c r="Q134" s="64" t="e">
        <f t="shared" si="28"/>
        <v>#DIV/0!</v>
      </c>
      <c r="R134" s="64" t="e">
        <f t="shared" si="37"/>
        <v>#DIV/0!</v>
      </c>
      <c r="S134" s="67" t="e">
        <f t="shared" si="38"/>
        <v>#DIV/0!</v>
      </c>
      <c r="T134" s="64" t="e">
        <f t="shared" si="39"/>
        <v>#DIV/0!</v>
      </c>
      <c r="U134" s="68" t="e">
        <f t="shared" si="40"/>
        <v>#DIV/0!</v>
      </c>
    </row>
    <row r="135" spans="1:21" x14ac:dyDescent="0.2">
      <c r="A135" s="61" t="s">
        <v>183</v>
      </c>
      <c r="B135" s="62" t="s">
        <v>184</v>
      </c>
      <c r="C135" s="62" t="s">
        <v>322</v>
      </c>
      <c r="D135" s="62" t="s">
        <v>394</v>
      </c>
      <c r="E135" s="63" t="s">
        <v>311</v>
      </c>
      <c r="F135" s="62" t="s">
        <v>198</v>
      </c>
      <c r="G135" s="62" t="s">
        <v>157</v>
      </c>
      <c r="H135" s="62" t="s">
        <v>10</v>
      </c>
      <c r="I135" s="62" t="s">
        <v>121</v>
      </c>
      <c r="J135" s="62"/>
      <c r="K135" s="64">
        <v>179.1</v>
      </c>
      <c r="L135" s="64">
        <f t="shared" si="36"/>
        <v>179.1</v>
      </c>
      <c r="M135" s="65">
        <f>prodnorm29</f>
        <v>0</v>
      </c>
      <c r="N135" s="66">
        <f>dagwerk29</f>
        <v>0</v>
      </c>
      <c r="O135" s="62" t="s">
        <v>34</v>
      </c>
      <c r="P135" s="67">
        <f>uurtarief29</f>
        <v>0</v>
      </c>
      <c r="Q135" s="64" t="e">
        <f t="shared" si="28"/>
        <v>#DIV/0!</v>
      </c>
      <c r="R135" s="64" t="e">
        <f t="shared" si="37"/>
        <v>#DIV/0!</v>
      </c>
      <c r="S135" s="67" t="e">
        <f t="shared" si="38"/>
        <v>#DIV/0!</v>
      </c>
      <c r="T135" s="64" t="e">
        <f t="shared" si="39"/>
        <v>#DIV/0!</v>
      </c>
      <c r="U135" s="68" t="e">
        <f t="shared" si="40"/>
        <v>#DIV/0!</v>
      </c>
    </row>
    <row r="136" spans="1:21" x14ac:dyDescent="0.2">
      <c r="A136" s="61" t="s">
        <v>183</v>
      </c>
      <c r="B136" s="62" t="s">
        <v>184</v>
      </c>
      <c r="C136" s="62" t="s">
        <v>322</v>
      </c>
      <c r="D136" s="62" t="s">
        <v>395</v>
      </c>
      <c r="E136" s="63" t="s">
        <v>306</v>
      </c>
      <c r="F136" s="62" t="s">
        <v>188</v>
      </c>
      <c r="G136" s="62" t="s">
        <v>159</v>
      </c>
      <c r="H136" s="62" t="s">
        <v>10</v>
      </c>
      <c r="I136" s="62" t="s">
        <v>121</v>
      </c>
      <c r="J136" s="62"/>
      <c r="K136" s="64">
        <v>82.2</v>
      </c>
      <c r="L136" s="64">
        <f t="shared" si="36"/>
        <v>82.2</v>
      </c>
      <c r="M136" s="65">
        <f>prodnorm30</f>
        <v>0</v>
      </c>
      <c r="N136" s="66">
        <f>dagwerk30</f>
        <v>0</v>
      </c>
      <c r="O136" s="62" t="s">
        <v>34</v>
      </c>
      <c r="P136" s="67">
        <f>uurtarief30</f>
        <v>0</v>
      </c>
      <c r="Q136" s="64" t="e">
        <f t="shared" si="28"/>
        <v>#DIV/0!</v>
      </c>
      <c r="R136" s="64" t="e">
        <f t="shared" si="37"/>
        <v>#DIV/0!</v>
      </c>
      <c r="S136" s="67" t="e">
        <f t="shared" si="38"/>
        <v>#DIV/0!</v>
      </c>
      <c r="T136" s="64" t="e">
        <f t="shared" si="39"/>
        <v>#DIV/0!</v>
      </c>
      <c r="U136" s="68" t="e">
        <f t="shared" si="40"/>
        <v>#DIV/0!</v>
      </c>
    </row>
    <row r="137" spans="1:21" x14ac:dyDescent="0.2">
      <c r="A137" s="61" t="s">
        <v>183</v>
      </c>
      <c r="B137" s="62" t="s">
        <v>184</v>
      </c>
      <c r="C137" s="62" t="s">
        <v>322</v>
      </c>
      <c r="D137" s="62" t="s">
        <v>396</v>
      </c>
      <c r="E137" s="63" t="s">
        <v>306</v>
      </c>
      <c r="F137" s="62" t="s">
        <v>188</v>
      </c>
      <c r="G137" s="62" t="s">
        <v>159</v>
      </c>
      <c r="H137" s="62" t="s">
        <v>10</v>
      </c>
      <c r="I137" s="62" t="s">
        <v>121</v>
      </c>
      <c r="J137" s="62"/>
      <c r="K137" s="64">
        <v>68</v>
      </c>
      <c r="L137" s="64">
        <f t="shared" si="36"/>
        <v>68</v>
      </c>
      <c r="M137" s="65">
        <f>prodnorm30</f>
        <v>0</v>
      </c>
      <c r="N137" s="66">
        <f>dagwerk30</f>
        <v>0</v>
      </c>
      <c r="O137" s="62" t="s">
        <v>34</v>
      </c>
      <c r="P137" s="67">
        <f>uurtarief30</f>
        <v>0</v>
      </c>
      <c r="Q137" s="64" t="e">
        <f t="shared" si="28"/>
        <v>#DIV/0!</v>
      </c>
      <c r="R137" s="64" t="e">
        <f t="shared" si="37"/>
        <v>#DIV/0!</v>
      </c>
      <c r="S137" s="67" t="e">
        <f t="shared" si="38"/>
        <v>#DIV/0!</v>
      </c>
      <c r="T137" s="64" t="e">
        <f t="shared" si="39"/>
        <v>#DIV/0!</v>
      </c>
      <c r="U137" s="68" t="e">
        <f t="shared" si="40"/>
        <v>#DIV/0!</v>
      </c>
    </row>
    <row r="138" spans="1:21" x14ac:dyDescent="0.2">
      <c r="A138" s="69" t="s">
        <v>183</v>
      </c>
      <c r="B138" s="70" t="s">
        <v>184</v>
      </c>
      <c r="C138" s="70" t="s">
        <v>397</v>
      </c>
      <c r="D138" s="70" t="s">
        <v>184</v>
      </c>
      <c r="E138" s="71" t="s">
        <v>398</v>
      </c>
      <c r="F138" s="70" t="s">
        <v>184</v>
      </c>
      <c r="G138" s="70" t="s">
        <v>166</v>
      </c>
      <c r="H138" s="70" t="s">
        <v>14</v>
      </c>
      <c r="I138" s="70" t="s">
        <v>167</v>
      </c>
      <c r="J138" s="70"/>
      <c r="K138" s="72">
        <v>2</v>
      </c>
      <c r="L138" s="72">
        <f t="shared" si="36"/>
        <v>0.4</v>
      </c>
      <c r="M138" s="73">
        <f>prodnorm6</f>
        <v>0</v>
      </c>
      <c r="N138" s="74">
        <f>dagwerk6</f>
        <v>0</v>
      </c>
      <c r="O138" s="70" t="s">
        <v>169</v>
      </c>
      <c r="P138" s="75">
        <f>uurtarief6</f>
        <v>0</v>
      </c>
      <c r="Q138" s="72">
        <f>L138*ROUND(M138,4)/60</f>
        <v>0</v>
      </c>
      <c r="R138" s="72">
        <f t="shared" si="37"/>
        <v>0</v>
      </c>
      <c r="S138" s="75">
        <f t="shared" si="38"/>
        <v>0</v>
      </c>
      <c r="T138" s="72">
        <f t="shared" si="39"/>
        <v>0</v>
      </c>
      <c r="U138" s="76">
        <f t="shared" si="40"/>
        <v>0</v>
      </c>
    </row>
    <row r="139" spans="1:21" x14ac:dyDescent="0.2">
      <c r="A139" s="77" t="s">
        <v>399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6" t="e">
        <f>IF(_xlfn.SINGLE(object1_urenjaar1)&gt;0,_xlfn.SINGLE(object1_prijsjaar1)/_xlfn.SINGLE(object1_urenjaar1),0)</f>
        <v>#DIV/0!</v>
      </c>
      <c r="Q139" s="45" t="e">
        <f>SUM(Q5:Q138)</f>
        <v>#DIV/0!</v>
      </c>
      <c r="R139" s="45" t="e">
        <f>SUM(R5:R138)</f>
        <v>#DIV/0!</v>
      </c>
      <c r="S139" s="46" t="e">
        <f>SUM(S5:S138)</f>
        <v>#DIV/0!</v>
      </c>
      <c r="T139" s="45" t="e">
        <f>SUM(T5:T138)</f>
        <v>#DIV/0!</v>
      </c>
      <c r="U139" s="47" t="e">
        <f>SUM(U5:U138)</f>
        <v>#DIV/0!</v>
      </c>
    </row>
    <row r="140" spans="1:21" x14ac:dyDescent="0.2">
      <c r="A140" s="52" t="s">
        <v>400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42"/>
    </row>
    <row r="141" spans="1:21" x14ac:dyDescent="0.2">
      <c r="A141" s="53" t="s">
        <v>401</v>
      </c>
      <c r="B141" s="54" t="s">
        <v>184</v>
      </c>
      <c r="C141" s="54" t="s">
        <v>185</v>
      </c>
      <c r="D141" s="54" t="s">
        <v>186</v>
      </c>
      <c r="E141" s="55" t="s">
        <v>314</v>
      </c>
      <c r="F141" s="54" t="s">
        <v>402</v>
      </c>
      <c r="G141" s="54" t="s">
        <v>133</v>
      </c>
      <c r="H141" s="54" t="s">
        <v>10</v>
      </c>
      <c r="I141" s="54" t="s">
        <v>121</v>
      </c>
      <c r="J141" s="54"/>
      <c r="K141" s="56">
        <v>3.7</v>
      </c>
      <c r="L141" s="56">
        <f t="shared" ref="L141:L169" si="41">K141*VLOOKUP(H141,dagsoorttabel1,2,FALSE)</f>
        <v>3.7</v>
      </c>
      <c r="M141" s="57">
        <f>prodnorm16</f>
        <v>0</v>
      </c>
      <c r="N141" s="58">
        <f>dagwerk16</f>
        <v>0</v>
      </c>
      <c r="O141" s="54" t="s">
        <v>34</v>
      </c>
      <c r="P141" s="59">
        <f>uurtarief16</f>
        <v>0</v>
      </c>
      <c r="Q141" s="56" t="e">
        <f t="shared" ref="Q141:Q168" si="42">IF(ISBLANK(M141),0,L141/ROUND(M141,4))</f>
        <v>#DIV/0!</v>
      </c>
      <c r="R141" s="56" t="e">
        <f t="shared" ref="R141:R169" si="43">IF(ISBLANK(M141),0,Q141*ROUND(N141,2))</f>
        <v>#DIV/0!</v>
      </c>
      <c r="S141" s="59" t="e">
        <f t="shared" ref="S141:S169" si="44">ROUND(P141,2)*Q141</f>
        <v>#DIV/0!</v>
      </c>
      <c r="T141" s="56" t="e">
        <f t="shared" ref="T141:T169" si="45">Q141*dagenperjaar1</f>
        <v>#DIV/0!</v>
      </c>
      <c r="U141" s="60" t="e">
        <f t="shared" ref="U141:U169" si="46">T141*ROUND(P141,2)</f>
        <v>#DIV/0!</v>
      </c>
    </row>
    <row r="142" spans="1:21" x14ac:dyDescent="0.2">
      <c r="A142" s="61" t="s">
        <v>401</v>
      </c>
      <c r="B142" s="62" t="s">
        <v>184</v>
      </c>
      <c r="C142" s="62" t="s">
        <v>185</v>
      </c>
      <c r="D142" s="62" t="s">
        <v>403</v>
      </c>
      <c r="E142" s="63" t="s">
        <v>314</v>
      </c>
      <c r="F142" s="62" t="s">
        <v>404</v>
      </c>
      <c r="G142" s="62" t="s">
        <v>135</v>
      </c>
      <c r="H142" s="62" t="s">
        <v>10</v>
      </c>
      <c r="I142" s="62" t="s">
        <v>121</v>
      </c>
      <c r="J142" s="62"/>
      <c r="K142" s="64">
        <v>1</v>
      </c>
      <c r="L142" s="64">
        <f t="shared" si="41"/>
        <v>1</v>
      </c>
      <c r="M142" s="65">
        <f>prodnorm17</f>
        <v>0</v>
      </c>
      <c r="N142" s="66">
        <f>dagwerk17</f>
        <v>0</v>
      </c>
      <c r="O142" s="62" t="s">
        <v>34</v>
      </c>
      <c r="P142" s="67">
        <f>uurtarief17</f>
        <v>0</v>
      </c>
      <c r="Q142" s="64" t="e">
        <f t="shared" si="42"/>
        <v>#DIV/0!</v>
      </c>
      <c r="R142" s="64" t="e">
        <f t="shared" si="43"/>
        <v>#DIV/0!</v>
      </c>
      <c r="S142" s="67" t="e">
        <f t="shared" si="44"/>
        <v>#DIV/0!</v>
      </c>
      <c r="T142" s="64" t="e">
        <f t="shared" si="45"/>
        <v>#DIV/0!</v>
      </c>
      <c r="U142" s="68" t="e">
        <f t="shared" si="46"/>
        <v>#DIV/0!</v>
      </c>
    </row>
    <row r="143" spans="1:21" x14ac:dyDescent="0.2">
      <c r="A143" s="61" t="s">
        <v>401</v>
      </c>
      <c r="B143" s="62" t="s">
        <v>184</v>
      </c>
      <c r="C143" s="62" t="s">
        <v>185</v>
      </c>
      <c r="D143" s="62" t="s">
        <v>189</v>
      </c>
      <c r="E143" s="63" t="s">
        <v>306</v>
      </c>
      <c r="F143" s="62" t="s">
        <v>405</v>
      </c>
      <c r="G143" s="62" t="s">
        <v>157</v>
      </c>
      <c r="H143" s="62" t="s">
        <v>10</v>
      </c>
      <c r="I143" s="62" t="s">
        <v>121</v>
      </c>
      <c r="J143" s="62"/>
      <c r="K143" s="64">
        <v>44.1</v>
      </c>
      <c r="L143" s="64">
        <f t="shared" si="41"/>
        <v>44.1</v>
      </c>
      <c r="M143" s="65">
        <f>prodnorm29</f>
        <v>0</v>
      </c>
      <c r="N143" s="66">
        <f>dagwerk29</f>
        <v>0</v>
      </c>
      <c r="O143" s="62" t="s">
        <v>34</v>
      </c>
      <c r="P143" s="67">
        <f>uurtarief29</f>
        <v>0</v>
      </c>
      <c r="Q143" s="64" t="e">
        <f t="shared" si="42"/>
        <v>#DIV/0!</v>
      </c>
      <c r="R143" s="64" t="e">
        <f t="shared" si="43"/>
        <v>#DIV/0!</v>
      </c>
      <c r="S143" s="67" t="e">
        <f t="shared" si="44"/>
        <v>#DIV/0!</v>
      </c>
      <c r="T143" s="64" t="e">
        <f t="shared" si="45"/>
        <v>#DIV/0!</v>
      </c>
      <c r="U143" s="68" t="e">
        <f t="shared" si="46"/>
        <v>#DIV/0!</v>
      </c>
    </row>
    <row r="144" spans="1:21" x14ac:dyDescent="0.2">
      <c r="A144" s="61" t="s">
        <v>401</v>
      </c>
      <c r="B144" s="62" t="s">
        <v>184</v>
      </c>
      <c r="C144" s="62" t="s">
        <v>185</v>
      </c>
      <c r="D144" s="62" t="s">
        <v>189</v>
      </c>
      <c r="E144" s="63" t="s">
        <v>306</v>
      </c>
      <c r="F144" s="62" t="s">
        <v>405</v>
      </c>
      <c r="G144" s="62" t="s">
        <v>164</v>
      </c>
      <c r="H144" s="62" t="s">
        <v>20</v>
      </c>
      <c r="I144" s="62" t="s">
        <v>162</v>
      </c>
      <c r="J144" s="62"/>
      <c r="K144" s="64">
        <v>44.1</v>
      </c>
      <c r="L144" s="64">
        <f t="shared" si="41"/>
        <v>0.34588235294117647</v>
      </c>
      <c r="M144" s="65">
        <f>prodnorm32</f>
        <v>0</v>
      </c>
      <c r="N144" s="66">
        <f>dagwerk32</f>
        <v>0</v>
      </c>
      <c r="O144" s="62" t="s">
        <v>34</v>
      </c>
      <c r="P144" s="67">
        <f>uurtarief32</f>
        <v>0</v>
      </c>
      <c r="Q144" s="64" t="e">
        <f t="shared" si="42"/>
        <v>#DIV/0!</v>
      </c>
      <c r="R144" s="64" t="e">
        <f t="shared" si="43"/>
        <v>#DIV/0!</v>
      </c>
      <c r="S144" s="67" t="e">
        <f t="shared" si="44"/>
        <v>#DIV/0!</v>
      </c>
      <c r="T144" s="64" t="e">
        <f t="shared" si="45"/>
        <v>#DIV/0!</v>
      </c>
      <c r="U144" s="68" t="e">
        <f t="shared" si="46"/>
        <v>#DIV/0!</v>
      </c>
    </row>
    <row r="145" spans="1:21" x14ac:dyDescent="0.2">
      <c r="A145" s="61" t="s">
        <v>401</v>
      </c>
      <c r="B145" s="62" t="s">
        <v>184</v>
      </c>
      <c r="C145" s="62" t="s">
        <v>185</v>
      </c>
      <c r="D145" s="62" t="s">
        <v>406</v>
      </c>
      <c r="E145" s="63" t="s">
        <v>407</v>
      </c>
      <c r="F145" s="62" t="s">
        <v>408</v>
      </c>
      <c r="G145" s="62" t="s">
        <v>155</v>
      </c>
      <c r="H145" s="62" t="s">
        <v>10</v>
      </c>
      <c r="I145" s="62" t="s">
        <v>121</v>
      </c>
      <c r="J145" s="62"/>
      <c r="K145" s="64">
        <v>8.5</v>
      </c>
      <c r="L145" s="64">
        <f t="shared" si="41"/>
        <v>8.5</v>
      </c>
      <c r="M145" s="65">
        <f>prodnorm28</f>
        <v>0</v>
      </c>
      <c r="N145" s="66">
        <f>dagwerk28</f>
        <v>0</v>
      </c>
      <c r="O145" s="62" t="s">
        <v>34</v>
      </c>
      <c r="P145" s="67">
        <f>uurtarief28</f>
        <v>0</v>
      </c>
      <c r="Q145" s="64" t="e">
        <f t="shared" si="42"/>
        <v>#DIV/0!</v>
      </c>
      <c r="R145" s="64" t="e">
        <f t="shared" si="43"/>
        <v>#DIV/0!</v>
      </c>
      <c r="S145" s="67" t="e">
        <f t="shared" si="44"/>
        <v>#DIV/0!</v>
      </c>
      <c r="T145" s="64" t="e">
        <f t="shared" si="45"/>
        <v>#DIV/0!</v>
      </c>
      <c r="U145" s="68" t="e">
        <f t="shared" si="46"/>
        <v>#DIV/0!</v>
      </c>
    </row>
    <row r="146" spans="1:21" x14ac:dyDescent="0.2">
      <c r="A146" s="61" t="s">
        <v>401</v>
      </c>
      <c r="B146" s="62" t="s">
        <v>184</v>
      </c>
      <c r="C146" s="62" t="s">
        <v>185</v>
      </c>
      <c r="D146" s="62" t="s">
        <v>193</v>
      </c>
      <c r="E146" s="63" t="s">
        <v>409</v>
      </c>
      <c r="F146" s="62" t="s">
        <v>410</v>
      </c>
      <c r="G146" s="62" t="s">
        <v>125</v>
      </c>
      <c r="H146" s="62" t="s">
        <v>10</v>
      </c>
      <c r="I146" s="62" t="s">
        <v>121</v>
      </c>
      <c r="J146" s="62"/>
      <c r="K146" s="64">
        <v>24</v>
      </c>
      <c r="L146" s="64">
        <f t="shared" si="41"/>
        <v>24</v>
      </c>
      <c r="M146" s="65">
        <f>prodnorm11</f>
        <v>0</v>
      </c>
      <c r="N146" s="66">
        <f>dagwerk11</f>
        <v>0</v>
      </c>
      <c r="O146" s="62" t="s">
        <v>34</v>
      </c>
      <c r="P146" s="67">
        <f>uurtarief11</f>
        <v>0</v>
      </c>
      <c r="Q146" s="64" t="e">
        <f t="shared" si="42"/>
        <v>#DIV/0!</v>
      </c>
      <c r="R146" s="64" t="e">
        <f t="shared" si="43"/>
        <v>#DIV/0!</v>
      </c>
      <c r="S146" s="67" t="e">
        <f t="shared" si="44"/>
        <v>#DIV/0!</v>
      </c>
      <c r="T146" s="64" t="e">
        <f t="shared" si="45"/>
        <v>#DIV/0!</v>
      </c>
      <c r="U146" s="68" t="e">
        <f t="shared" si="46"/>
        <v>#DIV/0!</v>
      </c>
    </row>
    <row r="147" spans="1:21" x14ac:dyDescent="0.2">
      <c r="A147" s="61" t="s">
        <v>401</v>
      </c>
      <c r="B147" s="62" t="s">
        <v>184</v>
      </c>
      <c r="C147" s="62" t="s">
        <v>185</v>
      </c>
      <c r="D147" s="62" t="s">
        <v>193</v>
      </c>
      <c r="E147" s="63" t="s">
        <v>409</v>
      </c>
      <c r="F147" s="62" t="s">
        <v>410</v>
      </c>
      <c r="G147" s="62" t="s">
        <v>161</v>
      </c>
      <c r="H147" s="62" t="s">
        <v>21</v>
      </c>
      <c r="I147" s="62" t="s">
        <v>162</v>
      </c>
      <c r="J147" s="62"/>
      <c r="K147" s="64">
        <v>24</v>
      </c>
      <c r="L147" s="64">
        <f t="shared" si="41"/>
        <v>9.4117647058823528E-2</v>
      </c>
      <c r="M147" s="65">
        <f>prodnorm31</f>
        <v>0</v>
      </c>
      <c r="N147" s="66">
        <f>dagwerk31</f>
        <v>0</v>
      </c>
      <c r="O147" s="62" t="s">
        <v>34</v>
      </c>
      <c r="P147" s="67">
        <f>uurtarief31</f>
        <v>0</v>
      </c>
      <c r="Q147" s="64" t="e">
        <f t="shared" si="42"/>
        <v>#DIV/0!</v>
      </c>
      <c r="R147" s="64" t="e">
        <f t="shared" si="43"/>
        <v>#DIV/0!</v>
      </c>
      <c r="S147" s="67" t="e">
        <f t="shared" si="44"/>
        <v>#DIV/0!</v>
      </c>
      <c r="T147" s="64" t="e">
        <f t="shared" si="45"/>
        <v>#DIV/0!</v>
      </c>
      <c r="U147" s="68" t="e">
        <f t="shared" si="46"/>
        <v>#DIV/0!</v>
      </c>
    </row>
    <row r="148" spans="1:21" x14ac:dyDescent="0.2">
      <c r="A148" s="61" t="s">
        <v>401</v>
      </c>
      <c r="B148" s="62" t="s">
        <v>184</v>
      </c>
      <c r="C148" s="62" t="s">
        <v>185</v>
      </c>
      <c r="D148" s="62" t="s">
        <v>195</v>
      </c>
      <c r="E148" s="63" t="s">
        <v>269</v>
      </c>
      <c r="F148" s="62" t="s">
        <v>411</v>
      </c>
      <c r="G148" s="62" t="s">
        <v>141</v>
      </c>
      <c r="H148" s="62" t="s">
        <v>10</v>
      </c>
      <c r="I148" s="62" t="s">
        <v>121</v>
      </c>
      <c r="J148" s="62"/>
      <c r="K148" s="64">
        <v>35.799999999999997</v>
      </c>
      <c r="L148" s="64">
        <f t="shared" si="41"/>
        <v>35.799999999999997</v>
      </c>
      <c r="M148" s="65">
        <f>prodnorm21</f>
        <v>0</v>
      </c>
      <c r="N148" s="66">
        <f>dagwerk21</f>
        <v>0</v>
      </c>
      <c r="O148" s="62" t="s">
        <v>34</v>
      </c>
      <c r="P148" s="67">
        <f>uurtarief21</f>
        <v>0</v>
      </c>
      <c r="Q148" s="64" t="e">
        <f t="shared" si="42"/>
        <v>#DIV/0!</v>
      </c>
      <c r="R148" s="64" t="e">
        <f t="shared" si="43"/>
        <v>#DIV/0!</v>
      </c>
      <c r="S148" s="67" t="e">
        <f t="shared" si="44"/>
        <v>#DIV/0!</v>
      </c>
      <c r="T148" s="64" t="e">
        <f t="shared" si="45"/>
        <v>#DIV/0!</v>
      </c>
      <c r="U148" s="68" t="e">
        <f t="shared" si="46"/>
        <v>#DIV/0!</v>
      </c>
    </row>
    <row r="149" spans="1:21" x14ac:dyDescent="0.2">
      <c r="A149" s="61" t="s">
        <v>401</v>
      </c>
      <c r="B149" s="62" t="s">
        <v>184</v>
      </c>
      <c r="C149" s="62" t="s">
        <v>185</v>
      </c>
      <c r="D149" s="62" t="s">
        <v>196</v>
      </c>
      <c r="E149" s="63" t="s">
        <v>234</v>
      </c>
      <c r="F149" s="62" t="s">
        <v>411</v>
      </c>
      <c r="G149" s="62" t="s">
        <v>149</v>
      </c>
      <c r="H149" s="62" t="s">
        <v>10</v>
      </c>
      <c r="I149" s="62" t="s">
        <v>121</v>
      </c>
      <c r="J149" s="62"/>
      <c r="K149" s="64">
        <v>59.6</v>
      </c>
      <c r="L149" s="64">
        <f t="shared" si="41"/>
        <v>59.6</v>
      </c>
      <c r="M149" s="65">
        <f>prodnorm25</f>
        <v>0</v>
      </c>
      <c r="N149" s="66">
        <f>dagwerk25</f>
        <v>0</v>
      </c>
      <c r="O149" s="62" t="s">
        <v>34</v>
      </c>
      <c r="P149" s="67">
        <f>uurtarief25</f>
        <v>0</v>
      </c>
      <c r="Q149" s="64" t="e">
        <f t="shared" si="42"/>
        <v>#DIV/0!</v>
      </c>
      <c r="R149" s="64" t="e">
        <f t="shared" si="43"/>
        <v>#DIV/0!</v>
      </c>
      <c r="S149" s="67" t="e">
        <f t="shared" si="44"/>
        <v>#DIV/0!</v>
      </c>
      <c r="T149" s="64" t="e">
        <f t="shared" si="45"/>
        <v>#DIV/0!</v>
      </c>
      <c r="U149" s="68" t="e">
        <f t="shared" si="46"/>
        <v>#DIV/0!</v>
      </c>
    </row>
    <row r="150" spans="1:21" x14ac:dyDescent="0.2">
      <c r="A150" s="61" t="s">
        <v>401</v>
      </c>
      <c r="B150" s="62" t="s">
        <v>184</v>
      </c>
      <c r="C150" s="62" t="s">
        <v>185</v>
      </c>
      <c r="D150" s="62" t="s">
        <v>199</v>
      </c>
      <c r="E150" s="63" t="s">
        <v>412</v>
      </c>
      <c r="F150" s="62" t="s">
        <v>411</v>
      </c>
      <c r="G150" s="62" t="s">
        <v>145</v>
      </c>
      <c r="H150" s="62" t="s">
        <v>10</v>
      </c>
      <c r="I150" s="62" t="s">
        <v>121</v>
      </c>
      <c r="J150" s="62"/>
      <c r="K150" s="64">
        <v>8.75</v>
      </c>
      <c r="L150" s="64">
        <f t="shared" si="41"/>
        <v>8.75</v>
      </c>
      <c r="M150" s="65">
        <f>prodnorm23</f>
        <v>0</v>
      </c>
      <c r="N150" s="66">
        <f>dagwerk23</f>
        <v>0</v>
      </c>
      <c r="O150" s="62" t="s">
        <v>34</v>
      </c>
      <c r="P150" s="67">
        <f>uurtarief23</f>
        <v>0</v>
      </c>
      <c r="Q150" s="64" t="e">
        <f t="shared" si="42"/>
        <v>#DIV/0!</v>
      </c>
      <c r="R150" s="64" t="e">
        <f t="shared" si="43"/>
        <v>#DIV/0!</v>
      </c>
      <c r="S150" s="67" t="e">
        <f t="shared" si="44"/>
        <v>#DIV/0!</v>
      </c>
      <c r="T150" s="64" t="e">
        <f t="shared" si="45"/>
        <v>#DIV/0!</v>
      </c>
      <c r="U150" s="68" t="e">
        <f t="shared" si="46"/>
        <v>#DIV/0!</v>
      </c>
    </row>
    <row r="151" spans="1:21" x14ac:dyDescent="0.2">
      <c r="A151" s="61" t="s">
        <v>401</v>
      </c>
      <c r="B151" s="62" t="s">
        <v>184</v>
      </c>
      <c r="C151" s="62" t="s">
        <v>185</v>
      </c>
      <c r="D151" s="62" t="s">
        <v>205</v>
      </c>
      <c r="E151" s="63" t="s">
        <v>413</v>
      </c>
      <c r="F151" s="62" t="s">
        <v>312</v>
      </c>
      <c r="G151" s="62" t="s">
        <v>131</v>
      </c>
      <c r="H151" s="62" t="s">
        <v>10</v>
      </c>
      <c r="I151" s="62" t="s">
        <v>121</v>
      </c>
      <c r="J151" s="62"/>
      <c r="K151" s="64">
        <v>66.8</v>
      </c>
      <c r="L151" s="64">
        <f t="shared" si="41"/>
        <v>66.8</v>
      </c>
      <c r="M151" s="65">
        <f>prodnorm15</f>
        <v>0</v>
      </c>
      <c r="N151" s="66">
        <f>dagwerk15</f>
        <v>0</v>
      </c>
      <c r="O151" s="62" t="s">
        <v>34</v>
      </c>
      <c r="P151" s="67">
        <f>uurtarief15</f>
        <v>0</v>
      </c>
      <c r="Q151" s="64" t="e">
        <f t="shared" si="42"/>
        <v>#DIV/0!</v>
      </c>
      <c r="R151" s="64" t="e">
        <f t="shared" si="43"/>
        <v>#DIV/0!</v>
      </c>
      <c r="S151" s="67" t="e">
        <f t="shared" si="44"/>
        <v>#DIV/0!</v>
      </c>
      <c r="T151" s="64" t="e">
        <f t="shared" si="45"/>
        <v>#DIV/0!</v>
      </c>
      <c r="U151" s="68" t="e">
        <f t="shared" si="46"/>
        <v>#DIV/0!</v>
      </c>
    </row>
    <row r="152" spans="1:21" x14ac:dyDescent="0.2">
      <c r="A152" s="61" t="s">
        <v>401</v>
      </c>
      <c r="B152" s="62" t="s">
        <v>184</v>
      </c>
      <c r="C152" s="62" t="s">
        <v>185</v>
      </c>
      <c r="D152" s="62" t="s">
        <v>207</v>
      </c>
      <c r="E152" s="63" t="s">
        <v>414</v>
      </c>
      <c r="F152" s="62" t="s">
        <v>312</v>
      </c>
      <c r="G152" s="62" t="s">
        <v>131</v>
      </c>
      <c r="H152" s="62" t="s">
        <v>10</v>
      </c>
      <c r="I152" s="62" t="s">
        <v>121</v>
      </c>
      <c r="J152" s="62"/>
      <c r="K152" s="64">
        <v>4.5</v>
      </c>
      <c r="L152" s="64">
        <f t="shared" si="41"/>
        <v>4.5</v>
      </c>
      <c r="M152" s="65">
        <f>prodnorm15</f>
        <v>0</v>
      </c>
      <c r="N152" s="66">
        <f>dagwerk15</f>
        <v>0</v>
      </c>
      <c r="O152" s="62" t="s">
        <v>34</v>
      </c>
      <c r="P152" s="67">
        <f>uurtarief15</f>
        <v>0</v>
      </c>
      <c r="Q152" s="64" t="e">
        <f t="shared" si="42"/>
        <v>#DIV/0!</v>
      </c>
      <c r="R152" s="64" t="e">
        <f t="shared" si="43"/>
        <v>#DIV/0!</v>
      </c>
      <c r="S152" s="67" t="e">
        <f t="shared" si="44"/>
        <v>#DIV/0!</v>
      </c>
      <c r="T152" s="64" t="e">
        <f t="shared" si="45"/>
        <v>#DIV/0!</v>
      </c>
      <c r="U152" s="68" t="e">
        <f t="shared" si="46"/>
        <v>#DIV/0!</v>
      </c>
    </row>
    <row r="153" spans="1:21" x14ac:dyDescent="0.2">
      <c r="A153" s="61" t="s">
        <v>401</v>
      </c>
      <c r="B153" s="62" t="s">
        <v>184</v>
      </c>
      <c r="C153" s="62" t="s">
        <v>185</v>
      </c>
      <c r="D153" s="62" t="s">
        <v>210</v>
      </c>
      <c r="E153" s="63" t="s">
        <v>229</v>
      </c>
      <c r="F153" s="62" t="s">
        <v>312</v>
      </c>
      <c r="G153" s="62" t="s">
        <v>153</v>
      </c>
      <c r="H153" s="62" t="s">
        <v>10</v>
      </c>
      <c r="I153" s="62" t="s">
        <v>121</v>
      </c>
      <c r="J153" s="62"/>
      <c r="K153" s="64">
        <v>6.5</v>
      </c>
      <c r="L153" s="64">
        <f t="shared" si="41"/>
        <v>6.5</v>
      </c>
      <c r="M153" s="65">
        <f>prodnorm27</f>
        <v>0</v>
      </c>
      <c r="N153" s="66">
        <f>dagwerk27</f>
        <v>0</v>
      </c>
      <c r="O153" s="62" t="s">
        <v>34</v>
      </c>
      <c r="P153" s="67">
        <f>uurtarief27</f>
        <v>0</v>
      </c>
      <c r="Q153" s="64" t="e">
        <f t="shared" si="42"/>
        <v>#DIV/0!</v>
      </c>
      <c r="R153" s="64" t="e">
        <f t="shared" si="43"/>
        <v>#DIV/0!</v>
      </c>
      <c r="S153" s="67" t="e">
        <f t="shared" si="44"/>
        <v>#DIV/0!</v>
      </c>
      <c r="T153" s="64" t="e">
        <f t="shared" si="45"/>
        <v>#DIV/0!</v>
      </c>
      <c r="U153" s="68" t="e">
        <f t="shared" si="46"/>
        <v>#DIV/0!</v>
      </c>
    </row>
    <row r="154" spans="1:21" x14ac:dyDescent="0.2">
      <c r="A154" s="61" t="s">
        <v>401</v>
      </c>
      <c r="B154" s="62" t="s">
        <v>184</v>
      </c>
      <c r="C154" s="62" t="s">
        <v>185</v>
      </c>
      <c r="D154" s="62" t="s">
        <v>212</v>
      </c>
      <c r="E154" s="63" t="s">
        <v>415</v>
      </c>
      <c r="F154" s="62" t="s">
        <v>312</v>
      </c>
      <c r="G154" s="62" t="s">
        <v>153</v>
      </c>
      <c r="H154" s="62" t="s">
        <v>10</v>
      </c>
      <c r="I154" s="62" t="s">
        <v>121</v>
      </c>
      <c r="J154" s="62"/>
      <c r="K154" s="64">
        <v>9.6999999999999993</v>
      </c>
      <c r="L154" s="64">
        <f t="shared" si="41"/>
        <v>9.6999999999999993</v>
      </c>
      <c r="M154" s="65">
        <f>prodnorm27</f>
        <v>0</v>
      </c>
      <c r="N154" s="66">
        <f>dagwerk27</f>
        <v>0</v>
      </c>
      <c r="O154" s="62" t="s">
        <v>34</v>
      </c>
      <c r="P154" s="67">
        <f>uurtarief27</f>
        <v>0</v>
      </c>
      <c r="Q154" s="64" t="e">
        <f t="shared" si="42"/>
        <v>#DIV/0!</v>
      </c>
      <c r="R154" s="64" t="e">
        <f t="shared" si="43"/>
        <v>#DIV/0!</v>
      </c>
      <c r="S154" s="67" t="e">
        <f t="shared" si="44"/>
        <v>#DIV/0!</v>
      </c>
      <c r="T154" s="64" t="e">
        <f t="shared" si="45"/>
        <v>#DIV/0!</v>
      </c>
      <c r="U154" s="68" t="e">
        <f t="shared" si="46"/>
        <v>#DIV/0!</v>
      </c>
    </row>
    <row r="155" spans="1:21" x14ac:dyDescent="0.2">
      <c r="A155" s="61" t="s">
        <v>401</v>
      </c>
      <c r="B155" s="62" t="s">
        <v>184</v>
      </c>
      <c r="C155" s="62" t="s">
        <v>185</v>
      </c>
      <c r="D155" s="62" t="s">
        <v>214</v>
      </c>
      <c r="E155" s="63" t="s">
        <v>416</v>
      </c>
      <c r="F155" s="62" t="s">
        <v>410</v>
      </c>
      <c r="G155" s="62" t="s">
        <v>125</v>
      </c>
      <c r="H155" s="62" t="s">
        <v>10</v>
      </c>
      <c r="I155" s="62" t="s">
        <v>121</v>
      </c>
      <c r="J155" s="62"/>
      <c r="K155" s="64">
        <v>38.700000000000003</v>
      </c>
      <c r="L155" s="64">
        <f t="shared" si="41"/>
        <v>38.700000000000003</v>
      </c>
      <c r="M155" s="65">
        <f>prodnorm11</f>
        <v>0</v>
      </c>
      <c r="N155" s="66">
        <f>dagwerk11</f>
        <v>0</v>
      </c>
      <c r="O155" s="62" t="s">
        <v>34</v>
      </c>
      <c r="P155" s="67">
        <f>uurtarief11</f>
        <v>0</v>
      </c>
      <c r="Q155" s="64" t="e">
        <f t="shared" si="42"/>
        <v>#DIV/0!</v>
      </c>
      <c r="R155" s="64" t="e">
        <f t="shared" si="43"/>
        <v>#DIV/0!</v>
      </c>
      <c r="S155" s="67" t="e">
        <f t="shared" si="44"/>
        <v>#DIV/0!</v>
      </c>
      <c r="T155" s="64" t="e">
        <f t="shared" si="45"/>
        <v>#DIV/0!</v>
      </c>
      <c r="U155" s="68" t="e">
        <f t="shared" si="46"/>
        <v>#DIV/0!</v>
      </c>
    </row>
    <row r="156" spans="1:21" x14ac:dyDescent="0.2">
      <c r="A156" s="61" t="s">
        <v>401</v>
      </c>
      <c r="B156" s="62" t="s">
        <v>184</v>
      </c>
      <c r="C156" s="62" t="s">
        <v>185</v>
      </c>
      <c r="D156" s="62" t="s">
        <v>214</v>
      </c>
      <c r="E156" s="63" t="s">
        <v>416</v>
      </c>
      <c r="F156" s="62" t="s">
        <v>410</v>
      </c>
      <c r="G156" s="62" t="s">
        <v>161</v>
      </c>
      <c r="H156" s="62" t="s">
        <v>21</v>
      </c>
      <c r="I156" s="62" t="s">
        <v>162</v>
      </c>
      <c r="J156" s="62"/>
      <c r="K156" s="64">
        <v>38.700000000000003</v>
      </c>
      <c r="L156" s="64">
        <f t="shared" si="41"/>
        <v>0.15176470588235294</v>
      </c>
      <c r="M156" s="65">
        <f>prodnorm31</f>
        <v>0</v>
      </c>
      <c r="N156" s="66">
        <f>dagwerk31</f>
        <v>0</v>
      </c>
      <c r="O156" s="62" t="s">
        <v>34</v>
      </c>
      <c r="P156" s="67">
        <f>uurtarief31</f>
        <v>0</v>
      </c>
      <c r="Q156" s="64" t="e">
        <f t="shared" si="42"/>
        <v>#DIV/0!</v>
      </c>
      <c r="R156" s="64" t="e">
        <f t="shared" si="43"/>
        <v>#DIV/0!</v>
      </c>
      <c r="S156" s="67" t="e">
        <f t="shared" si="44"/>
        <v>#DIV/0!</v>
      </c>
      <c r="T156" s="64" t="e">
        <f t="shared" si="45"/>
        <v>#DIV/0!</v>
      </c>
      <c r="U156" s="68" t="e">
        <f t="shared" si="46"/>
        <v>#DIV/0!</v>
      </c>
    </row>
    <row r="157" spans="1:21" x14ac:dyDescent="0.2">
      <c r="A157" s="61" t="s">
        <v>401</v>
      </c>
      <c r="B157" s="62" t="s">
        <v>184</v>
      </c>
      <c r="C157" s="62" t="s">
        <v>185</v>
      </c>
      <c r="D157" s="62" t="s">
        <v>216</v>
      </c>
      <c r="E157" s="63" t="s">
        <v>190</v>
      </c>
      <c r="F157" s="62" t="s">
        <v>410</v>
      </c>
      <c r="G157" s="62" t="s">
        <v>125</v>
      </c>
      <c r="H157" s="62" t="s">
        <v>10</v>
      </c>
      <c r="I157" s="62" t="s">
        <v>121</v>
      </c>
      <c r="J157" s="62"/>
      <c r="K157" s="64">
        <v>14.6</v>
      </c>
      <c r="L157" s="64">
        <f t="shared" si="41"/>
        <v>14.6</v>
      </c>
      <c r="M157" s="65">
        <f>prodnorm11</f>
        <v>0</v>
      </c>
      <c r="N157" s="66">
        <f>dagwerk11</f>
        <v>0</v>
      </c>
      <c r="O157" s="62" t="s">
        <v>34</v>
      </c>
      <c r="P157" s="67">
        <f>uurtarief11</f>
        <v>0</v>
      </c>
      <c r="Q157" s="64" t="e">
        <f t="shared" si="42"/>
        <v>#DIV/0!</v>
      </c>
      <c r="R157" s="64" t="e">
        <f t="shared" si="43"/>
        <v>#DIV/0!</v>
      </c>
      <c r="S157" s="67" t="e">
        <f t="shared" si="44"/>
        <v>#DIV/0!</v>
      </c>
      <c r="T157" s="64" t="e">
        <f t="shared" si="45"/>
        <v>#DIV/0!</v>
      </c>
      <c r="U157" s="68" t="e">
        <f t="shared" si="46"/>
        <v>#DIV/0!</v>
      </c>
    </row>
    <row r="158" spans="1:21" x14ac:dyDescent="0.2">
      <c r="A158" s="61" t="s">
        <v>401</v>
      </c>
      <c r="B158" s="62" t="s">
        <v>184</v>
      </c>
      <c r="C158" s="62" t="s">
        <v>185</v>
      </c>
      <c r="D158" s="62" t="s">
        <v>216</v>
      </c>
      <c r="E158" s="63" t="s">
        <v>190</v>
      </c>
      <c r="F158" s="62" t="s">
        <v>410</v>
      </c>
      <c r="G158" s="62" t="s">
        <v>161</v>
      </c>
      <c r="H158" s="62" t="s">
        <v>21</v>
      </c>
      <c r="I158" s="62" t="s">
        <v>162</v>
      </c>
      <c r="J158" s="62"/>
      <c r="K158" s="64">
        <v>14.6</v>
      </c>
      <c r="L158" s="64">
        <f t="shared" si="41"/>
        <v>5.725490196078431E-2</v>
      </c>
      <c r="M158" s="65">
        <f>prodnorm31</f>
        <v>0</v>
      </c>
      <c r="N158" s="66">
        <f>dagwerk31</f>
        <v>0</v>
      </c>
      <c r="O158" s="62" t="s">
        <v>34</v>
      </c>
      <c r="P158" s="67">
        <f>uurtarief31</f>
        <v>0</v>
      </c>
      <c r="Q158" s="64" t="e">
        <f t="shared" si="42"/>
        <v>#DIV/0!</v>
      </c>
      <c r="R158" s="64" t="e">
        <f t="shared" si="43"/>
        <v>#DIV/0!</v>
      </c>
      <c r="S158" s="67" t="e">
        <f t="shared" si="44"/>
        <v>#DIV/0!</v>
      </c>
      <c r="T158" s="64" t="e">
        <f t="shared" si="45"/>
        <v>#DIV/0!</v>
      </c>
      <c r="U158" s="68" t="e">
        <f t="shared" si="46"/>
        <v>#DIV/0!</v>
      </c>
    </row>
    <row r="159" spans="1:21" x14ac:dyDescent="0.2">
      <c r="A159" s="61" t="s">
        <v>401</v>
      </c>
      <c r="B159" s="62" t="s">
        <v>184</v>
      </c>
      <c r="C159" s="62" t="s">
        <v>185</v>
      </c>
      <c r="D159" s="62" t="s">
        <v>417</v>
      </c>
      <c r="E159" s="63" t="s">
        <v>418</v>
      </c>
      <c r="F159" s="62" t="s">
        <v>402</v>
      </c>
      <c r="G159" s="62" t="s">
        <v>131</v>
      </c>
      <c r="H159" s="62" t="s">
        <v>10</v>
      </c>
      <c r="I159" s="62" t="s">
        <v>121</v>
      </c>
      <c r="J159" s="62"/>
      <c r="K159" s="64">
        <v>1</v>
      </c>
      <c r="L159" s="64">
        <f t="shared" si="41"/>
        <v>1</v>
      </c>
      <c r="M159" s="65">
        <f>prodnorm15</f>
        <v>0</v>
      </c>
      <c r="N159" s="66">
        <f>dagwerk15</f>
        <v>0</v>
      </c>
      <c r="O159" s="62" t="s">
        <v>34</v>
      </c>
      <c r="P159" s="67">
        <f>uurtarief15</f>
        <v>0</v>
      </c>
      <c r="Q159" s="64" t="e">
        <f t="shared" si="42"/>
        <v>#DIV/0!</v>
      </c>
      <c r="R159" s="64" t="e">
        <f t="shared" si="43"/>
        <v>#DIV/0!</v>
      </c>
      <c r="S159" s="67" t="e">
        <f t="shared" si="44"/>
        <v>#DIV/0!</v>
      </c>
      <c r="T159" s="64" t="e">
        <f t="shared" si="45"/>
        <v>#DIV/0!</v>
      </c>
      <c r="U159" s="68" t="e">
        <f t="shared" si="46"/>
        <v>#DIV/0!</v>
      </c>
    </row>
    <row r="160" spans="1:21" x14ac:dyDescent="0.2">
      <c r="A160" s="61" t="s">
        <v>401</v>
      </c>
      <c r="B160" s="62" t="s">
        <v>184</v>
      </c>
      <c r="C160" s="62" t="s">
        <v>185</v>
      </c>
      <c r="D160" s="62" t="s">
        <v>220</v>
      </c>
      <c r="E160" s="63" t="s">
        <v>407</v>
      </c>
      <c r="F160" s="62" t="s">
        <v>408</v>
      </c>
      <c r="G160" s="62" t="s">
        <v>155</v>
      </c>
      <c r="H160" s="62" t="s">
        <v>10</v>
      </c>
      <c r="I160" s="62" t="s">
        <v>121</v>
      </c>
      <c r="J160" s="62"/>
      <c r="K160" s="64">
        <v>5</v>
      </c>
      <c r="L160" s="64">
        <f t="shared" si="41"/>
        <v>5</v>
      </c>
      <c r="M160" s="65">
        <f>prodnorm28</f>
        <v>0</v>
      </c>
      <c r="N160" s="66">
        <f>dagwerk28</f>
        <v>0</v>
      </c>
      <c r="O160" s="62" t="s">
        <v>34</v>
      </c>
      <c r="P160" s="67">
        <f>uurtarief28</f>
        <v>0</v>
      </c>
      <c r="Q160" s="64" t="e">
        <f t="shared" si="42"/>
        <v>#DIV/0!</v>
      </c>
      <c r="R160" s="64" t="e">
        <f t="shared" si="43"/>
        <v>#DIV/0!</v>
      </c>
      <c r="S160" s="67" t="e">
        <f t="shared" si="44"/>
        <v>#DIV/0!</v>
      </c>
      <c r="T160" s="64" t="e">
        <f t="shared" si="45"/>
        <v>#DIV/0!</v>
      </c>
      <c r="U160" s="68" t="e">
        <f t="shared" si="46"/>
        <v>#DIV/0!</v>
      </c>
    </row>
    <row r="161" spans="1:21" x14ac:dyDescent="0.2">
      <c r="A161" s="61" t="s">
        <v>401</v>
      </c>
      <c r="B161" s="62" t="s">
        <v>184</v>
      </c>
      <c r="C161" s="62" t="s">
        <v>322</v>
      </c>
      <c r="D161" s="62" t="s">
        <v>323</v>
      </c>
      <c r="E161" s="63" t="s">
        <v>306</v>
      </c>
      <c r="F161" s="62" t="s">
        <v>411</v>
      </c>
      <c r="G161" s="62" t="s">
        <v>157</v>
      </c>
      <c r="H161" s="62" t="s">
        <v>10</v>
      </c>
      <c r="I161" s="62" t="s">
        <v>121</v>
      </c>
      <c r="J161" s="62"/>
      <c r="K161" s="64">
        <v>36.6</v>
      </c>
      <c r="L161" s="64">
        <f t="shared" si="41"/>
        <v>36.6</v>
      </c>
      <c r="M161" s="65">
        <f>prodnorm29</f>
        <v>0</v>
      </c>
      <c r="N161" s="66">
        <f>dagwerk29</f>
        <v>0</v>
      </c>
      <c r="O161" s="62" t="s">
        <v>34</v>
      </c>
      <c r="P161" s="67">
        <f>uurtarief29</f>
        <v>0</v>
      </c>
      <c r="Q161" s="64" t="e">
        <f t="shared" si="42"/>
        <v>#DIV/0!</v>
      </c>
      <c r="R161" s="64" t="e">
        <f t="shared" si="43"/>
        <v>#DIV/0!</v>
      </c>
      <c r="S161" s="67" t="e">
        <f t="shared" si="44"/>
        <v>#DIV/0!</v>
      </c>
      <c r="T161" s="64" t="e">
        <f t="shared" si="45"/>
        <v>#DIV/0!</v>
      </c>
      <c r="U161" s="68" t="e">
        <f t="shared" si="46"/>
        <v>#DIV/0!</v>
      </c>
    </row>
    <row r="162" spans="1:21" x14ac:dyDescent="0.2">
      <c r="A162" s="61" t="s">
        <v>401</v>
      </c>
      <c r="B162" s="62" t="s">
        <v>184</v>
      </c>
      <c r="C162" s="62" t="s">
        <v>322</v>
      </c>
      <c r="D162" s="62" t="s">
        <v>323</v>
      </c>
      <c r="E162" s="63" t="s">
        <v>306</v>
      </c>
      <c r="F162" s="62" t="s">
        <v>411</v>
      </c>
      <c r="G162" s="62" t="s">
        <v>164</v>
      </c>
      <c r="H162" s="62" t="s">
        <v>20</v>
      </c>
      <c r="I162" s="62" t="s">
        <v>162</v>
      </c>
      <c r="J162" s="62"/>
      <c r="K162" s="64">
        <v>36.6</v>
      </c>
      <c r="L162" s="64">
        <f t="shared" si="41"/>
        <v>0.28705882352941176</v>
      </c>
      <c r="M162" s="65">
        <f>prodnorm32</f>
        <v>0</v>
      </c>
      <c r="N162" s="66">
        <f>dagwerk32</f>
        <v>0</v>
      </c>
      <c r="O162" s="62" t="s">
        <v>34</v>
      </c>
      <c r="P162" s="67">
        <f>uurtarief32</f>
        <v>0</v>
      </c>
      <c r="Q162" s="64" t="e">
        <f t="shared" si="42"/>
        <v>#DIV/0!</v>
      </c>
      <c r="R162" s="64" t="e">
        <f t="shared" si="43"/>
        <v>#DIV/0!</v>
      </c>
      <c r="S162" s="67" t="e">
        <f t="shared" si="44"/>
        <v>#DIV/0!</v>
      </c>
      <c r="T162" s="64" t="e">
        <f t="shared" si="45"/>
        <v>#DIV/0!</v>
      </c>
      <c r="U162" s="68" t="e">
        <f t="shared" si="46"/>
        <v>#DIV/0!</v>
      </c>
    </row>
    <row r="163" spans="1:21" x14ac:dyDescent="0.2">
      <c r="A163" s="61" t="s">
        <v>401</v>
      </c>
      <c r="B163" s="62" t="s">
        <v>184</v>
      </c>
      <c r="C163" s="62" t="s">
        <v>322</v>
      </c>
      <c r="D163" s="62" t="s">
        <v>325</v>
      </c>
      <c r="E163" s="63" t="s">
        <v>419</v>
      </c>
      <c r="F163" s="62" t="s">
        <v>188</v>
      </c>
      <c r="G163" s="62" t="s">
        <v>127</v>
      </c>
      <c r="H163" s="62" t="s">
        <v>10</v>
      </c>
      <c r="I163" s="62" t="s">
        <v>121</v>
      </c>
      <c r="J163" s="62"/>
      <c r="K163" s="64">
        <v>34.25</v>
      </c>
      <c r="L163" s="64">
        <f t="shared" si="41"/>
        <v>34.25</v>
      </c>
      <c r="M163" s="65">
        <f>prodnorm13</f>
        <v>0</v>
      </c>
      <c r="N163" s="66">
        <f>dagwerk13</f>
        <v>0</v>
      </c>
      <c r="O163" s="62" t="s">
        <v>34</v>
      </c>
      <c r="P163" s="67">
        <f>uurtarief13</f>
        <v>0</v>
      </c>
      <c r="Q163" s="64" t="e">
        <f t="shared" si="42"/>
        <v>#DIV/0!</v>
      </c>
      <c r="R163" s="64" t="e">
        <f t="shared" si="43"/>
        <v>#DIV/0!</v>
      </c>
      <c r="S163" s="67" t="e">
        <f t="shared" si="44"/>
        <v>#DIV/0!</v>
      </c>
      <c r="T163" s="64" t="e">
        <f t="shared" si="45"/>
        <v>#DIV/0!</v>
      </c>
      <c r="U163" s="68" t="e">
        <f t="shared" si="46"/>
        <v>#DIV/0!</v>
      </c>
    </row>
    <row r="164" spans="1:21" x14ac:dyDescent="0.2">
      <c r="A164" s="61" t="s">
        <v>401</v>
      </c>
      <c r="B164" s="62" t="s">
        <v>184</v>
      </c>
      <c r="C164" s="62" t="s">
        <v>322</v>
      </c>
      <c r="D164" s="62" t="s">
        <v>327</v>
      </c>
      <c r="E164" s="63" t="s">
        <v>420</v>
      </c>
      <c r="F164" s="62" t="s">
        <v>188</v>
      </c>
      <c r="G164" s="62" t="s">
        <v>127</v>
      </c>
      <c r="H164" s="62" t="s">
        <v>10</v>
      </c>
      <c r="I164" s="62" t="s">
        <v>121</v>
      </c>
      <c r="J164" s="62"/>
      <c r="K164" s="64">
        <v>58.5</v>
      </c>
      <c r="L164" s="64">
        <f t="shared" si="41"/>
        <v>58.5</v>
      </c>
      <c r="M164" s="65">
        <f>prodnorm13</f>
        <v>0</v>
      </c>
      <c r="N164" s="66">
        <f>dagwerk13</f>
        <v>0</v>
      </c>
      <c r="O164" s="62" t="s">
        <v>34</v>
      </c>
      <c r="P164" s="67">
        <f>uurtarief13</f>
        <v>0</v>
      </c>
      <c r="Q164" s="64" t="e">
        <f t="shared" si="42"/>
        <v>#DIV/0!</v>
      </c>
      <c r="R164" s="64" t="e">
        <f t="shared" si="43"/>
        <v>#DIV/0!</v>
      </c>
      <c r="S164" s="67" t="e">
        <f t="shared" si="44"/>
        <v>#DIV/0!</v>
      </c>
      <c r="T164" s="64" t="e">
        <f t="shared" si="45"/>
        <v>#DIV/0!</v>
      </c>
      <c r="U164" s="68" t="e">
        <f t="shared" si="46"/>
        <v>#DIV/0!</v>
      </c>
    </row>
    <row r="165" spans="1:21" x14ac:dyDescent="0.2">
      <c r="A165" s="61" t="s">
        <v>401</v>
      </c>
      <c r="B165" s="62" t="s">
        <v>184</v>
      </c>
      <c r="C165" s="62" t="s">
        <v>322</v>
      </c>
      <c r="D165" s="62" t="s">
        <v>328</v>
      </c>
      <c r="E165" s="63" t="s">
        <v>421</v>
      </c>
      <c r="F165" s="62" t="s">
        <v>188</v>
      </c>
      <c r="G165" s="62" t="s">
        <v>127</v>
      </c>
      <c r="H165" s="62" t="s">
        <v>10</v>
      </c>
      <c r="I165" s="62" t="s">
        <v>121</v>
      </c>
      <c r="J165" s="62"/>
      <c r="K165" s="64">
        <v>21.09</v>
      </c>
      <c r="L165" s="64">
        <f t="shared" si="41"/>
        <v>21.09</v>
      </c>
      <c r="M165" s="65">
        <f>prodnorm13</f>
        <v>0</v>
      </c>
      <c r="N165" s="66">
        <f>dagwerk13</f>
        <v>0</v>
      </c>
      <c r="O165" s="62" t="s">
        <v>34</v>
      </c>
      <c r="P165" s="67">
        <f>uurtarief13</f>
        <v>0</v>
      </c>
      <c r="Q165" s="64" t="e">
        <f t="shared" si="42"/>
        <v>#DIV/0!</v>
      </c>
      <c r="R165" s="64" t="e">
        <f t="shared" si="43"/>
        <v>#DIV/0!</v>
      </c>
      <c r="S165" s="67" t="e">
        <f t="shared" si="44"/>
        <v>#DIV/0!</v>
      </c>
      <c r="T165" s="64" t="e">
        <f t="shared" si="45"/>
        <v>#DIV/0!</v>
      </c>
      <c r="U165" s="68" t="e">
        <f t="shared" si="46"/>
        <v>#DIV/0!</v>
      </c>
    </row>
    <row r="166" spans="1:21" x14ac:dyDescent="0.2">
      <c r="A166" s="61" t="s">
        <v>401</v>
      </c>
      <c r="B166" s="62" t="s">
        <v>184</v>
      </c>
      <c r="C166" s="62" t="s">
        <v>322</v>
      </c>
      <c r="D166" s="62" t="s">
        <v>329</v>
      </c>
      <c r="E166" s="63" t="s">
        <v>422</v>
      </c>
      <c r="F166" s="62" t="s">
        <v>188</v>
      </c>
      <c r="G166" s="62" t="s">
        <v>127</v>
      </c>
      <c r="H166" s="62" t="s">
        <v>10</v>
      </c>
      <c r="I166" s="62" t="s">
        <v>121</v>
      </c>
      <c r="J166" s="62"/>
      <c r="K166" s="64">
        <v>22.8</v>
      </c>
      <c r="L166" s="64">
        <f t="shared" si="41"/>
        <v>22.8</v>
      </c>
      <c r="M166" s="65">
        <f>prodnorm13</f>
        <v>0</v>
      </c>
      <c r="N166" s="66">
        <f>dagwerk13</f>
        <v>0</v>
      </c>
      <c r="O166" s="62" t="s">
        <v>34</v>
      </c>
      <c r="P166" s="67">
        <f>uurtarief13</f>
        <v>0</v>
      </c>
      <c r="Q166" s="64" t="e">
        <f t="shared" si="42"/>
        <v>#DIV/0!</v>
      </c>
      <c r="R166" s="64" t="e">
        <f t="shared" si="43"/>
        <v>#DIV/0!</v>
      </c>
      <c r="S166" s="67" t="e">
        <f t="shared" si="44"/>
        <v>#DIV/0!</v>
      </c>
      <c r="T166" s="64" t="e">
        <f t="shared" si="45"/>
        <v>#DIV/0!</v>
      </c>
      <c r="U166" s="68" t="e">
        <f t="shared" si="46"/>
        <v>#DIV/0!</v>
      </c>
    </row>
    <row r="167" spans="1:21" x14ac:dyDescent="0.2">
      <c r="A167" s="61" t="s">
        <v>401</v>
      </c>
      <c r="B167" s="62" t="s">
        <v>184</v>
      </c>
      <c r="C167" s="62" t="s">
        <v>322</v>
      </c>
      <c r="D167" s="62" t="s">
        <v>333</v>
      </c>
      <c r="E167" s="63" t="s">
        <v>423</v>
      </c>
      <c r="F167" s="62" t="s">
        <v>312</v>
      </c>
      <c r="G167" s="62" t="s">
        <v>139</v>
      </c>
      <c r="H167" s="62" t="s">
        <v>10</v>
      </c>
      <c r="I167" s="62" t="s">
        <v>121</v>
      </c>
      <c r="J167" s="62"/>
      <c r="K167" s="64">
        <v>11.8</v>
      </c>
      <c r="L167" s="64">
        <f t="shared" si="41"/>
        <v>11.8</v>
      </c>
      <c r="M167" s="65">
        <f>prodnorm19</f>
        <v>0</v>
      </c>
      <c r="N167" s="66">
        <f>dagwerk19</f>
        <v>0</v>
      </c>
      <c r="O167" s="62" t="s">
        <v>34</v>
      </c>
      <c r="P167" s="67">
        <f>uurtarief19</f>
        <v>0</v>
      </c>
      <c r="Q167" s="64" t="e">
        <f t="shared" si="42"/>
        <v>#DIV/0!</v>
      </c>
      <c r="R167" s="64" t="e">
        <f t="shared" si="43"/>
        <v>#DIV/0!</v>
      </c>
      <c r="S167" s="67" t="e">
        <f t="shared" si="44"/>
        <v>#DIV/0!</v>
      </c>
      <c r="T167" s="64" t="e">
        <f t="shared" si="45"/>
        <v>#DIV/0!</v>
      </c>
      <c r="U167" s="68" t="e">
        <f t="shared" si="46"/>
        <v>#DIV/0!</v>
      </c>
    </row>
    <row r="168" spans="1:21" x14ac:dyDescent="0.2">
      <c r="A168" s="61" t="s">
        <v>401</v>
      </c>
      <c r="B168" s="62" t="s">
        <v>184</v>
      </c>
      <c r="C168" s="62" t="s">
        <v>322</v>
      </c>
      <c r="D168" s="62" t="s">
        <v>336</v>
      </c>
      <c r="E168" s="63" t="s">
        <v>415</v>
      </c>
      <c r="F168" s="62" t="s">
        <v>312</v>
      </c>
      <c r="G168" s="62" t="s">
        <v>153</v>
      </c>
      <c r="H168" s="62" t="s">
        <v>10</v>
      </c>
      <c r="I168" s="62" t="s">
        <v>121</v>
      </c>
      <c r="J168" s="62"/>
      <c r="K168" s="64">
        <v>5.7</v>
      </c>
      <c r="L168" s="64">
        <f t="shared" si="41"/>
        <v>5.7</v>
      </c>
      <c r="M168" s="65">
        <f>prodnorm27</f>
        <v>0</v>
      </c>
      <c r="N168" s="66">
        <f>dagwerk27</f>
        <v>0</v>
      </c>
      <c r="O168" s="62" t="s">
        <v>34</v>
      </c>
      <c r="P168" s="67">
        <f>uurtarief27</f>
        <v>0</v>
      </c>
      <c r="Q168" s="64" t="e">
        <f t="shared" si="42"/>
        <v>#DIV/0!</v>
      </c>
      <c r="R168" s="64" t="e">
        <f t="shared" si="43"/>
        <v>#DIV/0!</v>
      </c>
      <c r="S168" s="67" t="e">
        <f t="shared" si="44"/>
        <v>#DIV/0!</v>
      </c>
      <c r="T168" s="64" t="e">
        <f t="shared" si="45"/>
        <v>#DIV/0!</v>
      </c>
      <c r="U168" s="68" t="e">
        <f t="shared" si="46"/>
        <v>#DIV/0!</v>
      </c>
    </row>
    <row r="169" spans="1:21" x14ac:dyDescent="0.2">
      <c r="A169" s="69" t="s">
        <v>401</v>
      </c>
      <c r="B169" s="70" t="s">
        <v>184</v>
      </c>
      <c r="C169" s="70" t="s">
        <v>397</v>
      </c>
      <c r="D169" s="70" t="s">
        <v>184</v>
      </c>
      <c r="E169" s="71" t="s">
        <v>398</v>
      </c>
      <c r="F169" s="70" t="s">
        <v>184</v>
      </c>
      <c r="G169" s="70" t="s">
        <v>166</v>
      </c>
      <c r="H169" s="70" t="s">
        <v>14</v>
      </c>
      <c r="I169" s="70" t="s">
        <v>167</v>
      </c>
      <c r="J169" s="70"/>
      <c r="K169" s="72">
        <v>2</v>
      </c>
      <c r="L169" s="72">
        <f t="shared" si="41"/>
        <v>0.4</v>
      </c>
      <c r="M169" s="73">
        <f>prodnorm6</f>
        <v>0</v>
      </c>
      <c r="N169" s="74">
        <f>dagwerk6</f>
        <v>0</v>
      </c>
      <c r="O169" s="70" t="s">
        <v>169</v>
      </c>
      <c r="P169" s="75">
        <f>uurtarief6</f>
        <v>0</v>
      </c>
      <c r="Q169" s="72">
        <f>L169*ROUND(M169,4)/60</f>
        <v>0</v>
      </c>
      <c r="R169" s="72">
        <f t="shared" si="43"/>
        <v>0</v>
      </c>
      <c r="S169" s="75">
        <f t="shared" si="44"/>
        <v>0</v>
      </c>
      <c r="T169" s="72">
        <f t="shared" si="45"/>
        <v>0</v>
      </c>
      <c r="U169" s="76">
        <f t="shared" si="46"/>
        <v>0</v>
      </c>
    </row>
    <row r="170" spans="1:21" x14ac:dyDescent="0.2">
      <c r="A170" s="43" t="s">
        <v>399</v>
      </c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6" t="e">
        <f>IF(_xlfn.SINGLE(object2_urenjaar1)&gt;0,_xlfn.SINGLE(object2_prijsjaar1)/_xlfn.SINGLE(object2_urenjaar1),0)</f>
        <v>#DIV/0!</v>
      </c>
      <c r="Q170" s="45" t="e">
        <f>SUM(Q141:Q169)</f>
        <v>#DIV/0!</v>
      </c>
      <c r="R170" s="45" t="e">
        <f>SUM(R141:R169)</f>
        <v>#DIV/0!</v>
      </c>
      <c r="S170" s="46" t="e">
        <f>SUM(S141:S169)</f>
        <v>#DIV/0!</v>
      </c>
      <c r="T170" s="45" t="e">
        <f>SUM(T141:T169)</f>
        <v>#DIV/0!</v>
      </c>
      <c r="U170" s="46" t="e">
        <f>SUM(U141:U169)</f>
        <v>#DIV/0!</v>
      </c>
    </row>
  </sheetData>
  <autoFilter ref="A3:U170" xr:uid="{CB3526FE-0C77-431C-97A7-048890C2224E}"/>
  <pageMargins left="0.7" right="0.7" top="0.75" bottom="0.75" header="0.3" footer="0.3"/>
  <pageSetup paperSize="9" scale="61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F8ABA-1237-4975-9AF4-2D2983E3298C}">
  <dimension ref="A1:K32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1" width="12.625" customWidth="1"/>
  </cols>
  <sheetData>
    <row r="1" spans="1:11" x14ac:dyDescent="0.2">
      <c r="A1" s="1" t="s">
        <v>424</v>
      </c>
    </row>
    <row r="3" spans="1:11" ht="25.5" x14ac:dyDescent="0.2">
      <c r="A3" s="78" t="s">
        <v>112</v>
      </c>
      <c r="B3" s="78" t="s">
        <v>8</v>
      </c>
      <c r="C3" s="79" t="s">
        <v>425</v>
      </c>
      <c r="D3" s="79" t="s">
        <v>426</v>
      </c>
      <c r="E3" s="79" t="s">
        <v>427</v>
      </c>
      <c r="F3" s="79" t="s">
        <v>428</v>
      </c>
      <c r="G3" s="79" t="s">
        <v>429</v>
      </c>
      <c r="H3" s="79" t="s">
        <v>430</v>
      </c>
      <c r="I3" s="78" t="s">
        <v>431</v>
      </c>
      <c r="J3" s="78" t="s">
        <v>432</v>
      </c>
      <c r="K3" s="78" t="s">
        <v>433</v>
      </c>
    </row>
    <row r="4" spans="1:11" x14ac:dyDescent="0.2">
      <c r="A4" s="80"/>
      <c r="B4" s="80"/>
      <c r="C4" s="80"/>
      <c r="D4" s="80"/>
      <c r="E4" s="80"/>
      <c r="F4" s="80"/>
      <c r="G4" s="80"/>
      <c r="H4" s="80"/>
      <c r="I4" s="80"/>
      <c r="J4" s="81" t="s">
        <v>114</v>
      </c>
      <c r="K4" s="81" t="s">
        <v>114</v>
      </c>
    </row>
    <row r="5" spans="1:11" x14ac:dyDescent="0.2">
      <c r="A5" s="15" t="s">
        <v>120</v>
      </c>
      <c r="B5" s="15" t="s">
        <v>16</v>
      </c>
      <c r="C5" s="15" t="s">
        <v>434</v>
      </c>
      <c r="D5" s="15" t="s">
        <v>121</v>
      </c>
      <c r="E5" s="30">
        <f t="shared" ref="E5:E31" si="0">IF(B5="","",VLOOKUP(B5,dagsoorttabel1,2,FALSE))</f>
        <v>4.7058823529411764E-2</v>
      </c>
      <c r="F5" s="30">
        <v>1</v>
      </c>
      <c r="G5" s="30">
        <f>IF(prodnorm7&gt;0,1/ROUND(prodnorm7,4),0)</f>
        <v>0</v>
      </c>
      <c r="H5" s="32">
        <f>ROUND(dagwerk7,4+2)</f>
        <v>0</v>
      </c>
      <c r="I5" s="33">
        <f>ROUND(uurtarief7,2)</f>
        <v>0</v>
      </c>
      <c r="J5" s="30">
        <v>17.8</v>
      </c>
      <c r="K5" s="30">
        <v>0</v>
      </c>
    </row>
    <row r="6" spans="1:11" x14ac:dyDescent="0.2">
      <c r="A6" s="20" t="s">
        <v>123</v>
      </c>
      <c r="B6" s="20" t="s">
        <v>16</v>
      </c>
      <c r="C6" s="20" t="s">
        <v>434</v>
      </c>
      <c r="D6" s="20" t="s">
        <v>121</v>
      </c>
      <c r="E6" s="34">
        <f t="shared" si="0"/>
        <v>4.7058823529411764E-2</v>
      </c>
      <c r="F6" s="34">
        <v>1</v>
      </c>
      <c r="G6" s="34">
        <f>IF(prodnorm8&gt;0,1/ROUND(prodnorm8,4),0)</f>
        <v>0</v>
      </c>
      <c r="H6" s="36">
        <f>ROUND(dagwerk8,4+2)</f>
        <v>0</v>
      </c>
      <c r="I6" s="37">
        <f>ROUND(uurtarief8,2)</f>
        <v>0</v>
      </c>
      <c r="J6" s="34">
        <v>9.4</v>
      </c>
      <c r="K6" s="34">
        <v>0</v>
      </c>
    </row>
    <row r="7" spans="1:11" x14ac:dyDescent="0.2">
      <c r="A7" s="20" t="s">
        <v>123</v>
      </c>
      <c r="B7" s="20" t="s">
        <v>21</v>
      </c>
      <c r="C7" s="20" t="s">
        <v>434</v>
      </c>
      <c r="D7" s="20" t="s">
        <v>121</v>
      </c>
      <c r="E7" s="34">
        <f t="shared" si="0"/>
        <v>3.9215686274509803E-3</v>
      </c>
      <c r="F7" s="34">
        <v>1</v>
      </c>
      <c r="G7" s="34">
        <f>IF(prodnorm9&gt;0,1/ROUND(prodnorm9,4),0)</f>
        <v>0</v>
      </c>
      <c r="H7" s="36">
        <f>ROUND(dagwerk9,4+2)</f>
        <v>0</v>
      </c>
      <c r="I7" s="37">
        <f>ROUND(uurtarief9,2)</f>
        <v>0</v>
      </c>
      <c r="J7" s="34">
        <v>98.800000000000011</v>
      </c>
      <c r="K7" s="34">
        <v>0</v>
      </c>
    </row>
    <row r="8" spans="1:11" x14ac:dyDescent="0.2">
      <c r="A8" s="20" t="s">
        <v>125</v>
      </c>
      <c r="B8" s="20" t="s">
        <v>13</v>
      </c>
      <c r="C8" s="20" t="s">
        <v>434</v>
      </c>
      <c r="D8" s="20" t="s">
        <v>121</v>
      </c>
      <c r="E8" s="34">
        <f t="shared" si="0"/>
        <v>0.4</v>
      </c>
      <c r="F8" s="34">
        <v>1</v>
      </c>
      <c r="G8" s="34">
        <f>IF(prodnorm10&gt;0,1/ROUND(prodnorm10,4),0)</f>
        <v>0</v>
      </c>
      <c r="H8" s="36">
        <f>ROUND(dagwerk10,4+2)</f>
        <v>0</v>
      </c>
      <c r="I8" s="37">
        <f>ROUND(uurtarief10,2)</f>
        <v>0</v>
      </c>
      <c r="J8" s="34">
        <v>132.5</v>
      </c>
      <c r="K8" s="34">
        <v>0</v>
      </c>
    </row>
    <row r="9" spans="1:11" x14ac:dyDescent="0.2">
      <c r="A9" s="20" t="s">
        <v>125</v>
      </c>
      <c r="B9" s="20" t="s">
        <v>10</v>
      </c>
      <c r="C9" s="20" t="s">
        <v>434</v>
      </c>
      <c r="D9" s="20" t="s">
        <v>121</v>
      </c>
      <c r="E9" s="34">
        <f t="shared" si="0"/>
        <v>1</v>
      </c>
      <c r="F9" s="34">
        <v>1</v>
      </c>
      <c r="G9" s="34">
        <f>IF(prodnorm11&gt;0,1/ROUND(prodnorm11,4),0)</f>
        <v>0</v>
      </c>
      <c r="H9" s="36">
        <f>ROUND(dagwerk11,4+2)</f>
        <v>0</v>
      </c>
      <c r="I9" s="37">
        <f>ROUND(uurtarief11,2)</f>
        <v>0</v>
      </c>
      <c r="J9" s="34">
        <v>0</v>
      </c>
      <c r="K9" s="34">
        <v>77.3</v>
      </c>
    </row>
    <row r="10" spans="1:11" x14ac:dyDescent="0.2">
      <c r="A10" s="20" t="s">
        <v>127</v>
      </c>
      <c r="B10" s="20" t="s">
        <v>13</v>
      </c>
      <c r="C10" s="20" t="s">
        <v>434</v>
      </c>
      <c r="D10" s="20" t="s">
        <v>121</v>
      </c>
      <c r="E10" s="34">
        <f t="shared" si="0"/>
        <v>0.4</v>
      </c>
      <c r="F10" s="34">
        <v>1</v>
      </c>
      <c r="G10" s="34">
        <f>IF(prodnorm12&gt;0,1/ROUND(prodnorm12,4),0)</f>
        <v>0</v>
      </c>
      <c r="H10" s="36">
        <f>ROUND(dagwerk12,4+2)</f>
        <v>0</v>
      </c>
      <c r="I10" s="37">
        <f>ROUND(uurtarief12,2)</f>
        <v>0</v>
      </c>
      <c r="J10" s="34">
        <v>2198</v>
      </c>
      <c r="K10" s="34">
        <v>0</v>
      </c>
    </row>
    <row r="11" spans="1:11" x14ac:dyDescent="0.2">
      <c r="A11" s="20" t="s">
        <v>127</v>
      </c>
      <c r="B11" s="20" t="s">
        <v>10</v>
      </c>
      <c r="C11" s="20" t="s">
        <v>434</v>
      </c>
      <c r="D11" s="20" t="s">
        <v>121</v>
      </c>
      <c r="E11" s="34">
        <f t="shared" si="0"/>
        <v>1</v>
      </c>
      <c r="F11" s="34">
        <v>1</v>
      </c>
      <c r="G11" s="34">
        <f>IF(prodnorm13&gt;0,1/ROUND(prodnorm13,4),0)</f>
        <v>0</v>
      </c>
      <c r="H11" s="36">
        <f>ROUND(dagwerk13,4+2)</f>
        <v>0</v>
      </c>
      <c r="I11" s="37">
        <f>ROUND(uurtarief13,2)</f>
        <v>0</v>
      </c>
      <c r="J11" s="34">
        <v>0</v>
      </c>
      <c r="K11" s="34">
        <v>136.64000000000001</v>
      </c>
    </row>
    <row r="12" spans="1:11" x14ac:dyDescent="0.2">
      <c r="A12" s="20" t="s">
        <v>129</v>
      </c>
      <c r="B12" s="20" t="s">
        <v>21</v>
      </c>
      <c r="C12" s="20" t="s">
        <v>434</v>
      </c>
      <c r="D12" s="20" t="s">
        <v>121</v>
      </c>
      <c r="E12" s="34">
        <f t="shared" si="0"/>
        <v>3.9215686274509803E-3</v>
      </c>
      <c r="F12" s="34">
        <v>1</v>
      </c>
      <c r="G12" s="34">
        <f>IF(prodnorm14&gt;0,1/ROUND(prodnorm14,4),0)</f>
        <v>0</v>
      </c>
      <c r="H12" s="36">
        <f>ROUND(dagwerk14,4+2)</f>
        <v>0</v>
      </c>
      <c r="I12" s="37">
        <f>ROUND(uurtarief14,2)</f>
        <v>0</v>
      </c>
      <c r="J12" s="34">
        <v>16</v>
      </c>
      <c r="K12" s="34">
        <v>0</v>
      </c>
    </row>
    <row r="13" spans="1:11" x14ac:dyDescent="0.2">
      <c r="A13" s="20" t="s">
        <v>131</v>
      </c>
      <c r="B13" s="20" t="s">
        <v>10</v>
      </c>
      <c r="C13" s="20" t="s">
        <v>434</v>
      </c>
      <c r="D13" s="20" t="s">
        <v>121</v>
      </c>
      <c r="E13" s="34">
        <f t="shared" si="0"/>
        <v>1</v>
      </c>
      <c r="F13" s="34">
        <v>1</v>
      </c>
      <c r="G13" s="34">
        <f>IF(prodnorm15&gt;0,1/ROUND(prodnorm15,4),0)</f>
        <v>0</v>
      </c>
      <c r="H13" s="36">
        <f>ROUND(dagwerk15,4+2)</f>
        <v>0</v>
      </c>
      <c r="I13" s="37">
        <f>ROUND(uurtarief15,2)</f>
        <v>0</v>
      </c>
      <c r="J13" s="34">
        <v>7.2</v>
      </c>
      <c r="K13" s="34">
        <v>72.3</v>
      </c>
    </row>
    <row r="14" spans="1:11" x14ac:dyDescent="0.2">
      <c r="A14" s="20" t="s">
        <v>133</v>
      </c>
      <c r="B14" s="20" t="s">
        <v>10</v>
      </c>
      <c r="C14" s="20" t="s">
        <v>434</v>
      </c>
      <c r="D14" s="20" t="s">
        <v>121</v>
      </c>
      <c r="E14" s="34">
        <f t="shared" si="0"/>
        <v>1</v>
      </c>
      <c r="F14" s="34">
        <v>1</v>
      </c>
      <c r="G14" s="34">
        <f>IF(prodnorm16&gt;0,1/ROUND(prodnorm16,4),0)</f>
        <v>0</v>
      </c>
      <c r="H14" s="36">
        <f>ROUND(dagwerk16,4+2)</f>
        <v>0</v>
      </c>
      <c r="I14" s="37">
        <f>ROUND(uurtarief16,2)</f>
        <v>0</v>
      </c>
      <c r="J14" s="34">
        <v>0</v>
      </c>
      <c r="K14" s="34">
        <v>3.7</v>
      </c>
    </row>
    <row r="15" spans="1:11" x14ac:dyDescent="0.2">
      <c r="A15" s="20" t="s">
        <v>135</v>
      </c>
      <c r="B15" s="20" t="s">
        <v>10</v>
      </c>
      <c r="C15" s="20" t="s">
        <v>434</v>
      </c>
      <c r="D15" s="20" t="s">
        <v>121</v>
      </c>
      <c r="E15" s="34">
        <f t="shared" si="0"/>
        <v>1</v>
      </c>
      <c r="F15" s="34">
        <v>1</v>
      </c>
      <c r="G15" s="34">
        <f>IF(prodnorm17&gt;0,1/ROUND(prodnorm17,4),0)</f>
        <v>0</v>
      </c>
      <c r="H15" s="36">
        <f>ROUND(dagwerk17,4+2)</f>
        <v>0</v>
      </c>
      <c r="I15" s="37">
        <f>ROUND(uurtarief17,2)</f>
        <v>0</v>
      </c>
      <c r="J15" s="34">
        <v>15.8</v>
      </c>
      <c r="K15" s="34">
        <v>1</v>
      </c>
    </row>
    <row r="16" spans="1:11" x14ac:dyDescent="0.2">
      <c r="A16" s="20" t="s">
        <v>137</v>
      </c>
      <c r="B16" s="20" t="s">
        <v>10</v>
      </c>
      <c r="C16" s="20" t="s">
        <v>434</v>
      </c>
      <c r="D16" s="20" t="s">
        <v>121</v>
      </c>
      <c r="E16" s="34">
        <f t="shared" si="0"/>
        <v>1</v>
      </c>
      <c r="F16" s="34">
        <v>1</v>
      </c>
      <c r="G16" s="34">
        <f>IF(prodnorm18&gt;0,1/ROUND(prodnorm18,4),0)</f>
        <v>0</v>
      </c>
      <c r="H16" s="36">
        <f>ROUND(dagwerk18,4+2)</f>
        <v>0</v>
      </c>
      <c r="I16" s="37">
        <f>ROUND(uurtarief18,2)</f>
        <v>0</v>
      </c>
      <c r="J16" s="34">
        <v>4</v>
      </c>
      <c r="K16" s="34">
        <v>0</v>
      </c>
    </row>
    <row r="17" spans="1:11" x14ac:dyDescent="0.2">
      <c r="A17" s="20" t="s">
        <v>139</v>
      </c>
      <c r="B17" s="20" t="s">
        <v>10</v>
      </c>
      <c r="C17" s="20" t="s">
        <v>434</v>
      </c>
      <c r="D17" s="20" t="s">
        <v>121</v>
      </c>
      <c r="E17" s="34">
        <f t="shared" si="0"/>
        <v>1</v>
      </c>
      <c r="F17" s="34">
        <v>1</v>
      </c>
      <c r="G17" s="34">
        <f>IF(prodnorm19&gt;0,1/ROUND(prodnorm19,4),0)</f>
        <v>0</v>
      </c>
      <c r="H17" s="36">
        <f>ROUND(dagwerk19,4+2)</f>
        <v>0</v>
      </c>
      <c r="I17" s="37">
        <f>ROUND(uurtarief19,2)</f>
        <v>0</v>
      </c>
      <c r="J17" s="34">
        <v>0</v>
      </c>
      <c r="K17" s="34">
        <v>11.8</v>
      </c>
    </row>
    <row r="18" spans="1:11" x14ac:dyDescent="0.2">
      <c r="A18" s="20" t="s">
        <v>141</v>
      </c>
      <c r="B18" s="20" t="s">
        <v>11</v>
      </c>
      <c r="C18" s="20" t="s">
        <v>434</v>
      </c>
      <c r="D18" s="20" t="s">
        <v>121</v>
      </c>
      <c r="E18" s="34">
        <f t="shared" si="0"/>
        <v>0.8</v>
      </c>
      <c r="F18" s="34">
        <v>1</v>
      </c>
      <c r="G18" s="34">
        <f>IF(prodnorm20&gt;0,1/ROUND(prodnorm20,4),0)</f>
        <v>0</v>
      </c>
      <c r="H18" s="36">
        <f>ROUND(dagwerk20,4+2)</f>
        <v>0</v>
      </c>
      <c r="I18" s="37">
        <f>ROUND(uurtarief20,2)</f>
        <v>0</v>
      </c>
      <c r="J18" s="34">
        <v>9.9</v>
      </c>
      <c r="K18" s="34">
        <v>0</v>
      </c>
    </row>
    <row r="19" spans="1:11" x14ac:dyDescent="0.2">
      <c r="A19" s="20" t="s">
        <v>141</v>
      </c>
      <c r="B19" s="20" t="s">
        <v>10</v>
      </c>
      <c r="C19" s="20" t="s">
        <v>434</v>
      </c>
      <c r="D19" s="20" t="s">
        <v>121</v>
      </c>
      <c r="E19" s="34">
        <f t="shared" si="0"/>
        <v>1</v>
      </c>
      <c r="F19" s="34">
        <v>1</v>
      </c>
      <c r="G19" s="34">
        <f>IF(prodnorm21&gt;0,1/ROUND(prodnorm21,4),0)</f>
        <v>0</v>
      </c>
      <c r="H19" s="36">
        <f>ROUND(dagwerk21,4+2)</f>
        <v>0</v>
      </c>
      <c r="I19" s="37">
        <f>ROUND(uurtarief21,2)</f>
        <v>0</v>
      </c>
      <c r="J19" s="34">
        <v>0</v>
      </c>
      <c r="K19" s="34">
        <v>35.799999999999997</v>
      </c>
    </row>
    <row r="20" spans="1:11" x14ac:dyDescent="0.2">
      <c r="A20" s="20" t="s">
        <v>143</v>
      </c>
      <c r="B20" s="20" t="s">
        <v>11</v>
      </c>
      <c r="C20" s="20" t="s">
        <v>434</v>
      </c>
      <c r="D20" s="20" t="s">
        <v>121</v>
      </c>
      <c r="E20" s="34">
        <f t="shared" si="0"/>
        <v>0.8</v>
      </c>
      <c r="F20" s="34">
        <v>1</v>
      </c>
      <c r="G20" s="34">
        <f>IF(prodnorm22&gt;0,1/ROUND(prodnorm22,4),0)</f>
        <v>0</v>
      </c>
      <c r="H20" s="36">
        <f>ROUND(dagwerk22,4+2)</f>
        <v>0</v>
      </c>
      <c r="I20" s="37">
        <f>ROUND(uurtarief22,2)</f>
        <v>0</v>
      </c>
      <c r="J20" s="34">
        <v>259.8</v>
      </c>
      <c r="K20" s="34">
        <v>0</v>
      </c>
    </row>
    <row r="21" spans="1:11" x14ac:dyDescent="0.2">
      <c r="A21" s="20" t="s">
        <v>145</v>
      </c>
      <c r="B21" s="20" t="s">
        <v>10</v>
      </c>
      <c r="C21" s="20" t="s">
        <v>434</v>
      </c>
      <c r="D21" s="20" t="s">
        <v>121</v>
      </c>
      <c r="E21" s="34">
        <f t="shared" si="0"/>
        <v>1</v>
      </c>
      <c r="F21" s="34">
        <v>1</v>
      </c>
      <c r="G21" s="34">
        <f>IF(prodnorm23&gt;0,1/ROUND(prodnorm23,4),0)</f>
        <v>0</v>
      </c>
      <c r="H21" s="36">
        <f>ROUND(dagwerk23,4+2)</f>
        <v>0</v>
      </c>
      <c r="I21" s="37">
        <f>ROUND(uurtarief23,2)</f>
        <v>0</v>
      </c>
      <c r="J21" s="34">
        <v>10.5</v>
      </c>
      <c r="K21" s="34">
        <v>8.75</v>
      </c>
    </row>
    <row r="22" spans="1:11" x14ac:dyDescent="0.2">
      <c r="A22" s="20" t="s">
        <v>147</v>
      </c>
      <c r="B22" s="20" t="s">
        <v>10</v>
      </c>
      <c r="C22" s="20" t="s">
        <v>434</v>
      </c>
      <c r="D22" s="20" t="s">
        <v>121</v>
      </c>
      <c r="E22" s="34">
        <f t="shared" si="0"/>
        <v>1</v>
      </c>
      <c r="F22" s="34">
        <v>1</v>
      </c>
      <c r="G22" s="34">
        <f>IF(prodnorm24&gt;0,1/ROUND(prodnorm24,4),0)</f>
        <v>0</v>
      </c>
      <c r="H22" s="36">
        <f>ROUND(dagwerk24,4+2)</f>
        <v>0</v>
      </c>
      <c r="I22" s="37">
        <f>ROUND(uurtarief24,2)</f>
        <v>0</v>
      </c>
      <c r="J22" s="34">
        <v>20</v>
      </c>
      <c r="K22" s="34">
        <v>0</v>
      </c>
    </row>
    <row r="23" spans="1:11" x14ac:dyDescent="0.2">
      <c r="A23" s="20" t="s">
        <v>149</v>
      </c>
      <c r="B23" s="20" t="s">
        <v>10</v>
      </c>
      <c r="C23" s="20" t="s">
        <v>434</v>
      </c>
      <c r="D23" s="20" t="s">
        <v>121</v>
      </c>
      <c r="E23" s="34">
        <f t="shared" si="0"/>
        <v>1</v>
      </c>
      <c r="F23" s="34">
        <v>1</v>
      </c>
      <c r="G23" s="34">
        <f>IF(prodnorm25&gt;0,1/ROUND(prodnorm25,4),0)</f>
        <v>0</v>
      </c>
      <c r="H23" s="36">
        <f>ROUND(dagwerk25,4+2)</f>
        <v>0</v>
      </c>
      <c r="I23" s="37">
        <f>ROUND(uurtarief25,2)</f>
        <v>0</v>
      </c>
      <c r="J23" s="34">
        <v>0</v>
      </c>
      <c r="K23" s="34">
        <v>59.6</v>
      </c>
    </row>
    <row r="24" spans="1:11" x14ac:dyDescent="0.2">
      <c r="A24" s="20" t="s">
        <v>151</v>
      </c>
      <c r="B24" s="20" t="s">
        <v>10</v>
      </c>
      <c r="C24" s="20" t="s">
        <v>434</v>
      </c>
      <c r="D24" s="20" t="s">
        <v>121</v>
      </c>
      <c r="E24" s="34">
        <f t="shared" si="0"/>
        <v>1</v>
      </c>
      <c r="F24" s="34">
        <v>1</v>
      </c>
      <c r="G24" s="34">
        <f>IF(prodnorm26&gt;0,1/ROUND(prodnorm26,4),0)</f>
        <v>0</v>
      </c>
      <c r="H24" s="36">
        <f>ROUND(dagwerk26,4+2)</f>
        <v>0</v>
      </c>
      <c r="I24" s="37">
        <f>ROUND(uurtarief26,2)</f>
        <v>0</v>
      </c>
      <c r="J24" s="34">
        <v>81</v>
      </c>
      <c r="K24" s="34">
        <v>0</v>
      </c>
    </row>
    <row r="25" spans="1:11" x14ac:dyDescent="0.2">
      <c r="A25" s="20" t="s">
        <v>153</v>
      </c>
      <c r="B25" s="20" t="s">
        <v>10</v>
      </c>
      <c r="C25" s="20" t="s">
        <v>434</v>
      </c>
      <c r="D25" s="20" t="s">
        <v>121</v>
      </c>
      <c r="E25" s="34">
        <f t="shared" si="0"/>
        <v>1</v>
      </c>
      <c r="F25" s="34">
        <v>1</v>
      </c>
      <c r="G25" s="34">
        <f>IF(prodnorm27&gt;0,1/ROUND(prodnorm27,4),0)</f>
        <v>0</v>
      </c>
      <c r="H25" s="36">
        <f>ROUND(dagwerk27,4+2)</f>
        <v>0</v>
      </c>
      <c r="I25" s="37">
        <f>ROUND(uurtarief27,2)</f>
        <v>0</v>
      </c>
      <c r="J25" s="34">
        <v>82</v>
      </c>
      <c r="K25" s="34">
        <v>21.9</v>
      </c>
    </row>
    <row r="26" spans="1:11" x14ac:dyDescent="0.2">
      <c r="A26" s="20" t="s">
        <v>155</v>
      </c>
      <c r="B26" s="20" t="s">
        <v>10</v>
      </c>
      <c r="C26" s="20" t="s">
        <v>434</v>
      </c>
      <c r="D26" s="20" t="s">
        <v>121</v>
      </c>
      <c r="E26" s="34">
        <f t="shared" si="0"/>
        <v>1</v>
      </c>
      <c r="F26" s="34">
        <v>1</v>
      </c>
      <c r="G26" s="34">
        <f>IF(prodnorm28&gt;0,1/ROUND(prodnorm28,4),0)</f>
        <v>0</v>
      </c>
      <c r="H26" s="36">
        <f>ROUND(dagwerk28,4+2)</f>
        <v>0</v>
      </c>
      <c r="I26" s="37">
        <f>ROUND(uurtarief28,2)</f>
        <v>0</v>
      </c>
      <c r="J26" s="34">
        <v>110.8</v>
      </c>
      <c r="K26" s="34">
        <v>13.5</v>
      </c>
    </row>
    <row r="27" spans="1:11" x14ac:dyDescent="0.2">
      <c r="A27" s="20" t="s">
        <v>157</v>
      </c>
      <c r="B27" s="20" t="s">
        <v>10</v>
      </c>
      <c r="C27" s="20" t="s">
        <v>434</v>
      </c>
      <c r="D27" s="20" t="s">
        <v>121</v>
      </c>
      <c r="E27" s="34">
        <f t="shared" si="0"/>
        <v>1</v>
      </c>
      <c r="F27" s="34">
        <v>1</v>
      </c>
      <c r="G27" s="34">
        <f>IF(prodnorm29&gt;0,1/ROUND(prodnorm29,4),0)</f>
        <v>0</v>
      </c>
      <c r="H27" s="36">
        <f>ROUND(dagwerk29,4+2)</f>
        <v>0</v>
      </c>
      <c r="I27" s="37">
        <f>ROUND(uurtarief29,2)</f>
        <v>0</v>
      </c>
      <c r="J27" s="34">
        <v>379.79999999999995</v>
      </c>
      <c r="K27" s="34">
        <v>80.7</v>
      </c>
    </row>
    <row r="28" spans="1:11" x14ac:dyDescent="0.2">
      <c r="A28" s="20" t="s">
        <v>159</v>
      </c>
      <c r="B28" s="20" t="s">
        <v>10</v>
      </c>
      <c r="C28" s="20" t="s">
        <v>434</v>
      </c>
      <c r="D28" s="20" t="s">
        <v>121</v>
      </c>
      <c r="E28" s="34">
        <f t="shared" si="0"/>
        <v>1</v>
      </c>
      <c r="F28" s="34">
        <v>1</v>
      </c>
      <c r="G28" s="34">
        <f>IF(prodnorm30&gt;0,1/ROUND(prodnorm30,4),0)</f>
        <v>0</v>
      </c>
      <c r="H28" s="36">
        <f>ROUND(dagwerk30,4+2)</f>
        <v>0</v>
      </c>
      <c r="I28" s="37">
        <f>ROUND(uurtarief30,2)</f>
        <v>0</v>
      </c>
      <c r="J28" s="34">
        <v>570</v>
      </c>
      <c r="K28" s="34">
        <v>0</v>
      </c>
    </row>
    <row r="29" spans="1:11" x14ac:dyDescent="0.2">
      <c r="A29" s="20" t="s">
        <v>161</v>
      </c>
      <c r="B29" s="20" t="s">
        <v>21</v>
      </c>
      <c r="C29" s="20" t="s">
        <v>434</v>
      </c>
      <c r="D29" s="20" t="s">
        <v>162</v>
      </c>
      <c r="E29" s="34">
        <f t="shared" si="0"/>
        <v>3.9215686274509803E-3</v>
      </c>
      <c r="F29" s="34">
        <v>1</v>
      </c>
      <c r="G29" s="34">
        <f>IF(prodnorm31&gt;0,1/ROUND(prodnorm31,4),0)</f>
        <v>0</v>
      </c>
      <c r="H29" s="36">
        <f>ROUND(dagwerk31,4+2)</f>
        <v>0</v>
      </c>
      <c r="I29" s="37">
        <f>ROUND(uurtarief31,2)</f>
        <v>0</v>
      </c>
      <c r="J29" s="34">
        <v>0</v>
      </c>
      <c r="K29" s="34">
        <v>77.3</v>
      </c>
    </row>
    <row r="30" spans="1:11" x14ac:dyDescent="0.2">
      <c r="A30" s="20" t="s">
        <v>164</v>
      </c>
      <c r="B30" s="20" t="s">
        <v>20</v>
      </c>
      <c r="C30" s="20" t="s">
        <v>434</v>
      </c>
      <c r="D30" s="20" t="s">
        <v>162</v>
      </c>
      <c r="E30" s="34">
        <f t="shared" si="0"/>
        <v>7.8431372549019607E-3</v>
      </c>
      <c r="F30" s="34">
        <v>1</v>
      </c>
      <c r="G30" s="34">
        <f>IF(prodnorm32&gt;0,1/ROUND(prodnorm32,4),0)</f>
        <v>0</v>
      </c>
      <c r="H30" s="36">
        <f>ROUND(dagwerk32,4+2)</f>
        <v>0</v>
      </c>
      <c r="I30" s="37">
        <f>ROUND(uurtarief32,2)</f>
        <v>0</v>
      </c>
      <c r="J30" s="34">
        <v>0</v>
      </c>
      <c r="K30" s="34">
        <v>80.7</v>
      </c>
    </row>
    <row r="31" spans="1:11" x14ac:dyDescent="0.2">
      <c r="A31" s="25" t="s">
        <v>166</v>
      </c>
      <c r="B31" s="25" t="s">
        <v>14</v>
      </c>
      <c r="C31" s="25" t="s">
        <v>434</v>
      </c>
      <c r="D31" s="25" t="s">
        <v>167</v>
      </c>
      <c r="E31" s="39">
        <f t="shared" si="0"/>
        <v>0.2</v>
      </c>
      <c r="F31" s="39">
        <v>1</v>
      </c>
      <c r="G31" s="39">
        <f>ROUND(prodnorm6,4)/60</f>
        <v>0</v>
      </c>
      <c r="H31" s="82">
        <f>ROUND(dagwerk6,4+2)</f>
        <v>0</v>
      </c>
      <c r="I31" s="41">
        <f>ROUND(uurtarief6,2)</f>
        <v>0</v>
      </c>
      <c r="J31" s="39">
        <v>2</v>
      </c>
      <c r="K31" s="39">
        <v>2</v>
      </c>
    </row>
    <row r="32" spans="1:11" x14ac:dyDescent="0.2">
      <c r="A32" s="43" t="s">
        <v>170</v>
      </c>
      <c r="B32" s="44"/>
      <c r="C32" s="44"/>
      <c r="D32" s="44"/>
      <c r="E32" s="44"/>
      <c r="F32" s="44"/>
      <c r="G32" s="44"/>
      <c r="H32" s="44"/>
      <c r="I32" s="44"/>
      <c r="J32" s="83"/>
      <c r="K32" s="83"/>
    </row>
  </sheetData>
  <pageMargins left="0.7" right="0.7" top="0.75" bottom="0.75" header="0.3" footer="0.3"/>
  <pageSetup paperSize="9" scale="70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CCBA-6EFE-4DFC-BFE5-B91585655B93}">
  <dimension ref="A1:R11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H1.4: ",tabeltype," objecten")</f>
        <v>Bijlage H1.4: Invultabel objecten</v>
      </c>
    </row>
    <row r="3" spans="1:18" ht="51" x14ac:dyDescent="0.2">
      <c r="A3" s="8" t="s">
        <v>173</v>
      </c>
      <c r="B3" s="8" t="s">
        <v>435</v>
      </c>
      <c r="C3" s="8" t="s">
        <v>436</v>
      </c>
      <c r="D3" s="8" t="s">
        <v>437</v>
      </c>
      <c r="E3" s="8" t="s">
        <v>8</v>
      </c>
      <c r="F3" s="8" t="s">
        <v>438</v>
      </c>
      <c r="G3" s="8" t="s">
        <v>439</v>
      </c>
      <c r="H3" s="8" t="s">
        <v>440</v>
      </c>
      <c r="I3" s="8" t="s">
        <v>441</v>
      </c>
      <c r="J3" s="8" t="s">
        <v>442</v>
      </c>
      <c r="K3" s="8" t="s">
        <v>443</v>
      </c>
      <c r="L3" s="8" t="s">
        <v>444</v>
      </c>
      <c r="M3" s="8" t="s">
        <v>445</v>
      </c>
      <c r="N3" s="8" t="s">
        <v>446</v>
      </c>
      <c r="O3" s="8" t="s">
        <v>447</v>
      </c>
      <c r="P3" s="8" t="s">
        <v>118</v>
      </c>
      <c r="Q3" s="8" t="s">
        <v>119</v>
      </c>
      <c r="R3" s="8" t="s">
        <v>448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183</v>
      </c>
      <c r="B6" s="15" t="s">
        <v>449</v>
      </c>
      <c r="C6" s="15" t="s">
        <v>450</v>
      </c>
      <c r="D6" s="15" t="s">
        <v>451</v>
      </c>
      <c r="E6" s="84" t="s">
        <v>10</v>
      </c>
      <c r="F6" s="85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86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5" t="s">
        <v>401</v>
      </c>
      <c r="B7" s="25" t="s">
        <v>452</v>
      </c>
      <c r="C7" s="25" t="s">
        <v>453</v>
      </c>
      <c r="D7" s="25" t="s">
        <v>454</v>
      </c>
      <c r="E7" s="87" t="s">
        <v>10</v>
      </c>
      <c r="F7" s="88">
        <f>gemuurtarief1</f>
        <v>0</v>
      </c>
      <c r="G7" s="39">
        <f>SUMPRODUCT(taakfreqtabel1,uurfactortabel1,kengetaltabel1,object2_opptabel1)*(1/VLOOKUP(E7,dagsoorttabel1,2,FALSE))</f>
        <v>0</v>
      </c>
      <c r="H7" s="39">
        <f>SUMPRODUCT(dagwerktabel1,taakfreqtabel1,uurfactortabel1,kengetaltabel1,object2_opptabel1)*(1/VLOOKUP(E7,dagsoorttabel1,2,FALSE))</f>
        <v>0</v>
      </c>
      <c r="I7" s="89"/>
      <c r="J7" s="39">
        <f>H7+I7</f>
        <v>0</v>
      </c>
      <c r="K7" s="39">
        <f>G7+I7</f>
        <v>0</v>
      </c>
      <c r="L7" s="41">
        <f>SUMPRODUCT(taakfreqtabel1,kengetaltabel1,tarieftabel1,object2_opptabel1)*(1/VLOOKUP(E7,dagsoorttabel1,2,FALSE))</f>
        <v>0</v>
      </c>
      <c r="M7" s="41">
        <f>F7*I7</f>
        <v>0</v>
      </c>
      <c r="N7" s="41">
        <f>SUM(L7:M7)</f>
        <v>0</v>
      </c>
      <c r="O7" s="39">
        <f>J7*dagenperjaar1*VLOOKUP(E7,dagsoorttabel1,2,FALSE)</f>
        <v>0</v>
      </c>
      <c r="P7" s="39">
        <f>K7*dagenperjaar1*VLOOKUP(E7,dagsoorttabel1,2,FALSE)</f>
        <v>0</v>
      </c>
      <c r="Q7" s="41">
        <f>N7*dagenperjaar1*VLOOKUP(E7,dagsoorttabel1,2,FALSE)</f>
        <v>0</v>
      </c>
      <c r="R7" s="41">
        <f>Q7/12</f>
        <v>0</v>
      </c>
    </row>
    <row r="8" spans="1:18" x14ac:dyDescent="0.2">
      <c r="A8" s="43" t="s">
        <v>170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>
        <f>SUM(O6:O7)</f>
        <v>0</v>
      </c>
      <c r="P8" s="45">
        <f>SUM(P6:P7)</f>
        <v>0</v>
      </c>
      <c r="Q8" s="46">
        <f>SUM(Q6:Q7)</f>
        <v>0</v>
      </c>
      <c r="R8" s="47">
        <f>SUM(R6:R7)</f>
        <v>0</v>
      </c>
    </row>
    <row r="9" spans="1:18" x14ac:dyDescent="0.2">
      <c r="A9" s="48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9"/>
    </row>
    <row r="11" spans="1:18" x14ac:dyDescent="0.2">
      <c r="A11" s="43" t="s">
        <v>455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>
        <f>urenjaartotaalhf1</f>
        <v>0</v>
      </c>
      <c r="P11" s="45">
        <f>urenjaartotaal1</f>
        <v>0</v>
      </c>
      <c r="Q11" s="46">
        <f>prijsjaartotaal1</f>
        <v>0</v>
      </c>
      <c r="R11" s="46">
        <f>prijsmaandtotaal1</f>
        <v>0</v>
      </c>
    </row>
  </sheetData>
  <pageMargins left="0.7" right="0.7" top="0.75" bottom="0.75" header="0.3" footer="0.3"/>
  <pageSetup paperSize="9" scale="65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A356-486C-43F8-A201-C3E2777DC73A}">
  <dimension ref="A1:K2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H1.5: ",tabeltype," niet-meewerkende objectleiding")</f>
        <v>Bijlage H1.5: Invultabel niet-meewerkende objectleiding</v>
      </c>
    </row>
    <row r="3" spans="1:11" ht="38.25" x14ac:dyDescent="0.2">
      <c r="A3" s="8" t="s">
        <v>456</v>
      </c>
      <c r="B3" s="8" t="s">
        <v>8</v>
      </c>
      <c r="C3" s="8" t="s">
        <v>457</v>
      </c>
      <c r="D3" s="8" t="s">
        <v>458</v>
      </c>
      <c r="E3" s="8" t="s">
        <v>459</v>
      </c>
      <c r="F3" s="8" t="s">
        <v>460</v>
      </c>
      <c r="G3" s="8" t="s">
        <v>461</v>
      </c>
      <c r="H3" s="8" t="s">
        <v>118</v>
      </c>
      <c r="I3" s="8" t="s">
        <v>462</v>
      </c>
      <c r="J3" s="8" t="s">
        <v>463</v>
      </c>
      <c r="K3" s="8" t="s">
        <v>464</v>
      </c>
    </row>
    <row r="4" spans="1:11" x14ac:dyDescent="0.2">
      <c r="A4" s="90"/>
      <c r="B4" s="91"/>
      <c r="C4" s="91"/>
      <c r="D4" s="91"/>
      <c r="E4" s="91"/>
      <c r="F4" s="91"/>
      <c r="G4" s="91"/>
      <c r="H4" s="91"/>
      <c r="I4" s="91"/>
      <c r="J4" s="91"/>
      <c r="K4" s="92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3" t="s">
        <v>182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465</v>
      </c>
      <c r="B8" s="15" t="s">
        <v>10</v>
      </c>
      <c r="C8" s="16">
        <f>IF(ISBLANK(B8),0,IF(ISERROR(VALUE(B8)),VLOOKUP(B8,dagsoorttabel1,2,FALSE)*dagenperjaar1,VALUE(B8)))</f>
        <v>255</v>
      </c>
      <c r="D8" s="15" t="s">
        <v>466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5">
        <f>dagenperjaar1</f>
        <v>255</v>
      </c>
      <c r="D9" s="96" t="s">
        <v>467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5">
        <f>dagenperjaar1</f>
        <v>255</v>
      </c>
      <c r="D10" s="96" t="s">
        <v>467</v>
      </c>
      <c r="E10" s="24"/>
      <c r="F10" s="23"/>
      <c r="G10" s="97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5">
        <f>dagenperjaar1</f>
        <v>255</v>
      </c>
      <c r="D11" s="96" t="s">
        <v>468</v>
      </c>
      <c r="E11" s="24"/>
      <c r="F11" s="9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99">
        <f>dagenperjaar1</f>
        <v>255</v>
      </c>
      <c r="D12" s="100" t="s">
        <v>468</v>
      </c>
      <c r="E12" s="29"/>
      <c r="F12" s="101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2" t="s">
        <v>469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3" t="s">
        <v>400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465</v>
      </c>
      <c r="B17" s="15" t="s">
        <v>10</v>
      </c>
      <c r="C17" s="16">
        <f>IF(ISBLANK(B17),0,IF(ISERROR(VALUE(B17)),VLOOKUP(B17,dagsoorttabel1,2,FALSE)*dagenperjaar1,VALUE(B17)))</f>
        <v>255</v>
      </c>
      <c r="D17" s="15" t="s">
        <v>466</v>
      </c>
      <c r="E17" s="19"/>
      <c r="F17" s="18"/>
      <c r="G17" s="94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95">
        <f>dagenperjaar1</f>
        <v>255</v>
      </c>
      <c r="D18" s="96" t="s">
        <v>467</v>
      </c>
      <c r="E18" s="24"/>
      <c r="F18" s="23"/>
      <c r="G18" s="97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95">
        <f>dagenperjaar1</f>
        <v>255</v>
      </c>
      <c r="D19" s="96" t="s">
        <v>467</v>
      </c>
      <c r="E19" s="24"/>
      <c r="F19" s="23"/>
      <c r="G19" s="97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95">
        <f>dagenperjaar1</f>
        <v>255</v>
      </c>
      <c r="D20" s="96" t="s">
        <v>468</v>
      </c>
      <c r="E20" s="24"/>
      <c r="F20" s="98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99">
        <f>dagenperjaar1</f>
        <v>255</v>
      </c>
      <c r="D21" s="100" t="s">
        <v>468</v>
      </c>
      <c r="E21" s="29"/>
      <c r="F21" s="101"/>
      <c r="G21" s="27"/>
      <c r="H21" s="39">
        <f>IF(ISBLANK(G21),0,G21*C21)+IF(ISBLANK(F21),0,F21*objecturen2_1)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2" t="s">
        <v>470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43" t="s">
        <v>170</v>
      </c>
      <c r="B24" s="44"/>
      <c r="C24" s="44"/>
      <c r="D24" s="44"/>
      <c r="E24" s="44"/>
      <c r="F24" s="44"/>
      <c r="G24" s="44"/>
      <c r="H24" s="45">
        <f>tzujt1_1+tzujt2_1</f>
        <v>0</v>
      </c>
      <c r="I24" s="44"/>
      <c r="J24" s="46">
        <f>tzpjt1_1+tzpjt2_1</f>
        <v>0</v>
      </c>
      <c r="K24" s="47">
        <f>tzpmt1_1+tzpmt2_1</f>
        <v>0</v>
      </c>
    </row>
    <row r="25" spans="1:11" x14ac:dyDescent="0.2">
      <c r="A25" s="48"/>
      <c r="B25" s="44"/>
      <c r="C25" s="44"/>
      <c r="D25" s="44"/>
      <c r="E25" s="44"/>
      <c r="F25" s="44"/>
      <c r="G25" s="44"/>
      <c r="H25" s="44"/>
      <c r="I25" s="44"/>
      <c r="J25" s="44"/>
      <c r="K25" s="49"/>
    </row>
    <row r="27" spans="1:11" x14ac:dyDescent="0.2">
      <c r="A27" s="43" t="s">
        <v>471</v>
      </c>
      <c r="B27" s="44"/>
      <c r="C27" s="44"/>
      <c r="D27" s="44"/>
      <c r="E27" s="44"/>
      <c r="F27" s="44"/>
      <c r="G27" s="44"/>
      <c r="H27" s="45">
        <f>tzujt1</f>
        <v>0</v>
      </c>
      <c r="I27" s="44"/>
      <c r="J27" s="46">
        <f>tzpjt1</f>
        <v>0</v>
      </c>
      <c r="K27" s="46">
        <f>tzpmt1</f>
        <v>0</v>
      </c>
    </row>
  </sheetData>
  <pageMargins left="0.7" right="0.7" top="0.75" bottom="0.75" header="0.3" footer="0.3"/>
  <pageSetup paperSize="9" scale="65" orientation="landscape" r:id="rId1"/>
  <headerFooter>
    <oddFooter>&amp;LGemeente Oude IJsselstreek en gemeente Aalten EA2024        &amp;ROpmaakdatum: 13-12-2023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D4EB-F973-4A4A-84BC-9358838F6CC4}">
  <dimension ref="A1:K7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H1.6: ",tabeltype," totaalblad objecten")</f>
        <v>Bijlage H1.6: Invultabel totaalblad objecten</v>
      </c>
    </row>
    <row r="3" spans="1:11" ht="38.25" x14ac:dyDescent="0.2">
      <c r="A3" s="8" t="s">
        <v>173</v>
      </c>
      <c r="B3" s="8" t="s">
        <v>435</v>
      </c>
      <c r="C3" s="8" t="s">
        <v>436</v>
      </c>
      <c r="D3" s="8" t="s">
        <v>437</v>
      </c>
      <c r="E3" s="8" t="s">
        <v>447</v>
      </c>
      <c r="F3" s="8" t="s">
        <v>118</v>
      </c>
      <c r="G3" s="8" t="s">
        <v>472</v>
      </c>
      <c r="H3" s="8" t="s">
        <v>473</v>
      </c>
      <c r="I3" s="8" t="s">
        <v>474</v>
      </c>
      <c r="J3" s="8" t="s">
        <v>475</v>
      </c>
      <c r="K3" s="8" t="s">
        <v>476</v>
      </c>
    </row>
    <row r="4" spans="1:11" x14ac:dyDescent="0.2">
      <c r="A4" s="15" t="s">
        <v>183</v>
      </c>
      <c r="B4" s="15" t="s">
        <v>449</v>
      </c>
      <c r="C4" s="15" t="s">
        <v>450</v>
      </c>
      <c r="D4" s="15" t="s">
        <v>451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>G4+I4</f>
        <v>0</v>
      </c>
      <c r="K4" s="33">
        <f>J4/12</f>
        <v>0</v>
      </c>
    </row>
    <row r="5" spans="1:11" x14ac:dyDescent="0.2">
      <c r="A5" s="25" t="s">
        <v>401</v>
      </c>
      <c r="B5" s="25" t="s">
        <v>452</v>
      </c>
      <c r="C5" s="25" t="s">
        <v>453</v>
      </c>
      <c r="D5" s="25" t="s">
        <v>454</v>
      </c>
      <c r="E5" s="39">
        <f>objecturenhf2_1</f>
        <v>0</v>
      </c>
      <c r="F5" s="39">
        <f>objecturen2_1</f>
        <v>0</v>
      </c>
      <c r="G5" s="41">
        <f>objectprijs2_1</f>
        <v>0</v>
      </c>
      <c r="H5" s="39">
        <f>tzujt2_1</f>
        <v>0</v>
      </c>
      <c r="I5" s="41">
        <f>tzpjt2_1</f>
        <v>0</v>
      </c>
      <c r="J5" s="41">
        <f>G5+I5</f>
        <v>0</v>
      </c>
      <c r="K5" s="41">
        <f>J5/12</f>
        <v>0</v>
      </c>
    </row>
    <row r="7" spans="1:11" x14ac:dyDescent="0.2">
      <c r="A7" s="43" t="s">
        <v>477</v>
      </c>
      <c r="B7" s="44"/>
      <c r="C7" s="44"/>
      <c r="D7" s="44"/>
      <c r="E7" s="45">
        <f t="shared" ref="E7:K7" si="0">SUM(E4:E5)</f>
        <v>0</v>
      </c>
      <c r="F7" s="45">
        <f t="shared" si="0"/>
        <v>0</v>
      </c>
      <c r="G7" s="46">
        <f t="shared" si="0"/>
        <v>0</v>
      </c>
      <c r="H7" s="45">
        <f t="shared" si="0"/>
        <v>0</v>
      </c>
      <c r="I7" s="46">
        <f t="shared" si="0"/>
        <v>0</v>
      </c>
      <c r="J7" s="46">
        <f t="shared" si="0"/>
        <v>0</v>
      </c>
      <c r="K7" s="46">
        <f t="shared" si="0"/>
        <v>0</v>
      </c>
    </row>
  </sheetData>
  <pageMargins left="0.7" right="0.7" top="0.75" bottom="0.75" header="0.3" footer="0.3"/>
  <pageSetup paperSize="9" scale="65" orientation="landscape" r:id="rId1"/>
  <headerFooter>
    <oddFooter>&amp;LGemeente Oude IJsselstreek en gemeente Aalten EA2024        &amp;ROpmaakdatum: 13-12-2023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309</vt:i4>
      </vt:variant>
    </vt:vector>
  </HeadingPairs>
  <TitlesOfParts>
    <vt:vector size="321" baseType="lpstr">
      <vt:lpstr>Voorblad</vt:lpstr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Totaal</vt:lpstr>
      <vt:lpstr>Afroep!Afdruktitels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Totaal!Afdruktitels</vt:lpstr>
      <vt:lpstr>'Totaalblad Objecten'!Afdruktitels</vt:lpstr>
      <vt:lpstr>catdw_1_AHV_12</vt:lpstr>
      <vt:lpstr>catdw_1_AZV_1</vt:lpstr>
      <vt:lpstr>catdw_1_AZV_12</vt:lpstr>
      <vt:lpstr>catdw_1_BHB_1</vt:lpstr>
      <vt:lpstr>catdw_1_BHV_51</vt:lpstr>
      <vt:lpstr>catdw_1_BZB_1</vt:lpstr>
      <vt:lpstr>catdw_1_BZV_51</vt:lpstr>
      <vt:lpstr>catdw_1_CHV_1</vt:lpstr>
      <vt:lpstr>catdw_1_DHB_1</vt:lpstr>
      <vt:lpstr>catdw_1_DHV_51</vt:lpstr>
      <vt:lpstr>catdw_1_EHB_1</vt:lpstr>
      <vt:lpstr>catdw_1_EHV_51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catdw_1_OHB_1</vt:lpstr>
      <vt:lpstr>catdw_1_OHV_51</vt:lpstr>
      <vt:lpstr>catdw_1_OZB_1</vt:lpstr>
      <vt:lpstr>catdw_1_OZV_51</vt:lpstr>
      <vt:lpstr>catdw_1_PHB_1</vt:lpstr>
      <vt:lpstr>catdw_1_PHV_51</vt:lpstr>
      <vt:lpstr>catdw_1_PZB_1</vt:lpstr>
      <vt:lpstr>catdw_1_PZV_51</vt:lpstr>
      <vt:lpstr>catdw_1_RHB_1</vt:lpstr>
      <vt:lpstr>catdw_1_RHV_51</vt:lpstr>
      <vt:lpstr>catdw_1_RZB_1</vt:lpstr>
      <vt:lpstr>catdw_1_RZV_51</vt:lpstr>
      <vt:lpstr>catdw_1_SHB_1</vt:lpstr>
      <vt:lpstr>catdw_1_SHV_51</vt:lpstr>
      <vt:lpstr>catdw_1_THB_1</vt:lpstr>
      <vt:lpstr>catdw_1_THV_51</vt:lpstr>
      <vt:lpstr>catdw_1_VHB_1</vt:lpstr>
      <vt:lpstr>catdw_1_VHV_51</vt:lpstr>
      <vt:lpstr>catdw_1_VZB_1</vt:lpstr>
      <vt:lpstr>catdw_1_VZV_51</vt:lpstr>
      <vt:lpstr>catdw_1_XBB_1</vt:lpstr>
      <vt:lpstr>catfd_1_AHV_12</vt:lpstr>
      <vt:lpstr>catfd_1_AZV_1</vt:lpstr>
      <vt:lpstr>catfd_1_AZV_12</vt:lpstr>
      <vt:lpstr>catfd_1_BHB_1</vt:lpstr>
      <vt:lpstr>catfd_1_BHV_51</vt:lpstr>
      <vt:lpstr>catfd_1_BZB_1</vt:lpstr>
      <vt:lpstr>catfd_1_BZV_51</vt:lpstr>
      <vt:lpstr>catfd_1_CHV_1</vt:lpstr>
      <vt:lpstr>catfd_1_DHB_1</vt:lpstr>
      <vt:lpstr>catfd_1_DHV_51</vt:lpstr>
      <vt:lpstr>catfd_1_EHB_1</vt:lpstr>
      <vt:lpstr>catfd_1_EHV_51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catfd_1_OHB_1</vt:lpstr>
      <vt:lpstr>catfd_1_OHV_51</vt:lpstr>
      <vt:lpstr>catfd_1_OZB_1</vt:lpstr>
      <vt:lpstr>catfd_1_OZV_51</vt:lpstr>
      <vt:lpstr>catfd_1_PHB_1</vt:lpstr>
      <vt:lpstr>catfd_1_PHV_51</vt:lpstr>
      <vt:lpstr>catfd_1_PZB_1</vt:lpstr>
      <vt:lpstr>catfd_1_PZV_51</vt:lpstr>
      <vt:lpstr>catfd_1_RHB_1</vt:lpstr>
      <vt:lpstr>catfd_1_RHV_51</vt:lpstr>
      <vt:lpstr>catfd_1_RZB_1</vt:lpstr>
      <vt:lpstr>catfd_1_RZV_51</vt:lpstr>
      <vt:lpstr>catfd_1_SHB_1</vt:lpstr>
      <vt:lpstr>catfd_1_SHV_51</vt:lpstr>
      <vt:lpstr>catfd_1_THB_1</vt:lpstr>
      <vt:lpstr>catfd_1_THV_51</vt:lpstr>
      <vt:lpstr>catfd_1_VHB_1</vt:lpstr>
      <vt:lpstr>catfd_1_VHV_51</vt:lpstr>
      <vt:lpstr>catfd_1_VZB_1</vt:lpstr>
      <vt:lpstr>catfd_1_VZV_51</vt:lpstr>
      <vt:lpstr>catfd_1_XBB_1</vt:lpstr>
      <vt:lpstr>catpn_1_AHV_12</vt:lpstr>
      <vt:lpstr>catpn_1_AZV_1</vt:lpstr>
      <vt:lpstr>catpn_1_AZV_12</vt:lpstr>
      <vt:lpstr>catpn_1_BHB_1</vt:lpstr>
      <vt:lpstr>catpn_1_BHV_51</vt:lpstr>
      <vt:lpstr>catpn_1_BZB_1</vt:lpstr>
      <vt:lpstr>catpn_1_BZV_51</vt:lpstr>
      <vt:lpstr>catpn_1_CHV_1</vt:lpstr>
      <vt:lpstr>catpn_1_DHB_1</vt:lpstr>
      <vt:lpstr>catpn_1_DHV_51</vt:lpstr>
      <vt:lpstr>catpn_1_EHB_1</vt:lpstr>
      <vt:lpstr>catpn_1_EHV_51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catpn_1_OHB_1</vt:lpstr>
      <vt:lpstr>catpn_1_OHV_51</vt:lpstr>
      <vt:lpstr>catpn_1_OZB_1</vt:lpstr>
      <vt:lpstr>catpn_1_OZV_51</vt:lpstr>
      <vt:lpstr>catpn_1_PHB_1</vt:lpstr>
      <vt:lpstr>catpn_1_PHV_51</vt:lpstr>
      <vt:lpstr>catpn_1_PZB_1</vt:lpstr>
      <vt:lpstr>catpn_1_PZV_51</vt:lpstr>
      <vt:lpstr>catpn_1_RHB_1</vt:lpstr>
      <vt:lpstr>catpn_1_RHV_51</vt:lpstr>
      <vt:lpstr>catpn_1_RZB_1</vt:lpstr>
      <vt:lpstr>catpn_1_RZV_51</vt:lpstr>
      <vt:lpstr>catpn_1_SHB_1</vt:lpstr>
      <vt:lpstr>catpn_1_SHV_51</vt:lpstr>
      <vt:lpstr>catpn_1_THB_1</vt:lpstr>
      <vt:lpstr>catpn_1_THV_51</vt:lpstr>
      <vt:lpstr>catpn_1_VHB_1</vt:lpstr>
      <vt:lpstr>catpn_1_VHV_51</vt:lpstr>
      <vt:lpstr>catpn_1_VZB_1</vt:lpstr>
      <vt:lpstr>catpn_1_VZV_51</vt:lpstr>
      <vt:lpstr>catpn_1_XBB_1</vt:lpstr>
      <vt:lpstr>cattf_1_AHV_12</vt:lpstr>
      <vt:lpstr>cattf_1_AZV_1</vt:lpstr>
      <vt:lpstr>cattf_1_AZV_12</vt:lpstr>
      <vt:lpstr>cattf_1_BHB_1</vt:lpstr>
      <vt:lpstr>cattf_1_BHV_51</vt:lpstr>
      <vt:lpstr>cattf_1_BZB_1</vt:lpstr>
      <vt:lpstr>cattf_1_BZV_51</vt:lpstr>
      <vt:lpstr>cattf_1_CHV_1</vt:lpstr>
      <vt:lpstr>cattf_1_DHB_1</vt:lpstr>
      <vt:lpstr>cattf_1_DHV_51</vt:lpstr>
      <vt:lpstr>cattf_1_EHB_1</vt:lpstr>
      <vt:lpstr>cattf_1_EHV_51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cattf_1_OHB_1</vt:lpstr>
      <vt:lpstr>cattf_1_OHV_51</vt:lpstr>
      <vt:lpstr>cattf_1_OZB_1</vt:lpstr>
      <vt:lpstr>cattf_1_OZV_51</vt:lpstr>
      <vt:lpstr>cattf_1_PHB_1</vt:lpstr>
      <vt:lpstr>cattf_1_PHV_51</vt:lpstr>
      <vt:lpstr>cattf_1_PZB_1</vt:lpstr>
      <vt:lpstr>cattf_1_PZV_51</vt:lpstr>
      <vt:lpstr>cattf_1_RHB_1</vt:lpstr>
      <vt:lpstr>cattf_1_RHV_51</vt:lpstr>
      <vt:lpstr>cattf_1_RZB_1</vt:lpstr>
      <vt:lpstr>cattf_1_RZV_51</vt:lpstr>
      <vt:lpstr>cattf_1_SHB_1</vt:lpstr>
      <vt:lpstr>cattf_1_SHV_51</vt:lpstr>
      <vt:lpstr>cattf_1_THB_1</vt:lpstr>
      <vt:lpstr>cattf_1_THV_51</vt:lpstr>
      <vt:lpstr>cattf_1_VHB_1</vt:lpstr>
      <vt:lpstr>cattf_1_VHV_51</vt:lpstr>
      <vt:lpstr>cattf_1_VZB_1</vt:lpstr>
      <vt:lpstr>cattf_1_VZV_51</vt:lpstr>
      <vt:lpstr>cattf_1_XBB_1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objectprijs1_1</vt:lpstr>
      <vt:lpstr>objectprijs2_1</vt:lpstr>
      <vt:lpstr>objecturen1_1</vt:lpstr>
      <vt:lpstr>objecturen2_1</vt:lpstr>
      <vt:lpstr>objecturenhf1_1</vt:lpstr>
      <vt:lpstr>objecturenhf2_1</vt:lpstr>
      <vt:lpstr>prijsdag1</vt:lpstr>
      <vt:lpstr>prijsjaar</vt:lpstr>
      <vt:lpstr>prijsjaar1</vt:lpstr>
      <vt:lpstr>prijsjaarafroep</vt:lpstr>
      <vt:lpstr>prijsjaarafroep1</vt:lpstr>
      <vt:lpstr>prijsjaarnietmeewerkend</vt:lpstr>
      <vt:lpstr>prijsjaartotaal</vt:lpstr>
      <vt:lpstr>prijsjaartotaal1</vt:lpstr>
      <vt:lpstr>prijsjaartotaaloverzicht</vt:lpstr>
      <vt:lpstr>prijsmaandtotaal1</vt:lpstr>
      <vt:lpstr>prodnorm0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tzpmt1</vt:lpstr>
      <vt:lpstr>tzpmt1_1</vt:lpstr>
      <vt:lpstr>tzpmt2_1</vt:lpstr>
      <vt:lpstr>tzujt1</vt:lpstr>
      <vt:lpstr>tzujt1_1</vt:lpstr>
      <vt:lpstr>tzujt2_1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uurtarief0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2023-12-13T14:25:37Z</dcterms:created>
  <dcterms:modified xsi:type="dcterms:W3CDTF">2023-12-14T13:28:06Z</dcterms:modified>
</cp:coreProperties>
</file>